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Հունվար" sheetId="1" state="visible" r:id="rId2"/>
    <sheet name="Փետրվար" sheetId="2" state="visible" r:id="rId3"/>
    <sheet name="Մարտ" sheetId="3" state="visible" r:id="rId4"/>
    <sheet name="Ապրիլ" sheetId="4" state="visible" r:id="rId5"/>
    <sheet name="Մայիս" sheetId="5" state="visible" r:id="rId6"/>
    <sheet name="Հունիս" sheetId="6" state="visible" r:id="rId7"/>
    <sheet name="Հուլիս" sheetId="7" state="visible" r:id="rId8"/>
    <sheet name="օգոստ" sheetId="8" state="visible" r:id="rId9"/>
    <sheet name="սեպտ" sheetId="9" state="visible" r:id="rId10"/>
    <sheet name="հոկտ" sheetId="10" state="visible" r:id="rId11"/>
    <sheet name="նոյեմ" sheetId="11" state="visible" r:id="rId12"/>
    <sheet name="դեկտ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<sst xmlns="http://schemas.openxmlformats.org/spreadsheetml/2006/main" count="2778" uniqueCount="272">
  <si>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01.02.2013Ã.¹ñáõÃÛ³Ùµ)          /Ñ³½.ÐÐ ¹ñ³Ù/</t>
  </si>
  <si>
    <t xml:space="preserve">Հ/Հ</t>
  </si>
  <si>
    <t xml:space="preserve">àÉáñï</t>
  </si>
  <si>
    <t xml:space="preserve">   ²åñ³Ýù³ÛÇÝ ³ñï³¹ñ³Ýù (ÁÝÃ³óÇÏ ·Ý»ñáí)</t>
  </si>
  <si>
    <t xml:space="preserve">             Æñ³óáõÙ</t>
  </si>
  <si>
    <t xml:space="preserve">²ñï³Ñ³ÝáõÙ</t>
  </si>
  <si>
    <t xml:space="preserve">ö³ëï ³ßË³ïáÕ. ù³-Ý³Ï</t>
  </si>
  <si>
    <t xml:space="preserve">ØÇç. ³ßË³ï³í³ñÓ</t>
  </si>
  <si>
    <t xml:space="preserve">Ü³Ë. ³Ùëí³ ÷³ëï. ³ßË. ù³Ý³Ï</t>
  </si>
  <si>
    <t xml:space="preserve">î³ñí³ ëÏ½µÇó</t>
  </si>
  <si>
    <t xml:space="preserve">Ü³Ëáñ¹ ï³ñí³ Ñ³Ù³å³ï³ëË³Ý Å³Ù³Ý³Ï³Ñ³ïí³Í.  </t>
  </si>
  <si>
    <t xml:space="preserve">²×Ç ï»Ùå %</t>
  </si>
  <si>
    <t xml:space="preserve">Ð³ßí»ïáõ ³ÙëáõÙ</t>
  </si>
  <si>
    <t xml:space="preserve">Ð³ßí»ïáõ ï³ñí³ Å³Ù³Ý.</t>
  </si>
  <si>
    <t xml:space="preserve">Հանքարդարդյունաբեր.</t>
  </si>
  <si>
    <t xml:space="preserve">Մետալուրգիա</t>
  </si>
  <si>
    <t xml:space="preserve">Շինանյութեր</t>
  </si>
  <si>
    <t xml:space="preserve">Ակնագործ. և ոսկեգործ.</t>
  </si>
  <si>
    <t xml:space="preserve">Հաստոցագործիքաշին.</t>
  </si>
  <si>
    <t xml:space="preserve">Սարքաշինություն</t>
  </si>
  <si>
    <t xml:space="preserve">Էլեկտրատեխնիկա</t>
  </si>
  <si>
    <t xml:space="preserve">Քիմիա և դեղագործ.</t>
  </si>
  <si>
    <t xml:space="preserve">Սննդի արդյունաբերություն</t>
  </si>
  <si>
    <t xml:space="preserve">Թեթև արդյունաբերություն</t>
  </si>
  <si>
    <t xml:space="preserve">Փայտամշակում</t>
  </si>
  <si>
    <t xml:space="preserve">Գիտարտադրական համալիր</t>
  </si>
  <si>
    <t xml:space="preserve">Հատուկ ծրագրեր</t>
  </si>
  <si>
    <t xml:space="preserve">ԸՆԴԱՄԵՆԸ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</si>
  <si>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01.02.2013Ã. ¹ñáõÃÛ³Ùµ                  /Ñ³½.ÐÐ ¹ñ³Ù/</t>
  </si>
  <si>
    <t xml:space="preserve">Ò»éÝ³ñÏáõÃÛ³Ý ³Ýí³ÝáõÙÁ</t>
  </si>
  <si>
    <t xml:space="preserve">ö³ëï. ³ßË. ù³Ý³ÏÁ</t>
  </si>
  <si>
    <t xml:space="preserve">ØÇç. ³ßË³ï³í³ñÓÁ</t>
  </si>
  <si>
    <t xml:space="preserve">Ü³Ëáñ¹ ³Ùëí³ ÷³ëï. ³ßË. ù³Ý³ÏÁ</t>
  </si>
  <si>
    <t xml:space="preserve">Ü³Ëáñ¹ ï³ñí³ Ñ³Ù³å³ï³ëË³Ý Å³Ù³Ý.  </t>
  </si>
  <si>
    <t xml:space="preserve">²×Ç ï»ÙåÁ %</t>
  </si>
  <si>
    <t xml:space="preserve">Ü³Ëáñ¹ ï³ñí³ Ñ³Ù³å³ï³ëË³Ý Å³Ù³Ý  </t>
  </si>
  <si>
    <r>
      <rPr>
        <b val="true"/>
        <sz val="9"/>
        <rFont val="Arial AM"/>
        <family val="0"/>
        <charset val="1"/>
      </rPr>
      <t xml:space="preserve">Ø»ù»Ý³ßÇÝ³Ï³Ý ³ñ¹ÛáõÝ³µ»ñáõÃÛáõÝ` </t>
    </r>
    <r>
      <rPr>
        <sz val="9"/>
        <rFont val="Arial Armenian"/>
        <family val="2"/>
        <charset val="1"/>
      </rPr>
      <t xml:space="preserve">³Û¹ ÃíáõÙ</t>
    </r>
  </si>
  <si>
    <t xml:space="preserve">³/   Ð³ëïáó³·áñÍÇù³ßÇÝ.</t>
  </si>
  <si>
    <t xml:space="preserve">ÆÝï»ñÑ³ëïáó µµÁ</t>
  </si>
  <si>
    <t xml:space="preserve">Ð³ñí³É Ø³ßÇÝÁñÇ êäÀ</t>
  </si>
  <si>
    <t xml:space="preserve">²ñÙ³í.Ñ³ëï.·-Ý µµÁ</t>
  </si>
  <si>
    <t xml:space="preserve">ºñ¨³ÝÇ ÑÇ¹ñáÑ³Õáñ¹³Ï µµÁ</t>
  </si>
  <si>
    <t xml:space="preserve">â³ñ.·áñÍÇù³ßÇÝ.·-Ý µµÁ</t>
  </si>
  <si>
    <t xml:space="preserve">²ÉÙ³ëï ÷µÁ</t>
  </si>
  <si>
    <t xml:space="preserve">î»Ëë³ñù³íáñáõÙ µµÁ</t>
  </si>
  <si>
    <t xml:space="preserve">Î³å.Ù»ù»Ý³ßÇÝ.·-Ý µµÁ</t>
  </si>
  <si>
    <t xml:space="preserve">æñÏáÝëïñáõÏóÇ³ êäÀ</t>
  </si>
  <si>
    <t xml:space="preserve">ì³Ý.²íïá·»Ý-Ø  êäÀ</t>
  </si>
  <si>
    <t xml:space="preserve">ÎáÙåñ»ëáñÝ»ñÇ ·-Ý µµÁ </t>
  </si>
  <si>
    <t xml:space="preserve">º²¼ µµÁ</t>
  </si>
  <si>
    <t xml:space="preserve">²ñÃÇÏÇ ²å³Ï»Ù»ù.µµÁ</t>
  </si>
  <si>
    <t xml:space="preserve">§²ëïñ³¦ ö´À ÐÒ</t>
  </si>
  <si>
    <t xml:space="preserve">§ø³ñÑ³ï¦ Ø»ù»Ý³¦ ö´À</t>
  </si>
  <si>
    <t xml:space="preserve">§´áé¦ ´´À</t>
  </si>
  <si>
    <t xml:space="preserve">ì³Ý. §âÇÝí³Ý¦ êäÀ</t>
  </si>
  <si>
    <t xml:space="preserve">ÀÝ¹³Ù»ÝÁ Ñ³ëïáó³ßÇÝ.</t>
  </si>
  <si>
    <t xml:space="preserve">µ/ ê³ñù³ßÇÝáõÃÛáõÝ</t>
  </si>
  <si>
    <t xml:space="preserve">¾É»Ïïñ³ë³ñù ´´À</t>
  </si>
  <si>
    <t xml:space="preserve">Ø³ñë ö´À</t>
  </si>
  <si>
    <t xml:space="preserve">ÎáÝÝ»Ïï ´´À</t>
  </si>
  <si>
    <t xml:space="preserve">¶³ÙÙ³ ´´À</t>
  </si>
  <si>
    <t xml:space="preserve">²Ý³ÉÇïë³ñù ö´À</t>
  </si>
  <si>
    <t xml:space="preserve">è³ý¿É·ñÇ· ´´À /ºÕ»·Ý³Óáñ/</t>
  </si>
  <si>
    <t xml:space="preserve">ì³Ý ´´À</t>
  </si>
  <si>
    <t xml:space="preserve">§²Ý³ÉÇï-1¦ ´´À</t>
  </si>
  <si>
    <t xml:space="preserve">ÆÙåáõÉë ´´À</t>
  </si>
  <si>
    <t xml:space="preserve">ÀÝ¹³Ù»ÝÁ ë³ñù³ßÇÝ.</t>
  </si>
  <si>
    <t xml:space="preserve">·/ ¾É»Ïïñ³ï»ËÝÇÏ³</t>
  </si>
  <si>
    <t xml:space="preserve">Ð³Û¿É»Ïïñ³Ù»ù»Ý³ ´´À</t>
  </si>
  <si>
    <t xml:space="preserve">îñ³Ýë¿É»ÏïñÇÏ êäÀ</t>
  </si>
  <si>
    <t xml:space="preserve">²ñÙ»ÝÙáïáñ ö´À</t>
  </si>
  <si>
    <t xml:space="preserve">Ð³Û¿É»Ïïñ³³å³ñ³ï ´´À</t>
  </si>
  <si>
    <t xml:space="preserve">¶ñ³Ý¹ ê³Ý êäÀ</t>
  </si>
  <si>
    <t xml:space="preserve">êï»÷³Ý³í³ÝÇ ´Ð¾ê ´´À</t>
  </si>
  <si>
    <t xml:space="preserve">¾Éµ³ï ö´À</t>
  </si>
  <si>
    <t xml:space="preserve">ԷÉ»Ïïñ³.ÇÝÅ»Ý»ñÇÝ· ö´À</t>
  </si>
  <si>
    <t xml:space="preserve">ÀÝ¹³Ù»ÝÁ ¿É»Ïïñ³ï»Ë.</t>
  </si>
  <si>
    <t xml:space="preserve">ÀÝ¹³Ù»ÝÁ ¿É»Ïïñ³ï»Ë</t>
  </si>
  <si>
    <t xml:space="preserve">ÀÜ¸²ØºÜÀ`Ù»ù»Ý³ßÇÝáõÃÛáõÝ</t>
  </si>
  <si>
    <t xml:space="preserve">øÇÙÇ³ ¨ ¹»Õ³·áñÍ.</t>
  </si>
  <si>
    <t xml:space="preserve">§Ü³ÇñÇï-·áñÍ³ñ³Ý¦ ö´À</t>
  </si>
  <si>
    <t xml:space="preserve">§ì³Ý³Óáñ-øÇÙåñáÙ¦ö´À</t>
  </si>
  <si>
    <t xml:space="preserve">§Øáõñ³¹-ê³ñ¦êäÀ</t>
  </si>
  <si>
    <t xml:space="preserve">øÇÙ.¹»Õ³·.ýÇñÙ³ ´´À</t>
  </si>
  <si>
    <t xml:space="preserve">§Î»Ýó³ÕùÇÙ¦ ´´À</t>
  </si>
  <si>
    <t xml:space="preserve">§²å³Ï»Ù»ÏáõëÇã¦´´À</t>
  </si>
  <si>
    <t xml:space="preserve">§È³ù»ñÇ áõ Ý»ñÏ»ñÇ ·-Ý¦´´À</t>
  </si>
  <si>
    <t xml:space="preserve">§øñ³áõÝ ø»ÙÇù³É¦ êäÀ</t>
  </si>
  <si>
    <t xml:space="preserve">§Þ»Ý ÎáÝó»éÝ¦ ö´À</t>
  </si>
  <si>
    <t xml:space="preserve">§ÈÇÏíáñ¦ ö´À</t>
  </si>
  <si>
    <t xml:space="preserve">§ü³ñÙ³ï»ù¦ êäÀ</t>
  </si>
  <si>
    <t xml:space="preserve">ÀÝ¹³Ù»ÝÁ` ùÇÙÇ³ ¨ ¹»Õ³·áñÍ.</t>
  </si>
  <si>
    <t xml:space="preserve">ÀÝ¹³Ù»ÝÁ ùÇÙÇ³</t>
  </si>
  <si>
    <t xml:space="preserve">Â»Ã¨ ³ñ¹ÛáõÝ³µ»ñáõÃÛáõÝ</t>
  </si>
  <si>
    <t xml:space="preserve">§ê³ñïáÝ¦ êäÀ</t>
  </si>
  <si>
    <t xml:space="preserve">§¶Û.Ø³Ýí. ý-Ï³¦ ´´À</t>
  </si>
  <si>
    <t xml:space="preserve">§¾Ý ì³Û ¾Û ¸Ç¦êäÀ</t>
  </si>
  <si>
    <t xml:space="preserve">§²ñÙ»Ý-Î³ñå»ï¦ ´´À</t>
  </si>
  <si>
    <t xml:space="preserve">§ìÎê ²ñÙ»ÝÇ³¦ êäÀ</t>
  </si>
  <si>
    <t xml:space="preserve">§Ø³Ñáõ¹¦ ö´À</t>
  </si>
  <si>
    <t xml:space="preserve">§æñ³ßáÕ¦ ö´À</t>
  </si>
  <si>
    <t xml:space="preserve">§îáëå¦ ´´À</t>
  </si>
  <si>
    <t xml:space="preserve">§Üáõµ.ïñÇÏáï.ý-Ï³¦ ´´À</t>
  </si>
  <si>
    <t xml:space="preserve">¶ÛáõÙ.§¶¨áñ· ¨ ì³Ñ³Ý¦ êäÀ</t>
  </si>
  <si>
    <t xml:space="preserve">§Ð. ¾¹.Ð³Û³ë ¶ñáõå¦ ´´À</t>
  </si>
  <si>
    <t xml:space="preserve">¶Û. §²ñß³ÉáõÛë¦ ´´À</t>
  </si>
  <si>
    <t xml:space="preserve">ì³Ý. §´³½áõÙ üÇñÙ³¦ ²Î</t>
  </si>
  <si>
    <t xml:space="preserve">êåÇï. §ì³ÝáõÑÇ¦ ´´À</t>
  </si>
  <si>
    <t xml:space="preserve">â³ñ»Ýó. §´ñ³ï»ùë¦ ´´À</t>
  </si>
  <si>
    <t xml:space="preserve">§Ü³ÛÃ»ùë¦ ´´À</t>
  </si>
  <si>
    <t xml:space="preserve">§ø³Ý³ù»é¦ Ï³ñÇ ´´À</t>
  </si>
  <si>
    <t xml:space="preserve">§¶ÉáñÇ³¦ ·ÉË. ֆ³µñÇÏ³</t>
  </si>
  <si>
    <t xml:space="preserve">§Î³ßÇ¦ ´´À</t>
  </si>
  <si>
    <t xml:space="preserve">§Î³ßí»-·³É³Ýï»ñ ý-Ï³¦´´À</t>
  </si>
  <si>
    <t xml:space="preserve">Îáß. §ÈÛáõùë¦ ´´À</t>
  </si>
  <si>
    <t xml:space="preserve">§¾É»Ý-93¦ êäÀ</t>
  </si>
  <si>
    <t xml:space="preserve">§äÉ³ëïÇÏ¦ ´´À</t>
  </si>
  <si>
    <t xml:space="preserve">§Ø»·»ñÛ³Ý-Ï³ñå»ï¦ ´´À</t>
  </si>
  <si>
    <t xml:space="preserve">§Ø»ï³Õ³Ù³Ý»Õ»ÝÇ ·-Ý¦ ´´À</t>
  </si>
  <si>
    <t xml:space="preserve">ÀÝ¹³Ù»ÝÁ Ã»Ã¨ ³ñ¹.</t>
  </si>
  <si>
    <t xml:space="preserve">ö³Ûï³Ùß³ÏáõÙ</t>
  </si>
  <si>
    <t xml:space="preserve">§¼»ÛÃáõÝÇ Ï³ÑáõÛùÇ¦ ´´À</t>
  </si>
  <si>
    <t xml:space="preserve">§È.².Ü.². ¾¹»Ý¦ ö´À</t>
  </si>
  <si>
    <t xml:space="preserve">Ø³ë. §¶áýñáï³ñ³¦ ö´À</t>
  </si>
  <si>
    <t xml:space="preserve">§ºñ¨³Ý-Ï³ÑáõÛù¦ ´´À</t>
  </si>
  <si>
    <t xml:space="preserve">§Æç¨³ÝÇ öØÎ¦ ´´À</t>
  </si>
  <si>
    <t xml:space="preserve">§50/50¦ êäÀ</t>
  </si>
  <si>
    <t xml:space="preserve">§ê³ÉÙ³ëï Î³ÑáõÛù¦ êäÀ</t>
  </si>
  <si>
    <t xml:space="preserve">ÀÝ¹³Ù»ÝÁ ÷³Ûï³Ùß³Ï.</t>
  </si>
  <si>
    <t xml:space="preserve">Ð³Ýù³ñ¹ÛáõÝ³µ»ñáõÃÛáõÝ</t>
  </si>
  <si>
    <t xml:space="preserve">§¼³Ý·»½áõñÇ äØÎ¦ ö´À</t>
  </si>
  <si>
    <t xml:space="preserve">§²·³ñ³ÏÇ äØÎ¦ ö´À</t>
  </si>
  <si>
    <t xml:space="preserve">§¸ÇÝá ¶áÉ¹ Ø³ÛÝÇÝ·¦ ö´À</t>
  </si>
  <si>
    <t xml:space="preserve">§²ËÃ³É³ÛÇ ÈÐÎ¦ ö´À</t>
  </si>
  <si>
    <t xml:space="preserve">§ê³·³Ù³ñ¦ ö´À</t>
  </si>
  <si>
    <t xml:space="preserve">ÀÝ¹³Ù»ÝÁ`Ñ³Ýù³ñ¹.</t>
  </si>
  <si>
    <t xml:space="preserve">ÀÝ¹³Ù»ÝÁ Ñ³Ýù³ñ¹.</t>
  </si>
  <si>
    <t xml:space="preserve">Ø»ï³Éáõñ·Ç³</t>
  </si>
  <si>
    <t xml:space="preserve">§AMP¦ êäÀ</t>
  </si>
  <si>
    <t xml:space="preserve">§Ð³ÛÏ.äÕÇÝÓ Ìñ³·Çñ¦ ö´À</t>
  </si>
  <si>
    <t xml:space="preserve">§Ø³ùáõñ »ñÏ³Ã¦ ´´À</t>
  </si>
  <si>
    <t xml:space="preserve">§ÒáõÉ³Ï»ÝïñáÝ¦ ´´À</t>
  </si>
  <si>
    <t xml:space="preserve">§¶»á äñá Ø³ÛÝÇÝ· ¶áÉ¹¦ êäÀ</t>
  </si>
  <si>
    <t xml:space="preserve">§èáõë²É-²ñÙ»Ý²É¦ ö´À</t>
  </si>
  <si>
    <t xml:space="preserve">§²ëÏ» ¶ñáõå¦ ´´À</t>
  </si>
  <si>
    <t xml:space="preserve">ÀÝ¹³Ù»ÝÁ`Ù»ï³Éáõñ·Ç³</t>
  </si>
  <si>
    <t xml:space="preserve">ÀÜ¸²ØºÜÀ`Ñ³Ýù³ñ¹ ¨ Ù»ï³Éáõñ·</t>
  </si>
  <si>
    <t xml:space="preserve">ÞÇÝ³ÝÛáõÃ»ñÇ ³ñï³¹ñáõÃ.</t>
  </si>
  <si>
    <t xml:space="preserve">§ø³ñ ¨ ³í³½¦ ö´À</t>
  </si>
  <si>
    <t xml:space="preserve">§ê³ñ³ÝÇëï¦ êäÀ</t>
  </si>
  <si>
    <t xml:space="preserve">§ÂáõñÇÝç¦ êäÀ</t>
  </si>
  <si>
    <t xml:space="preserve">§¶É³ë àõáéÉ¹ ø³Ù÷ÝÇ¦ ö´À</t>
  </si>
  <si>
    <t xml:space="preserve">§ØÇÏ³  ó»Ù»Ýï¦   êäÀ</t>
  </si>
  <si>
    <t xml:space="preserve">ÀÝ¹³Ù»ÝÁ ßÇÝ³ÝÛáõÃ»ñ`</t>
  </si>
  <si>
    <t xml:space="preserve">ÀÝ¹³Ù»ÝÁ ßÇÝ³ÝÛáõÃ»ñ</t>
  </si>
  <si>
    <t xml:space="preserve">§²ñ³ñ³ï¦ êÝÝ¹Ç ÎáÙµÇÝ³ï êäÀ</t>
  </si>
  <si>
    <t xml:space="preserve">§æ»ñÙáõÏ ÆÝÃ»ñÝ»ÛßÝÉ¦ êäÀ</t>
  </si>
  <si>
    <t xml:space="preserve">§²ñ³ùë ÂéãÝ³ý³µñÇÏ³¦ ö´À</t>
  </si>
  <si>
    <t xml:space="preserve">Ընդամենը սննդի արդ.</t>
  </si>
  <si>
    <t xml:space="preserve">²ÏÝ³·áñÍ.¨ áëÏ»·áñÍ.</t>
  </si>
  <si>
    <t xml:space="preserve">ºñ¨³ÝÇ áëÏ»ñã. ·-Ý ´´À</t>
  </si>
  <si>
    <t xml:space="preserve">§²ñ¨³ÏÝ¦ êäÀ</t>
  </si>
  <si>
    <t xml:space="preserve">§ê³åýÇñ¦ ö´À</t>
  </si>
  <si>
    <t xml:space="preserve"> §ÈáñÇ¦ êäÀ</t>
  </si>
  <si>
    <t xml:space="preserve">§²Ý¹ñ³ÝÇÏ¦ êäÀ</t>
  </si>
  <si>
    <t xml:space="preserve">§²ñ³ùë-¶áÉ¹¦êäÀ</t>
  </si>
  <si>
    <t xml:space="preserve">§¸³ÛÙáÃ»ù¦ êäÀ</t>
  </si>
  <si>
    <t xml:space="preserve">¾Û-¾É-ÂÇ</t>
  </si>
  <si>
    <t xml:space="preserve">§Òáñ³·ÛáõÕ¦ ²Î</t>
  </si>
  <si>
    <t xml:space="preserve">§æ»Û êÇ ¾Û¦ ö´À</t>
  </si>
  <si>
    <t xml:space="preserve">ÀÝ¹³Ù»ÝÁ` </t>
  </si>
  <si>
    <t xml:space="preserve">¶Çï³³ñï³¹ñ³Ï³Ý Ñ³Ù³ÉÇñ</t>
  </si>
  <si>
    <t xml:space="preserve">§È»éÝ³Ù»ï³Éáõñ·Ç³¦ ö´À</t>
  </si>
  <si>
    <t xml:space="preserve">§ÜÛáõÃ³µ³ÝáõÃÛáõÝ ¶²Ò¦ ö´À</t>
  </si>
  <si>
    <t xml:space="preserve">§Üáñ³ÙáõÍáõÃÛ³Ý ¨ Ó»éÝ»ñ»óáõÃÛ³Ý ²Î¦ ö´À</t>
  </si>
  <si>
    <t xml:space="preserve">§ºñ¨³ÝÇ äÉ³ëïåáÉ. ¶ÐÆ¦ ö´À</t>
  </si>
  <si>
    <t xml:space="preserve">§¾É»Ïïñ³Ù³ß ¶ÐÆ¦ ö´À</t>
  </si>
  <si>
    <t xml:space="preserve">§ÎáÙ»ï³¦ ´´À</t>
  </si>
  <si>
    <t xml:space="preserve">§²Éý³¦ ö´À</t>
  </si>
  <si>
    <t xml:space="preserve">§ø³ñ ¨ ëÇÉÇÏ³ïÝ»ñ¦ ö´À</t>
  </si>
  <si>
    <t xml:space="preserve">§¾É³ë¦ ö´À</t>
  </si>
  <si>
    <t xml:space="preserve">Ð³ïáõÏ Íñ³·ñ»ñ</t>
  </si>
  <si>
    <t xml:space="preserve">§²ñÇ³Ï¦ ö´À</t>
  </si>
  <si>
    <t xml:space="preserve">§¾É»ÏïñáÝ¦ ´´À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</si>
  <si>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01.03.2013Ã.¹ñáõÃÛ³Ùµ)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</si>
  <si>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01.03.2013Ã. ¹ñáõÃÛ³Ùµ                  /Ñ³½.ÐÐ ¹ñ³Ù/</t>
  </si>
  <si>
    <r>
      <rPr>
        <b val="true"/>
        <sz val="9"/>
        <rFont val="Arial Armenian"/>
        <family val="2"/>
        <charset val="1"/>
      </rPr>
      <t xml:space="preserve">Ø»ù»Ý³ßÇÝ³Ï³Ý ³ñ¹ÛáõÝ³µ»ñáõÃÛáõÝ` </t>
    </r>
    <r>
      <rPr>
        <sz val="9"/>
        <rFont val="Arial Armenian"/>
        <family val="2"/>
        <charset val="1"/>
      </rPr>
      <t xml:space="preserve">³Û¹ ÃíáõÙ</t>
    </r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</si>
  <si>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01.04.2013Ã.¹ñáõÃÛ³Ùµ)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</si>
  <si>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01.04.2013Ã. ¹ñáõÃÛ³Ùµ                  /Ñ³½.ÐÐ ¹ñ³Ù/</t>
  </si>
  <si>
    <t xml:space="preserve">²×/³ÝÏáõÙ %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</si>
  <si>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01.06.2013Ã.¹ñáõÃÛ³Ùµ)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</si>
  <si>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01.06.2013Ã. ¹ñáõÃÛ³Ùµ                  /Ñ³½.ÐÐ ¹ñ³Ù/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</si>
  <si>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01.07.2013Ã.¹ñáõÃÛ³Ùµ)       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</si>
  <si>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01.07.2013Ã. ¹ñáõÃÛ³Ùµ                  /Ñ³½.ÐÐ ¹ñ³Ù/</t>
  </si>
  <si>
    <t xml:space="preserve">Սննդի արդյունաբերութ, այդ թվում`</t>
  </si>
  <si>
    <t xml:space="preserve">Խմիչքների արտադրութ.</t>
  </si>
  <si>
    <t xml:space="preserve">§Երևանի կոնյակի գործարան¦</t>
  </si>
  <si>
    <t xml:space="preserve">§Վեդի ալկո¦</t>
  </si>
  <si>
    <t xml:space="preserve">§Հայասի Գրուպ¦</t>
  </si>
  <si>
    <t xml:space="preserve">§ՄԱՊ¦ ԲԲԸ</t>
  </si>
  <si>
    <t xml:space="preserve">§Գյումրի գարեջուր¦</t>
  </si>
  <si>
    <t xml:space="preserve">Ընդամենը խմիչքների արտադր.`</t>
  </si>
  <si>
    <t xml:space="preserve">Սննդի այլ ոլորտներ</t>
  </si>
  <si>
    <t xml:space="preserve">§Շամբ բիզնես¦</t>
  </si>
  <si>
    <t xml:space="preserve">§Աշտարակ Կաթ¦</t>
  </si>
  <si>
    <t xml:space="preserve">§Մանչո Գրուպ¦</t>
  </si>
  <si>
    <t xml:space="preserve">Ընդամենը սննդի այլ ոլորտ`</t>
  </si>
  <si>
    <t xml:space="preserve">²ÏÝ³·áñÍ.¨ áëÏ»·áñÍ,այդ թվում`</t>
  </si>
  <si>
    <t xml:space="preserve">Ակնագործություն</t>
  </si>
  <si>
    <t xml:space="preserve">ÀÝ¹³Ù»ÝÁ ակնագործութ.` </t>
  </si>
  <si>
    <t xml:space="preserve">Ոսկեգործություն</t>
  </si>
  <si>
    <t xml:space="preserve">Ընդամենը ակնագործ. և ոսկերչութ.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</si>
  <si>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01.08.2013Ã.¹ñáõÃÛ³Ùµ)          /Ñ³½.ÐÐ ¹ñ³Ù/</t>
  </si>
  <si>
    <t xml:space="preserve">Հանքարդարդյունաբ.</t>
  </si>
  <si>
    <t xml:space="preserve">ÐÐ ¿ÏáÝáÙÇÏ³ÛÇ Ý³Ë³ñ³ñáõÃÛ³Ý ÏáÕÙÇó ÙáÝÇïáñÇÝ·áõÙ ÁÝ¹·ñÏí³Í Ï³½Ù³Ï»ñåáõÃÛáõÝÝ»ñÇ ïÝï»ë³Ï³Ý óáõó³ÝÇßÝ»ñÇ          Ù³ëÇÝ  ûå»ñ³ïÇí ï»Õ»Ï³ïíáõÃÛáõÝ  01.08.2013Ã. ¹ñáõÃÛ³Ùµ                  /Ñ³½.ÐÐ ¹ñ³Ù/</t>
  </si>
  <si>
    <t xml:space="preserve">ºñ¨³ÝÇ ÐÇ¹ñáÑ³Õáñ¹³Ï µµÁ</t>
  </si>
  <si>
    <t xml:space="preserve">§²ëïñ³¦ ö´À </t>
  </si>
  <si>
    <t xml:space="preserve">è³ý¿É·ñÇ· ´´À </t>
  </si>
  <si>
    <t xml:space="preserve">¾É»Ïïñ³³å³ñ³ï ´´À</t>
  </si>
  <si>
    <t xml:space="preserve">äÉ³½Ù³ ´´À</t>
  </si>
  <si>
    <t xml:space="preserve">§¶¨áñ· ¨ ì³Ñ³Ý¦ êäÀ</t>
  </si>
  <si>
    <t xml:space="preserve">§²ñß³ÉáõÛë¦ ´´À</t>
  </si>
  <si>
    <t xml:space="preserve">§´³½áõÙ üÇñÙ³¦ ²Î</t>
  </si>
  <si>
    <t xml:space="preserve">§ì³ÝáõÑÇ¦ ´´À</t>
  </si>
  <si>
    <t xml:space="preserve">§´ñ³ï»ùë¦ ´´À</t>
  </si>
  <si>
    <t xml:space="preserve">§ÈÛáõùë¦ ´´À</t>
  </si>
  <si>
    <t xml:space="preserve">¸³Ý¹Ç öñÇßë Ø»ï³Éë Î³å³Ý </t>
  </si>
  <si>
    <t xml:space="preserve">§Շամբ բիզնես¦ ՍՊԸ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</si>
  <si>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01.09.2013Ã.¹ñáõÃÛ³Ùµ)          /Ñ³½.ÐÐ ¹ñ³Ù/</t>
  </si>
  <si>
    <t xml:space="preserve">Հաստոցագործիքաշին</t>
  </si>
  <si>
    <t xml:space="preserve">ÐÐ ¿ÏáÝáÙÇÏ³ÛÇ Ý³Ë³ñ³ñáõÃÛ³Ý ÏáÕÙÇó ÙáÝÇïáñÇÝ·áõÙ ÁÝ¹·ñÏí³Í Ï³½Ù³Ï»ñåáõÃÛáõÝÝ»ñÇ ïÝï»ë³Ï³Ý óáõó³ÝÇßÝ»ñÇ          Ù³ëÇÝ  ûå»ñ³ïÇí ï»Õ»Ï³ïíáõÃÛáõÝ  01.09.2013Ã. ¹ñáõÃÛ³Ùµ                  /Ñ³½.ÐÐ ¹ñ³Ù/</t>
  </si>
  <si>
    <t xml:space="preserve">§¶áÉ¹»Ý üÇÉ¹¦ êäÀ</t>
  </si>
  <si>
    <t xml:space="preserve"> ԲՀԷՍ äÉ³½Ù³ ´´À</t>
  </si>
  <si>
    <t xml:space="preserve">§Արփիմեդ¦ ՍՊԸ</t>
  </si>
  <si>
    <t xml:space="preserve">§Վիտամաքս-Ե¦ ՍՊԸ</t>
  </si>
  <si>
    <t xml:space="preserve">§Մետալ Ստիլ¦ ՓԲԸ</t>
  </si>
  <si>
    <t xml:space="preserve">§Երևանի Արարատ կոնյակի-գինու-օղու կոմբինատ¦ ԲԲԸ</t>
  </si>
  <si>
    <t xml:space="preserve">§Պռոշյանի կոնյակի գործ.¦</t>
  </si>
  <si>
    <t xml:space="preserve">§²ñ³ñ³ï¦ êÝÝ¹Ç ÎáÙµÇÝ³ï</t>
  </si>
  <si>
    <t xml:space="preserve">§Թամարա ֆրուտ¦</t>
  </si>
  <si>
    <t xml:space="preserve">§Եվրոթերմ¦</t>
  </si>
  <si>
    <t xml:space="preserve">§Ալեքս Գրիգ¦ ՍՊԸ</t>
  </si>
  <si>
    <t xml:space="preserve">§Բիգա¦ ՍՊԸ</t>
  </si>
  <si>
    <t xml:space="preserve">§Աթենք¦</t>
  </si>
  <si>
    <t xml:space="preserve">§Գնոմոն-1¦ ՍՊԸ</t>
  </si>
  <si>
    <t xml:space="preserve">§²ñ³ùë-¶áÉ¹¦ êäÀ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</si>
  <si>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(ûå»ñ³ïÇí ï»Õ»Ï³ïíáõÃÛáõÝ 01.10.2013Ã.¹ñáõÃÛ³Ùµ)                             ընթացիկ գներով   /Ñ³½.ÐÐ ¹ñ³Ù/</t>
  </si>
  <si>
    <t xml:space="preserve">ÐÐ ¿ÏáÝáÙÇÏ³ÛÇ Ý³Ë³ñ³ñáõÃÛ³Ý ÏáÕÙÇó ÙáÝÇïáñÇÝ·áõÙ ÁÝ¹·ñÏí³Í Ï³½Ù³Ï»ñåáõÃÛáõÝÝ»ñÇ ïÝï»ë³Ï³Ý óáõó³ÝÇßÝ»ñÇ          Ù³ëÇÝ  ûå»ñ³ïÇí ï»Õ»Ï³ïíáõÃÛáõÝ  01.10.2013Ã. ¹ñáõÃÛ³Ùµ   (ընթացիկ գներով)          /Ñ³½.ÐÐ ¹ñ³Ù/</t>
  </si>
  <si>
    <t xml:space="preserve">â³ñ»Ýó.·áñÍÇù³ßÇÝ.·-Ý µµÁ</t>
  </si>
  <si>
    <t xml:space="preserve">Երևանի կոնյակի գործարան</t>
  </si>
  <si>
    <t xml:space="preserve">Վեդի ալկո</t>
  </si>
  <si>
    <t xml:space="preserve">Հայասի Գրուպ</t>
  </si>
  <si>
    <t xml:space="preserve">ՄԱՊ ԲԲԸ</t>
  </si>
  <si>
    <t xml:space="preserve">Երևանի Արարատ կոնյակի-գինու-օղու կոմբինատ ԲԲԸ</t>
  </si>
  <si>
    <t xml:space="preserve">Պռոշյանի կոնյակի գործ.</t>
  </si>
  <si>
    <t xml:space="preserve">§Ա և Գ¦ ՍՊԸ</t>
  </si>
  <si>
    <t xml:space="preserve">Գյումրի գարեջուր</t>
  </si>
  <si>
    <t xml:space="preserve">Ջերմուկ Ինթերնեյշնլ ՍՊԸ</t>
  </si>
  <si>
    <t xml:space="preserve">§Նատֆուդ¦ ՓԲԸ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</si>
  <si>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(ûå»ñ³ïÇí ï»Õ»Ï³ïíáõÃÛáõÝ 01.11.2013Ã.¹ñáõÃÛ³Ùµ)                             ընթացիկ գներով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</si>
  <si>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01.11.2013Ã. ¹ñáõÃÛ³Ùµ   (ընթացիկ գներով)          /Ñ³½.ÐÐ ¹ñ³Ù/</t>
  </si>
  <si>
    <t xml:space="preserve">ÀÝ¹³Ù»ÝÁ 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</si>
  <si>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(ûå»ñ³ïÇí ï»Õ»Ï³ïíáõÃÛáõÝ 01.12.2013Ã.¹ñáõÃÛ³Ùµ)                             ընթացիկ գներով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</si>
  <si>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01.12.2013Ã. ¹ñáõÃÛ³Ùµ   (ընթացիկ գներով)          /Ñ³½.ÐÐ ¹ñ³Ù/</t>
  </si>
  <si>
    <t xml:space="preserve">Էկո տոմատո</t>
  </si>
  <si>
    <t xml:space="preserve"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(ûå»ñ³ïÇí ï»Õ»Ï³ïíáõÃÛáõÝ 01.01.2014Ã.¹ñáõÃÛ³Ùµ)                             ընթացիկ գներով   /Ñ³½.ÐÐ ¹ñ³Ù/</t>
  </si>
  <si>
    <t xml:space="preserve">ÐÐ ¿ÏáÝáÙÇÏ³ÛÇ Ý³Ë³ñ³ñáõÃÛ³Ý ÏáÕÙÇó ÙáÝÇïáñÇÝ·áõÙ ÁÝ¹·ñÏí³Í Ï³½Ù³Ï»ñåáõÃÛáõÝÝ»ñÇ ïÝï»ë³Ï³Ý óáõó³ÝÇßÝ»ñÇ Ù³ëÇÝ  ûå»ñ³ïÇí ï»Õ»Ï³ïíáõÃÛáõÝ  01.01.2014Ã. ¹ñáõÃÛ³Ùµ   (ընթացիկ գներով)          /Ñ³½.ÐÐ ¹ñ³Ù/</t>
  </si>
  <si>
    <t xml:space="preserve">«Ա և Գ» ՍՊԸ</t>
  </si>
  <si>
    <t xml:space="preserve">Սակի ընդ Սանս</t>
  </si>
  <si>
    <t xml:space="preserve">«Շահնազ.» գինու-կոնյակի տուն ՍՊԸ</t>
  </si>
  <si>
    <t xml:space="preserve">Առկոլադ</t>
  </si>
  <si>
    <t xml:space="preserve">Ամստեր ֆլաուերս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</si>
</sst>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0.00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 AM"/>
      <family val="0"/>
      <charset val="1"/>
    </font>
    <font>
      <b val="true"/>
      <sz val="11"/>
      <color rgb="FF000000"/>
      <name val="Arial AM"/>
      <family val="0"/>
      <charset val="1"/>
    </font>
    <font>
      <sz val="10"/>
      <color rgb="FF000000"/>
      <name val="Arial AM"/>
      <family val="0"/>
      <charset val="1"/>
    </font>
    <font>
      <b val="true"/>
      <sz val="10"/>
      <name val="Arial AM"/>
      <family val="0"/>
      <charset val="1"/>
    </font>
    <font>
      <sz val="10"/>
      <name val="Arial AM"/>
      <family val="0"/>
      <charset val="1"/>
    </font>
    <font>
      <b val="true"/>
      <sz val="11"/>
      <name val="Arial AM"/>
      <family val="0"/>
      <charset val="1"/>
    </font>
    <font>
      <b val="true"/>
      <i val="true"/>
      <sz val="10"/>
      <name val="Arial AM"/>
      <family val="0"/>
      <charset val="1"/>
    </font>
    <font>
      <b val="true"/>
      <sz val="12"/>
      <name val="Arial AM"/>
      <family val="0"/>
      <charset val="1"/>
    </font>
    <font>
      <b val="true"/>
      <sz val="9"/>
      <name val="Arial AM"/>
      <family val="0"/>
      <charset val="1"/>
    </font>
    <font>
      <sz val="9"/>
      <name val="Arial AM"/>
      <family val="0"/>
      <charset val="1"/>
    </font>
    <font>
      <sz val="9"/>
      <name val="Arial Armenian"/>
      <family val="2"/>
      <charset val="1"/>
    </font>
    <font>
      <sz val="9"/>
      <color rgb="FF000000"/>
      <name val="Arial AM"/>
      <family val="0"/>
      <charset val="1"/>
    </font>
    <font>
      <sz val="11"/>
      <name val="Arial AM"/>
      <family val="0"/>
      <charset val="1"/>
    </font>
    <font>
      <b val="true"/>
      <sz val="9"/>
      <color rgb="FF000000"/>
      <name val="Arial AM"/>
      <family val="0"/>
      <charset val="1"/>
    </font>
    <font>
      <b val="true"/>
      <sz val="11"/>
      <color rgb="FF000000"/>
      <name val="Arial Armenian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Arial Armenian"/>
      <family val="2"/>
      <charset val="1"/>
    </font>
    <font>
      <sz val="10"/>
      <name val="Arial Armenian"/>
      <family val="2"/>
      <charset val="1"/>
    </font>
    <font>
      <b val="true"/>
      <sz val="11"/>
      <name val="GHEA Grapalat"/>
      <family val="3"/>
      <charset val="1"/>
    </font>
    <font>
      <b val="true"/>
      <i val="true"/>
      <sz val="10"/>
      <name val="Arial Armenian"/>
      <family val="2"/>
      <charset val="1"/>
    </font>
    <font>
      <b val="true"/>
      <sz val="12"/>
      <name val="Arial Armenian"/>
      <family val="2"/>
      <charset val="1"/>
    </font>
    <font>
      <b val="true"/>
      <sz val="9"/>
      <name val="Arial Armenian"/>
      <family val="2"/>
      <charset val="1"/>
    </font>
    <font>
      <sz val="9"/>
      <color rgb="FF000000"/>
      <name val="Arial Armenian"/>
      <family val="2"/>
      <charset val="1"/>
    </font>
    <font>
      <sz val="11"/>
      <name val="Calibri"/>
      <family val="2"/>
      <charset val="1"/>
    </font>
    <font>
      <sz val="9"/>
      <color rgb="FFFF0000"/>
      <name val="Arial Armenian"/>
      <family val="2"/>
      <charset val="1"/>
    </font>
    <font>
      <b val="true"/>
      <sz val="11"/>
      <name val="Arial Armenian"/>
      <family val="2"/>
      <charset val="1"/>
    </font>
    <font>
      <b val="true"/>
      <sz val="9"/>
      <color rgb="FF000000"/>
      <name val="Arial Armenian"/>
      <family val="2"/>
      <charset val="1"/>
    </font>
    <font>
      <b val="true"/>
      <sz val="10"/>
      <name val="GHEA Grapalat"/>
      <family val="3"/>
      <charset val="1"/>
    </font>
    <font>
      <sz val="10"/>
      <name val="Times Armenian"/>
      <family val="1"/>
      <charset val="1"/>
    </font>
    <font>
      <sz val="8"/>
      <name val="Arial"/>
      <family val="2"/>
      <charset val="204"/>
    </font>
    <font>
      <sz val="9"/>
      <name val="GHEA Grapalat"/>
      <family val="3"/>
      <charset val="1"/>
    </font>
    <font>
      <b val="true"/>
      <sz val="9"/>
      <name val="GHEA Grapalat"/>
      <family val="3"/>
      <charset val="1"/>
    </font>
    <font>
      <sz val="11"/>
      <name val="Arial Armenian"/>
      <family val="2"/>
      <charset val="1"/>
    </font>
    <font>
      <sz val="10"/>
      <name val="GHEA Grapalat"/>
      <family val="3"/>
      <charset val="1"/>
    </font>
    <font>
      <sz val="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FF33"/>
        <bgColor rgb="FFFFFF00"/>
      </patternFill>
    </fill>
    <fill>
      <patternFill patternType="solid">
        <fgColor rgb="FFFFFF00"/>
        <bgColor rgb="FFCCFF33"/>
      </patternFill>
    </fill>
    <fill>
      <patternFill patternType="solid">
        <fgColor rgb="FFFFFFFF"/>
        <bgColor rgb="FFFFFFCC"/>
      </patternFill>
    </fill>
    <fill>
      <patternFill patternType="solid">
        <fgColor rgb="FF99FF66"/>
        <bgColor rgb="FFCCFF33"/>
      </patternFill>
    </fill>
    <fill>
      <patternFill patternType="solid">
        <fgColor rgb="FF00FF00"/>
        <bgColor rgb="FF33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4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7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3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5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6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6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5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3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3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33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8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3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6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7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0" borderId="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2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4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6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8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5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6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  <cellStyle name="Normal_AUGUSTAMPOP" xfId="22" builtinId="53" customBuiltin="true"/>
    <cellStyle name="Normal_Sheet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33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21" activeCellId="0" sqref="B21"/>
    </sheetView>
  </sheetViews>
  <sheetFormatPr defaultRowHeight="13.8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28"/>
    <col collapsed="false" customWidth="true" hidden="false" outlineLevel="0" max="3" min="3" style="1" width="11.28"/>
    <col collapsed="false" customWidth="true" hidden="false" outlineLevel="0" max="4" min="4" style="1" width="11.85"/>
    <col collapsed="false" customWidth="true" hidden="false" outlineLevel="0" max="5" min="5" style="1" width="6.85"/>
    <col collapsed="false" customWidth="true" hidden="false" outlineLevel="0" max="6" min="6" style="1" width="11"/>
    <col collapsed="false" customWidth="true" hidden="false" outlineLevel="0" max="7" min="7" style="1" width="10.57"/>
    <col collapsed="false" customWidth="true" hidden="false" outlineLevel="0" max="8" min="8" style="1" width="7.57"/>
    <col collapsed="false" customWidth="true" hidden="false" outlineLevel="0" max="9" min="9" style="1" width="11.57"/>
    <col collapsed="false" customWidth="false" hidden="false" outlineLevel="0" max="10" min="10" style="1" width="11.43"/>
    <col collapsed="false" customWidth="true" hidden="false" outlineLevel="0" max="11" min="11" style="1" width="6.85"/>
    <col collapsed="false" customWidth="true" hidden="false" outlineLevel="0" max="12" min="12" style="1" width="11.57"/>
    <col collapsed="false" customWidth="true" hidden="false" outlineLevel="0" max="13" min="13" style="1" width="12.43"/>
    <col collapsed="false" customWidth="true" hidden="false" outlineLevel="0" max="14" min="14" style="1" width="6.57"/>
    <col collapsed="false" customWidth="true" hidden="false" outlineLevel="0" max="15" min="15" style="1" width="8.28"/>
    <col collapsed="false" customWidth="true" hidden="false" outlineLevel="0" max="17" min="16" style="1" width="8.71"/>
    <col collapsed="false" customWidth="true" hidden="false" outlineLevel="0" max="1025" min="18" style="1" width="8.53"/>
  </cols>
  <sheetData>
    <row r="1" customFormat="false" ht="13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3.8" hidden="false" customHeight="true" outlineLevel="0" collapsed="false">
      <c r="A3" s="4" t="s">
        <v>1</v>
      </c>
      <c r="B3" s="5" t="s">
        <v>2</v>
      </c>
      <c r="C3" s="6" t="s">
        <v>3</v>
      </c>
      <c r="D3" s="6"/>
      <c r="E3" s="6"/>
      <c r="F3" s="6"/>
      <c r="G3" s="6"/>
      <c r="H3" s="6"/>
      <c r="I3" s="7" t="s">
        <v>4</v>
      </c>
      <c r="J3" s="7"/>
      <c r="K3" s="7"/>
      <c r="L3" s="6" t="s">
        <v>5</v>
      </c>
      <c r="M3" s="6"/>
      <c r="N3" s="6"/>
      <c r="O3" s="5" t="s">
        <v>6</v>
      </c>
      <c r="P3" s="8" t="s">
        <v>7</v>
      </c>
      <c r="Q3" s="5" t="s">
        <v>8</v>
      </c>
      <c r="R3" s="9"/>
    </row>
    <row r="4" customFormat="false" ht="13.8" hidden="false" customHeight="true" outlineLevel="0" collapsed="false">
      <c r="A4" s="4"/>
      <c r="B4" s="5"/>
      <c r="C4" s="5" t="s">
        <v>9</v>
      </c>
      <c r="D4" s="5" t="s">
        <v>10</v>
      </c>
      <c r="E4" s="10" t="s">
        <v>11</v>
      </c>
      <c r="F4" s="5" t="s">
        <v>12</v>
      </c>
      <c r="G4" s="5" t="s">
        <v>10</v>
      </c>
      <c r="H4" s="10" t="s">
        <v>11</v>
      </c>
      <c r="I4" s="5" t="s">
        <v>13</v>
      </c>
      <c r="J4" s="5" t="s">
        <v>10</v>
      </c>
      <c r="K4" s="10" t="s">
        <v>11</v>
      </c>
      <c r="L4" s="5" t="s">
        <v>13</v>
      </c>
      <c r="M4" s="5" t="s">
        <v>10</v>
      </c>
      <c r="N4" s="10" t="s">
        <v>11</v>
      </c>
      <c r="O4" s="5"/>
      <c r="P4" s="8"/>
      <c r="Q4" s="5"/>
      <c r="R4" s="9"/>
    </row>
    <row r="5" customFormat="false" ht="13.8" hidden="false" customHeight="false" outlineLevel="0" collapsed="false">
      <c r="A5" s="4"/>
      <c r="B5" s="5"/>
      <c r="C5" s="5"/>
      <c r="D5" s="5"/>
      <c r="E5" s="10"/>
      <c r="F5" s="5"/>
      <c r="G5" s="5"/>
      <c r="H5" s="10"/>
      <c r="I5" s="5"/>
      <c r="J5" s="5"/>
      <c r="K5" s="10"/>
      <c r="L5" s="5"/>
      <c r="M5" s="5"/>
      <c r="N5" s="10"/>
      <c r="O5" s="5"/>
      <c r="P5" s="8"/>
      <c r="Q5" s="5"/>
      <c r="R5" s="9"/>
    </row>
    <row r="6" customFormat="false" ht="13.8" hidden="false" customHeight="false" outlineLevel="0" collapsed="false">
      <c r="A6" s="4"/>
      <c r="B6" s="5"/>
      <c r="C6" s="5"/>
      <c r="D6" s="5"/>
      <c r="E6" s="10"/>
      <c r="F6" s="5"/>
      <c r="G6" s="5"/>
      <c r="H6" s="10"/>
      <c r="I6" s="5"/>
      <c r="J6" s="5"/>
      <c r="K6" s="10"/>
      <c r="L6" s="5"/>
      <c r="M6" s="5"/>
      <c r="N6" s="10"/>
      <c r="O6" s="5"/>
      <c r="P6" s="8"/>
      <c r="Q6" s="5"/>
      <c r="R6" s="9"/>
    </row>
    <row r="7" customFormat="false" ht="13.8" hidden="false" customHeight="false" outlineLevel="0" collapsed="false">
      <c r="A7" s="4"/>
      <c r="B7" s="5"/>
      <c r="C7" s="5"/>
      <c r="D7" s="5"/>
      <c r="E7" s="10"/>
      <c r="F7" s="5"/>
      <c r="G7" s="5"/>
      <c r="H7" s="10"/>
      <c r="I7" s="5"/>
      <c r="J7" s="5"/>
      <c r="K7" s="10"/>
      <c r="L7" s="5"/>
      <c r="M7" s="5"/>
      <c r="N7" s="10"/>
      <c r="O7" s="5"/>
      <c r="P7" s="8"/>
      <c r="Q7" s="5"/>
      <c r="R7" s="9"/>
    </row>
    <row r="8" customFormat="false" ht="13.8" hidden="false" customHeight="false" outlineLevel="0" collapsed="false">
      <c r="A8" s="4"/>
      <c r="B8" s="5"/>
      <c r="C8" s="5"/>
      <c r="D8" s="5"/>
      <c r="E8" s="10"/>
      <c r="F8" s="5"/>
      <c r="G8" s="5"/>
      <c r="H8" s="10"/>
      <c r="I8" s="5"/>
      <c r="J8" s="5"/>
      <c r="K8" s="10"/>
      <c r="L8" s="5"/>
      <c r="M8" s="5"/>
      <c r="N8" s="10"/>
      <c r="O8" s="5"/>
      <c r="P8" s="8"/>
      <c r="Q8" s="5"/>
      <c r="R8" s="9"/>
    </row>
    <row r="9" customFormat="false" ht="13.8" hidden="false" customHeight="false" outlineLevel="0" collapsed="false">
      <c r="A9" s="4" t="n">
        <v>1</v>
      </c>
      <c r="B9" s="4" t="n">
        <v>2</v>
      </c>
      <c r="C9" s="6" t="n">
        <v>3</v>
      </c>
      <c r="D9" s="6" t="n">
        <v>4</v>
      </c>
      <c r="E9" s="11" t="n">
        <v>5</v>
      </c>
      <c r="F9" s="6" t="n">
        <v>6</v>
      </c>
      <c r="G9" s="6" t="n">
        <v>7</v>
      </c>
      <c r="H9" s="6" t="n">
        <v>8</v>
      </c>
      <c r="I9" s="6" t="n">
        <v>11</v>
      </c>
      <c r="J9" s="6" t="n">
        <v>12</v>
      </c>
      <c r="K9" s="6" t="n">
        <v>13</v>
      </c>
      <c r="L9" s="6" t="n">
        <v>17</v>
      </c>
      <c r="M9" s="6" t="n">
        <v>18</v>
      </c>
      <c r="N9" s="6" t="n">
        <v>19</v>
      </c>
      <c r="O9" s="6" t="n">
        <v>20</v>
      </c>
      <c r="P9" s="11" t="n">
        <v>21</v>
      </c>
      <c r="Q9" s="6" t="n">
        <v>22</v>
      </c>
      <c r="R9" s="12"/>
    </row>
    <row r="10" customFormat="false" ht="28.5" hidden="false" customHeight="true" outlineLevel="0" collapsed="false">
      <c r="A10" s="13" t="n">
        <v>1</v>
      </c>
      <c r="B10" s="14" t="s">
        <v>14</v>
      </c>
      <c r="C10" s="11" t="n">
        <f aca="false">C139</f>
        <v>15728782</v>
      </c>
      <c r="D10" s="11" t="n">
        <f aca="false">D139</f>
        <v>13264073</v>
      </c>
      <c r="E10" s="15" t="n">
        <f aca="false">E139</f>
        <v>118.581841339383</v>
      </c>
      <c r="F10" s="11" t="n">
        <f aca="false">F139</f>
        <v>15728782</v>
      </c>
      <c r="G10" s="16" t="n">
        <f aca="false">G139</f>
        <v>13264073</v>
      </c>
      <c r="H10" s="17" t="n">
        <f aca="false">H139</f>
        <v>118.581841339383</v>
      </c>
      <c r="I10" s="16" t="n">
        <f aca="false">I139</f>
        <v>13248877</v>
      </c>
      <c r="J10" s="16" t="n">
        <f aca="false">J139</f>
        <v>10645004</v>
      </c>
      <c r="K10" s="17" t="n">
        <f aca="false">K139</f>
        <v>124.460986581123</v>
      </c>
      <c r="L10" s="11" t="n">
        <f aca="false">L139</f>
        <v>7996629</v>
      </c>
      <c r="M10" s="11" t="n">
        <f aca="false">M139</f>
        <v>5210638</v>
      </c>
      <c r="N10" s="15" t="n">
        <f aca="false">N139</f>
        <v>153.467368103484</v>
      </c>
      <c r="O10" s="11" t="n">
        <f aca="false">O139</f>
        <v>6101</v>
      </c>
      <c r="P10" s="15" t="n">
        <f aca="false">P139</f>
        <v>175.620390099984</v>
      </c>
      <c r="Q10" s="11" t="n">
        <f aca="false">Q139</f>
        <v>6077</v>
      </c>
      <c r="R10" s="18" t="n">
        <f aca="false">O10*P10</f>
        <v>1071460</v>
      </c>
    </row>
    <row r="11" customFormat="false" ht="33.75" hidden="false" customHeight="true" outlineLevel="0" collapsed="false">
      <c r="A11" s="13"/>
      <c r="B11" s="14" t="s">
        <v>15</v>
      </c>
      <c r="C11" s="11" t="n">
        <f aca="false">C149</f>
        <v>14580799</v>
      </c>
      <c r="D11" s="11" t="n">
        <f aca="false">D149</f>
        <v>11912839</v>
      </c>
      <c r="E11" s="15" t="n">
        <f aca="false">E149</f>
        <v>122.395669076028</v>
      </c>
      <c r="F11" s="11" t="n">
        <f aca="false">F149</f>
        <v>14580799</v>
      </c>
      <c r="G11" s="11" t="n">
        <f aca="false">G149</f>
        <v>11912839</v>
      </c>
      <c r="H11" s="15" t="n">
        <f aca="false">H149</f>
        <v>122.395669076028</v>
      </c>
      <c r="I11" s="11" t="n">
        <f aca="false">I149</f>
        <v>14845611</v>
      </c>
      <c r="J11" s="11" t="n">
        <f aca="false">J149</f>
        <v>11108867</v>
      </c>
      <c r="K11" s="15" t="n">
        <f aca="false">K149</f>
        <v>133.637489763808</v>
      </c>
      <c r="L11" s="11" t="n">
        <f aca="false">L149</f>
        <v>14356685</v>
      </c>
      <c r="M11" s="11" t="n">
        <f aca="false">M149</f>
        <v>10840433</v>
      </c>
      <c r="N11" s="15" t="n">
        <f aca="false">N149</f>
        <v>132.43645341473</v>
      </c>
      <c r="O11" s="11" t="n">
        <f aca="false">O149</f>
        <v>3609</v>
      </c>
      <c r="P11" s="11" t="n">
        <f aca="false">P149</f>
        <v>126.769188140759</v>
      </c>
      <c r="Q11" s="11" t="n">
        <f aca="false">Q149</f>
        <v>3622</v>
      </c>
      <c r="R11" s="18" t="n">
        <f aca="false">O11*P11</f>
        <v>457510</v>
      </c>
    </row>
    <row r="12" customFormat="false" ht="30.75" hidden="false" customHeight="true" outlineLevel="0" collapsed="false">
      <c r="A12" s="13" t="n">
        <v>2</v>
      </c>
      <c r="B12" s="14" t="s">
        <v>16</v>
      </c>
      <c r="C12" s="11" t="n">
        <f aca="false">C159</f>
        <v>1000031</v>
      </c>
      <c r="D12" s="11" t="n">
        <f aca="false">D159</f>
        <v>696384</v>
      </c>
      <c r="E12" s="15" t="n">
        <f aca="false">E159</f>
        <v>143.603385488466</v>
      </c>
      <c r="F12" s="11" t="n">
        <f aca="false">F159</f>
        <v>1000031</v>
      </c>
      <c r="G12" s="16" t="n">
        <f aca="false">G159</f>
        <v>696384</v>
      </c>
      <c r="H12" s="17" t="n">
        <f aca="false">H159</f>
        <v>143.603385488466</v>
      </c>
      <c r="I12" s="16" t="n">
        <f aca="false">I159</f>
        <v>598239</v>
      </c>
      <c r="J12" s="16" t="n">
        <f aca="false">J159</f>
        <v>557511</v>
      </c>
      <c r="K12" s="17" t="n">
        <f aca="false">K159</f>
        <v>107.305326711042</v>
      </c>
      <c r="L12" s="11" t="n">
        <f aca="false">L159</f>
        <v>331309</v>
      </c>
      <c r="M12" s="11" t="n">
        <f aca="false">M159</f>
        <v>183665</v>
      </c>
      <c r="N12" s="15" t="n">
        <f aca="false">N159</f>
        <v>180.387662319985</v>
      </c>
      <c r="O12" s="11" t="n">
        <f aca="false">O159</f>
        <v>1324</v>
      </c>
      <c r="P12" s="15" t="n">
        <f aca="false">P159</f>
        <v>83.1510574018127</v>
      </c>
      <c r="Q12" s="11" t="n">
        <f aca="false">Q159</f>
        <v>1331</v>
      </c>
      <c r="R12" s="18" t="n">
        <f aca="false">O12*P12</f>
        <v>110092</v>
      </c>
    </row>
    <row r="13" customFormat="false" ht="39.75" hidden="false" customHeight="true" outlineLevel="0" collapsed="false">
      <c r="A13" s="13" t="n">
        <v>3</v>
      </c>
      <c r="B13" s="14" t="s">
        <v>17</v>
      </c>
      <c r="C13" s="11" t="n">
        <f aca="false">C178</f>
        <v>716454</v>
      </c>
      <c r="D13" s="11" t="n">
        <f aca="false">D178</f>
        <v>754665</v>
      </c>
      <c r="E13" s="15" t="n">
        <f aca="false">E178</f>
        <v>94.9366937647831</v>
      </c>
      <c r="F13" s="11" t="n">
        <f aca="false">F178</f>
        <v>716454</v>
      </c>
      <c r="G13" s="16" t="n">
        <f aca="false">G178</f>
        <v>754665</v>
      </c>
      <c r="H13" s="17" t="n">
        <f aca="false">H178</f>
        <v>94.9366937647831</v>
      </c>
      <c r="I13" s="16" t="n">
        <f aca="false">I178</f>
        <v>798971</v>
      </c>
      <c r="J13" s="16" t="n">
        <f aca="false">J178</f>
        <v>574540</v>
      </c>
      <c r="K13" s="17" t="n">
        <f aca="false">K178</f>
        <v>139.062728443624</v>
      </c>
      <c r="L13" s="11" t="n">
        <f aca="false">L178</f>
        <v>791562</v>
      </c>
      <c r="M13" s="11" t="n">
        <f aca="false">M178</f>
        <v>570245</v>
      </c>
      <c r="N13" s="15" t="n">
        <f aca="false">N178</f>
        <v>138.810861997913</v>
      </c>
      <c r="O13" s="11" t="n">
        <f aca="false">O178</f>
        <v>391</v>
      </c>
      <c r="P13" s="15" t="n">
        <f aca="false">P178</f>
        <v>124.95652173913</v>
      </c>
      <c r="Q13" s="11" t="n">
        <f aca="false">Q178</f>
        <v>452</v>
      </c>
      <c r="R13" s="18" t="n">
        <f aca="false">O13*P13</f>
        <v>48858</v>
      </c>
    </row>
    <row r="14" customFormat="false" ht="45" hidden="false" customHeight="true" outlineLevel="0" collapsed="false">
      <c r="A14" s="13" t="n">
        <v>4</v>
      </c>
      <c r="B14" s="14" t="s">
        <v>18</v>
      </c>
      <c r="C14" s="11" t="n">
        <f aca="false">C54</f>
        <v>93700</v>
      </c>
      <c r="D14" s="16" t="n">
        <f aca="false">D54</f>
        <v>175555</v>
      </c>
      <c r="E14" s="17" t="n">
        <f aca="false">E54</f>
        <v>53.3735866252741</v>
      </c>
      <c r="F14" s="16" t="n">
        <f aca="false">F54</f>
        <v>60783</v>
      </c>
      <c r="G14" s="16" t="n">
        <f aca="false">G54</f>
        <v>137950</v>
      </c>
      <c r="H14" s="17" t="n">
        <f aca="false">H54</f>
        <v>44.0616165277274</v>
      </c>
      <c r="I14" s="16" t="n">
        <f aca="false">I54</f>
        <v>70385</v>
      </c>
      <c r="J14" s="16" t="n">
        <f aca="false">J54</f>
        <v>153187</v>
      </c>
      <c r="K14" s="17" t="n">
        <f aca="false">K54</f>
        <v>45.9471103944852</v>
      </c>
      <c r="L14" s="16" t="n">
        <f aca="false">L54</f>
        <v>13556</v>
      </c>
      <c r="M14" s="16" t="n">
        <f aca="false">M54</f>
        <v>94594</v>
      </c>
      <c r="N14" s="17" t="n">
        <f aca="false">N54</f>
        <v>14.3307186502315</v>
      </c>
      <c r="O14" s="16" t="n">
        <f aca="false">O54</f>
        <v>709</v>
      </c>
      <c r="P14" s="17" t="n">
        <f aca="false">P54</f>
        <v>85.3808180535966</v>
      </c>
      <c r="Q14" s="16" t="n">
        <f aca="false">Q54</f>
        <v>906</v>
      </c>
      <c r="R14" s="18" t="n">
        <f aca="false">O14*P14</f>
        <v>60535</v>
      </c>
    </row>
    <row r="15" customFormat="false" ht="34.5" hidden="false" customHeight="true" outlineLevel="0" collapsed="false">
      <c r="A15" s="13" t="n">
        <v>5</v>
      </c>
      <c r="B15" s="14" t="s">
        <v>19</v>
      </c>
      <c r="C15" s="11" t="n">
        <f aca="false">C66</f>
        <v>36904</v>
      </c>
      <c r="D15" s="16" t="n">
        <f aca="false">D66</f>
        <v>43962</v>
      </c>
      <c r="E15" s="17" t="n">
        <f aca="false">E66</f>
        <v>83.9452254219553</v>
      </c>
      <c r="F15" s="16" t="n">
        <f aca="false">F66</f>
        <v>36904</v>
      </c>
      <c r="G15" s="16" t="n">
        <f aca="false">G66</f>
        <v>43962</v>
      </c>
      <c r="H15" s="17" t="n">
        <f aca="false">H66</f>
        <v>83.9452254219553</v>
      </c>
      <c r="I15" s="16" t="n">
        <f aca="false">I66</f>
        <v>50333</v>
      </c>
      <c r="J15" s="16" t="n">
        <f aca="false">J66</f>
        <v>65347</v>
      </c>
      <c r="K15" s="17" t="n">
        <f aca="false">K66</f>
        <v>77.0241939186191</v>
      </c>
      <c r="L15" s="16" t="n">
        <f aca="false">L66</f>
        <v>38333</v>
      </c>
      <c r="M15" s="16" t="n">
        <f aca="false">M66</f>
        <v>36676</v>
      </c>
      <c r="N15" s="17" t="n">
        <f aca="false">N66</f>
        <v>104.517940887774</v>
      </c>
      <c r="O15" s="16" t="n">
        <f aca="false">O66</f>
        <v>259</v>
      </c>
      <c r="P15" s="17" t="n">
        <f aca="false">P66</f>
        <v>62.5984555984556</v>
      </c>
      <c r="Q15" s="16" t="n">
        <f aca="false">Q66</f>
        <v>511</v>
      </c>
      <c r="R15" s="18" t="n">
        <f aca="false">O15*P15</f>
        <v>16213</v>
      </c>
    </row>
    <row r="16" customFormat="false" ht="36.75" hidden="false" customHeight="true" outlineLevel="0" collapsed="false">
      <c r="A16" s="13" t="n">
        <v>6</v>
      </c>
      <c r="B16" s="14" t="s">
        <v>20</v>
      </c>
      <c r="C16" s="11" t="n">
        <f aca="false">C77</f>
        <v>105534</v>
      </c>
      <c r="D16" s="16" t="n">
        <f aca="false">D77</f>
        <v>135067</v>
      </c>
      <c r="E16" s="17" t="n">
        <f aca="false">E77</f>
        <v>78.1345554428543</v>
      </c>
      <c r="F16" s="16" t="n">
        <f aca="false">F77</f>
        <v>105534</v>
      </c>
      <c r="G16" s="16" t="n">
        <f aca="false">G77</f>
        <v>135067</v>
      </c>
      <c r="H16" s="17" t="n">
        <f aca="false">H77</f>
        <v>78.1345554428543</v>
      </c>
      <c r="I16" s="16" t="n">
        <f aca="false">I77</f>
        <v>90106</v>
      </c>
      <c r="J16" s="16" t="n">
        <f aca="false">J77</f>
        <v>93019</v>
      </c>
      <c r="K16" s="17" t="n">
        <f aca="false">K77</f>
        <v>96.8683817284641</v>
      </c>
      <c r="L16" s="16" t="n">
        <f aca="false">L77</f>
        <v>37206</v>
      </c>
      <c r="M16" s="16" t="n">
        <f aca="false">M77</f>
        <v>33548</v>
      </c>
      <c r="N16" s="17" t="n">
        <f aca="false">N77</f>
        <v>110.903779658996</v>
      </c>
      <c r="O16" s="16" t="n">
        <f aca="false">O77</f>
        <v>533</v>
      </c>
      <c r="P16" s="17" t="n">
        <f aca="false">P77</f>
        <v>96.0187617260788</v>
      </c>
      <c r="Q16" s="16" t="n">
        <f aca="false">Q77</f>
        <v>536</v>
      </c>
      <c r="R16" s="18" t="n">
        <f aca="false">O16*P16</f>
        <v>51178</v>
      </c>
    </row>
    <row r="17" customFormat="false" ht="40.5" hidden="false" customHeight="true" outlineLevel="0" collapsed="false">
      <c r="A17" s="13" t="n">
        <v>7</v>
      </c>
      <c r="B17" s="14" t="s">
        <v>21</v>
      </c>
      <c r="C17" s="11" t="n">
        <f aca="false">C92</f>
        <v>449170</v>
      </c>
      <c r="D17" s="16" t="n">
        <f aca="false">D92</f>
        <v>328984</v>
      </c>
      <c r="E17" s="17" t="n">
        <f aca="false">E92</f>
        <v>136.532475743501</v>
      </c>
      <c r="F17" s="16" t="n">
        <f aca="false">F92</f>
        <v>449170</v>
      </c>
      <c r="G17" s="16" t="n">
        <f aca="false">G92</f>
        <v>328551</v>
      </c>
      <c r="H17" s="17" t="n">
        <f aca="false">H92</f>
        <v>136.712412989155</v>
      </c>
      <c r="I17" s="16" t="n">
        <f aca="false">I92</f>
        <v>643462</v>
      </c>
      <c r="J17" s="16" t="n">
        <f aca="false">J92</f>
        <v>1274847</v>
      </c>
      <c r="K17" s="17" t="n">
        <f aca="false">K92</f>
        <v>50.4736646828992</v>
      </c>
      <c r="L17" s="16" t="n">
        <f aca="false">L92</f>
        <v>244370</v>
      </c>
      <c r="M17" s="16" t="n">
        <f aca="false">M92</f>
        <v>143136</v>
      </c>
      <c r="N17" s="17" t="n">
        <f aca="false">N92</f>
        <v>170.725743348983</v>
      </c>
      <c r="O17" s="16" t="n">
        <f aca="false">O92</f>
        <v>4247</v>
      </c>
      <c r="P17" s="17" t="n">
        <f aca="false">P92</f>
        <v>113.943960442665</v>
      </c>
      <c r="Q17" s="16" t="n">
        <f aca="false">Q92</f>
        <v>4184</v>
      </c>
      <c r="R17" s="18" t="n">
        <f aca="false">O17*P17</f>
        <v>483920</v>
      </c>
    </row>
    <row r="18" customFormat="false" ht="42.75" hidden="false" customHeight="true" outlineLevel="0" collapsed="false">
      <c r="A18" s="13" t="n">
        <v>8</v>
      </c>
      <c r="B18" s="14" t="s">
        <v>22</v>
      </c>
      <c r="C18" s="11" t="n">
        <f aca="false">C165</f>
        <v>641741</v>
      </c>
      <c r="D18" s="16" t="n">
        <f aca="false">D165</f>
        <v>226303</v>
      </c>
      <c r="E18" s="17" t="n">
        <f aca="false">E165</f>
        <v>283.576002085699</v>
      </c>
      <c r="F18" s="16" t="n">
        <f aca="false">F165</f>
        <v>641741</v>
      </c>
      <c r="G18" s="16" t="n">
        <f aca="false">G165</f>
        <v>226303</v>
      </c>
      <c r="H18" s="17" t="n">
        <f aca="false">H165</f>
        <v>283.576002085699</v>
      </c>
      <c r="I18" s="16" t="n">
        <f aca="false">I165</f>
        <v>315665</v>
      </c>
      <c r="J18" s="16" t="n">
        <f aca="false">J165</f>
        <v>497792</v>
      </c>
      <c r="K18" s="17" t="n">
        <f aca="false">K165</f>
        <v>63.4130319490872</v>
      </c>
      <c r="L18" s="16" t="n">
        <f aca="false">L165</f>
        <v>10204</v>
      </c>
      <c r="M18" s="16" t="n">
        <f aca="false">M165</f>
        <v>10444</v>
      </c>
      <c r="N18" s="17" t="n">
        <f aca="false">N165</f>
        <v>0</v>
      </c>
      <c r="O18" s="16" t="n">
        <f aca="false">O165</f>
        <v>582</v>
      </c>
      <c r="P18" s="17" t="n">
        <f aca="false">P165</f>
        <v>96.7113402061856</v>
      </c>
      <c r="Q18" s="16" t="n">
        <f aca="false">Q165</f>
        <v>565</v>
      </c>
      <c r="R18" s="18" t="n">
        <f aca="false">O18*P18</f>
        <v>56286</v>
      </c>
    </row>
    <row r="19" customFormat="false" ht="43.5" hidden="false" customHeight="true" outlineLevel="0" collapsed="false">
      <c r="A19" s="13" t="n">
        <v>9</v>
      </c>
      <c r="B19" s="14" t="s">
        <v>23</v>
      </c>
      <c r="C19" s="11" t="n">
        <f aca="false">C120</f>
        <v>225974</v>
      </c>
      <c r="D19" s="16" t="n">
        <f aca="false">D120</f>
        <v>160679</v>
      </c>
      <c r="E19" s="17" t="n">
        <f aca="false">E120</f>
        <v>140.636922061999</v>
      </c>
      <c r="F19" s="16" t="n">
        <f aca="false">F120</f>
        <v>225974</v>
      </c>
      <c r="G19" s="16" t="n">
        <f aca="false">G120</f>
        <v>160679</v>
      </c>
      <c r="H19" s="17" t="n">
        <f aca="false">H120</f>
        <v>140.636922061999</v>
      </c>
      <c r="I19" s="16" t="n">
        <f aca="false">I120</f>
        <v>180422</v>
      </c>
      <c r="J19" s="16" t="n">
        <f aca="false">J120</f>
        <v>131877</v>
      </c>
      <c r="K19" s="17" t="n">
        <f aca="false">K120</f>
        <v>136.810816139281</v>
      </c>
      <c r="L19" s="16" t="n">
        <f aca="false">L120</f>
        <v>144398</v>
      </c>
      <c r="M19" s="16" t="n">
        <f aca="false">M120</f>
        <v>105452</v>
      </c>
      <c r="N19" s="17" t="n">
        <f aca="false">N120</f>
        <v>136.932443196905</v>
      </c>
      <c r="O19" s="16" t="n">
        <f aca="false">O120</f>
        <v>1102</v>
      </c>
      <c r="P19" s="17" t="n">
        <f aca="false">P120</f>
        <v>61.6079854809437</v>
      </c>
      <c r="Q19" s="16" t="n">
        <f aca="false">Q120</f>
        <v>1302</v>
      </c>
      <c r="R19" s="18" t="n">
        <f aca="false">O19*P19</f>
        <v>67892</v>
      </c>
    </row>
    <row r="20" customFormat="false" ht="23.25" hidden="false" customHeight="true" outlineLevel="0" collapsed="false">
      <c r="A20" s="13" t="n">
        <v>10</v>
      </c>
      <c r="B20" s="14" t="s">
        <v>24</v>
      </c>
      <c r="C20" s="11" t="n">
        <f aca="false">C131</f>
        <v>2372</v>
      </c>
      <c r="D20" s="16" t="n">
        <f aca="false">D131</f>
        <v>15927</v>
      </c>
      <c r="E20" s="17" t="n">
        <f aca="false">E131</f>
        <v>14.8929490801783</v>
      </c>
      <c r="F20" s="16" t="n">
        <f aca="false">F131</f>
        <v>2372</v>
      </c>
      <c r="G20" s="16" t="n">
        <f aca="false">G131</f>
        <v>15927</v>
      </c>
      <c r="H20" s="17" t="n">
        <f aca="false">H131</f>
        <v>14.8929490801783</v>
      </c>
      <c r="I20" s="16" t="n">
        <f aca="false">I131</f>
        <v>6528</v>
      </c>
      <c r="J20" s="16" t="n">
        <f aca="false">J131</f>
        <v>14765</v>
      </c>
      <c r="K20" s="17" t="n">
        <f aca="false">K131</f>
        <v>44.2126650863529</v>
      </c>
      <c r="L20" s="16" t="n">
        <f aca="false">L131</f>
        <v>0</v>
      </c>
      <c r="M20" s="16" t="n">
        <f aca="false">M131</f>
        <v>0</v>
      </c>
      <c r="N20" s="17" t="n">
        <f aca="false">N131</f>
        <v>0</v>
      </c>
      <c r="O20" s="16" t="n">
        <f aca="false">O131</f>
        <v>97</v>
      </c>
      <c r="P20" s="17" t="n">
        <f aca="false">P131</f>
        <v>74.8453608247423</v>
      </c>
      <c r="Q20" s="16" t="n">
        <f aca="false">Q131</f>
        <v>99</v>
      </c>
      <c r="R20" s="18" t="n">
        <f aca="false">O20*P20</f>
        <v>7260</v>
      </c>
    </row>
    <row r="21" customFormat="false" ht="39" hidden="false" customHeight="true" outlineLevel="0" collapsed="false">
      <c r="A21" s="13" t="n">
        <v>11</v>
      </c>
      <c r="B21" s="14" t="s">
        <v>25</v>
      </c>
      <c r="C21" s="11" t="n">
        <f aca="false">C190</f>
        <v>52130</v>
      </c>
      <c r="D21" s="16" t="n">
        <f aca="false">D190</f>
        <v>53249</v>
      </c>
      <c r="E21" s="17" t="n">
        <f aca="false">E190</f>
        <v>97.8985520854852</v>
      </c>
      <c r="F21" s="16" t="n">
        <f aca="false">F190</f>
        <v>52130</v>
      </c>
      <c r="G21" s="16" t="n">
        <f aca="false">G190</f>
        <v>53249</v>
      </c>
      <c r="H21" s="17" t="n">
        <f aca="false">H190</f>
        <v>97.8985520854852</v>
      </c>
      <c r="I21" s="16" t="n">
        <f aca="false">I190</f>
        <v>9915.6</v>
      </c>
      <c r="J21" s="16" t="n">
        <f aca="false">J190</f>
        <v>17252.7</v>
      </c>
      <c r="K21" s="17" t="n">
        <f aca="false">K190</f>
        <v>57.4727433966857</v>
      </c>
      <c r="L21" s="16" t="n">
        <f aca="false">L190</f>
        <v>0</v>
      </c>
      <c r="M21" s="16" t="n">
        <f aca="false">M190</f>
        <v>0</v>
      </c>
      <c r="N21" s="17" t="n">
        <f aca="false">N190</f>
        <v>0</v>
      </c>
      <c r="O21" s="16" t="n">
        <f aca="false">O190</f>
        <v>527</v>
      </c>
      <c r="P21" s="17" t="n">
        <f aca="false">P190</f>
        <v>146.477988614801</v>
      </c>
      <c r="Q21" s="16" t="n">
        <f aca="false">Q190</f>
        <v>579</v>
      </c>
      <c r="R21" s="18" t="n">
        <f aca="false">O21*P21</f>
        <v>77193.9</v>
      </c>
    </row>
    <row r="22" customFormat="false" ht="39.75" hidden="false" customHeight="true" outlineLevel="0" collapsed="false">
      <c r="A22" s="13" t="n">
        <v>12</v>
      </c>
      <c r="B22" s="14" t="s">
        <v>26</v>
      </c>
      <c r="C22" s="11" t="n">
        <f aca="false">C195</f>
        <v>3092</v>
      </c>
      <c r="D22" s="16" t="n">
        <f aca="false">D195</f>
        <v>1491</v>
      </c>
      <c r="E22" s="17" t="n">
        <f aca="false">E195</f>
        <v>207.377598926895</v>
      </c>
      <c r="F22" s="16" t="n">
        <f aca="false">F195</f>
        <v>3092</v>
      </c>
      <c r="G22" s="16" t="n">
        <f aca="false">G195</f>
        <v>1491</v>
      </c>
      <c r="H22" s="17" t="n">
        <f aca="false">H195</f>
        <v>207.377598926895</v>
      </c>
      <c r="I22" s="16" t="n">
        <f aca="false">I195</f>
        <v>3092</v>
      </c>
      <c r="J22" s="16" t="n">
        <f aca="false">J195</f>
        <v>1491</v>
      </c>
      <c r="K22" s="17" t="n">
        <f aca="false">K195</f>
        <v>207.377598926895</v>
      </c>
      <c r="L22" s="16" t="n">
        <f aca="false">L195</f>
        <v>3092</v>
      </c>
      <c r="M22" s="16" t="n">
        <f aca="false">M195</f>
        <v>1491</v>
      </c>
      <c r="N22" s="17" t="n">
        <f aca="false">N195</f>
        <v>207.377598926895</v>
      </c>
      <c r="O22" s="16" t="n">
        <f aca="false">O195</f>
        <v>49</v>
      </c>
      <c r="P22" s="17" t="n">
        <f aca="false">P195</f>
        <v>62</v>
      </c>
      <c r="Q22" s="16" t="n">
        <f aca="false">Q195</f>
        <v>64</v>
      </c>
      <c r="R22" s="18" t="n">
        <f aca="false">O22*P22</f>
        <v>3038</v>
      </c>
    </row>
    <row r="23" customFormat="false" ht="13.8" hidden="false" customHeight="false" outlineLevel="0" collapsed="false">
      <c r="A23" s="19"/>
      <c r="B23" s="19" t="s">
        <v>27</v>
      </c>
      <c r="C23" s="20" t="n">
        <f aca="false">SUM(C10:C22)</f>
        <v>33636683</v>
      </c>
      <c r="D23" s="20" t="n">
        <f aca="false">SUM(D10:D22)</f>
        <v>27769178</v>
      </c>
      <c r="E23" s="21" t="n">
        <f aca="false">C23/D23*100</f>
        <v>121.129559542598</v>
      </c>
      <c r="F23" s="20" t="n">
        <f aca="false">SUM(F10:F22)</f>
        <v>33603766</v>
      </c>
      <c r="G23" s="20" t="n">
        <f aca="false">SUM(G10:G22)</f>
        <v>27731140</v>
      </c>
      <c r="H23" s="21" t="n">
        <f aca="false">F23/G23*100</f>
        <v>121.177008950948</v>
      </c>
      <c r="I23" s="20" t="n">
        <f aca="false">SUM(I10:I22)</f>
        <v>30861606.6</v>
      </c>
      <c r="J23" s="20" t="n">
        <f aca="false">SUM(J10:J22)</f>
        <v>25135499.7</v>
      </c>
      <c r="K23" s="21" t="n">
        <f aca="false">I23/J23*100</f>
        <v>122.780955096747</v>
      </c>
      <c r="L23" s="20" t="n">
        <f aca="false">SUM(L10:L22)</f>
        <v>23967344</v>
      </c>
      <c r="M23" s="20" t="n">
        <f aca="false">SUM(M10:M22)</f>
        <v>17230322</v>
      </c>
      <c r="N23" s="21" t="n">
        <f aca="false">L23/M23*100</f>
        <v>139.099803242215</v>
      </c>
      <c r="O23" s="20" t="n">
        <f aca="false">SUM(O10:O22)</f>
        <v>19530</v>
      </c>
      <c r="P23" s="21" t="n">
        <f aca="false">R23/O23</f>
        <v>128.593748079877</v>
      </c>
      <c r="Q23" s="20" t="n">
        <f aca="false">SUM(Q10:Q22)</f>
        <v>20228</v>
      </c>
      <c r="R23" s="22" t="n">
        <f aca="false">SUM(R10:R22)</f>
        <v>2511435.9</v>
      </c>
    </row>
    <row r="24" customFormat="false" ht="96.75" hidden="false" customHeight="true" outlineLevel="0" collapsed="false">
      <c r="A24" s="23"/>
      <c r="P24" s="23"/>
      <c r="Q24" s="23"/>
    </row>
    <row r="25" customFormat="false" ht="0.75" hidden="true" customHeight="true" outlineLevel="0" collapsed="false">
      <c r="A25" s="24"/>
      <c r="P25" s="25"/>
      <c r="Q25" s="25"/>
      <c r="R25" s="26"/>
    </row>
    <row r="26" customFormat="false" ht="13.8" hidden="true" customHeight="false" outlineLevel="0" collapsed="false"/>
    <row r="27" customFormat="false" ht="0.75" hidden="true" customHeight="true" outlineLevel="0" collapsed="false"/>
    <row r="28" customFormat="false" ht="13.8" hidden="true" customHeight="false" outlineLevel="0" collapsed="false"/>
    <row r="29" customFormat="false" ht="0.75" hidden="true" customHeight="true" outlineLevel="0" collapsed="false"/>
    <row r="30" customFormat="false" ht="13.8" hidden="false" customHeight="true" outlineLevel="0" collapsed="false">
      <c r="A30" s="27" t="s">
        <v>28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</row>
    <row r="31" customFormat="false" ht="13.8" hidden="false" customHeight="fals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</row>
    <row r="32" customFormat="false" ht="5.2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9"/>
    </row>
    <row r="33" customFormat="false" ht="13.8" hidden="false" customHeight="true" outlineLevel="0" collapsed="false">
      <c r="A33" s="30" t="s">
        <v>1</v>
      </c>
      <c r="B33" s="31" t="s">
        <v>29</v>
      </c>
      <c r="C33" s="32" t="s">
        <v>3</v>
      </c>
      <c r="D33" s="32"/>
      <c r="E33" s="32"/>
      <c r="F33" s="32"/>
      <c r="G33" s="32"/>
      <c r="H33" s="32" t="s">
        <v>4</v>
      </c>
      <c r="I33" s="32"/>
      <c r="J33" s="32"/>
      <c r="K33" s="32"/>
      <c r="L33" s="32"/>
      <c r="M33" s="32" t="s">
        <v>5</v>
      </c>
      <c r="N33" s="33"/>
      <c r="O33" s="31" t="s">
        <v>30</v>
      </c>
      <c r="P33" s="34" t="s">
        <v>31</v>
      </c>
      <c r="Q33" s="31" t="s">
        <v>32</v>
      </c>
      <c r="R33" s="35"/>
    </row>
    <row r="34" customFormat="false" ht="43.5" hidden="false" customHeight="false" outlineLevel="0" collapsed="false">
      <c r="A34" s="30"/>
      <c r="B34" s="31"/>
      <c r="C34" s="36" t="s">
        <v>9</v>
      </c>
      <c r="D34" s="36" t="s">
        <v>33</v>
      </c>
      <c r="E34" s="37" t="s">
        <v>34</v>
      </c>
      <c r="F34" s="36" t="s">
        <v>12</v>
      </c>
      <c r="G34" s="36" t="s">
        <v>35</v>
      </c>
      <c r="H34" s="37" t="s">
        <v>34</v>
      </c>
      <c r="I34" s="36" t="s">
        <v>13</v>
      </c>
      <c r="J34" s="36" t="s">
        <v>33</v>
      </c>
      <c r="K34" s="37" t="s">
        <v>34</v>
      </c>
      <c r="L34" s="36" t="s">
        <v>13</v>
      </c>
      <c r="M34" s="36" t="s">
        <v>33</v>
      </c>
      <c r="N34" s="37" t="s">
        <v>34</v>
      </c>
      <c r="O34" s="31"/>
      <c r="P34" s="34"/>
      <c r="Q34" s="31"/>
      <c r="R34" s="38"/>
    </row>
    <row r="35" customFormat="false" ht="13.8" hidden="false" customHeight="false" outlineLevel="0" collapsed="false">
      <c r="A35" s="39"/>
      <c r="B35" s="40" t="s">
        <v>36</v>
      </c>
      <c r="C35" s="39"/>
      <c r="D35" s="39"/>
      <c r="E35" s="39"/>
      <c r="F35" s="39"/>
      <c r="G35" s="39"/>
      <c r="H35" s="39"/>
      <c r="I35" s="39"/>
      <c r="J35" s="39"/>
      <c r="K35" s="41"/>
      <c r="L35" s="39"/>
      <c r="M35" s="39"/>
      <c r="N35" s="39"/>
      <c r="O35" s="39"/>
      <c r="P35" s="42"/>
      <c r="Q35" s="42"/>
      <c r="R35" s="43"/>
    </row>
    <row r="36" customFormat="false" ht="13.8" hidden="false" customHeight="false" outlineLevel="0" collapsed="false">
      <c r="A36" s="44" t="s">
        <v>37</v>
      </c>
      <c r="B36" s="44"/>
      <c r="C36" s="44" t="n">
        <v>3</v>
      </c>
      <c r="D36" s="44" t="n">
        <v>4</v>
      </c>
      <c r="E36" s="45" t="n">
        <v>5</v>
      </c>
      <c r="F36" s="44" t="n">
        <v>6</v>
      </c>
      <c r="G36" s="44" t="n">
        <v>7</v>
      </c>
      <c r="H36" s="44" t="n">
        <v>8</v>
      </c>
      <c r="I36" s="44" t="n">
        <v>9</v>
      </c>
      <c r="J36" s="44" t="n">
        <v>10</v>
      </c>
      <c r="K36" s="44" t="n">
        <v>11</v>
      </c>
      <c r="L36" s="44" t="n">
        <v>12</v>
      </c>
      <c r="M36" s="44" t="n">
        <v>13</v>
      </c>
      <c r="N36" s="44" t="n">
        <v>14</v>
      </c>
      <c r="O36" s="44" t="n">
        <v>15</v>
      </c>
      <c r="P36" s="45" t="n">
        <v>16</v>
      </c>
      <c r="Q36" s="44" t="n">
        <v>17</v>
      </c>
      <c r="R36" s="46"/>
    </row>
    <row r="37" customFormat="false" ht="13.8" hidden="false" customHeight="false" outlineLevel="0" collapsed="false">
      <c r="A37" s="47" t="n">
        <v>1</v>
      </c>
      <c r="B37" s="48" t="s">
        <v>38</v>
      </c>
      <c r="C37" s="49" t="n">
        <v>5705</v>
      </c>
      <c r="D37" s="49" t="n">
        <v>7209</v>
      </c>
      <c r="E37" s="50" t="n">
        <f aca="false">C37/D37*100</f>
        <v>79.137189624081</v>
      </c>
      <c r="F37" s="49" t="n">
        <v>5705</v>
      </c>
      <c r="G37" s="49" t="n">
        <v>7209</v>
      </c>
      <c r="H37" s="50" t="n">
        <f aca="false">F37/G37*100</f>
        <v>79.137189624081</v>
      </c>
      <c r="I37" s="49" t="n">
        <v>5705</v>
      </c>
      <c r="J37" s="49" t="n">
        <v>7209</v>
      </c>
      <c r="K37" s="50" t="n">
        <f aca="false">I37/J37*100</f>
        <v>79.137189624081</v>
      </c>
      <c r="L37" s="49" t="n">
        <v>0</v>
      </c>
      <c r="M37" s="49" t="n">
        <v>0</v>
      </c>
      <c r="N37" s="50" t="n">
        <v>0</v>
      </c>
      <c r="O37" s="49" t="n">
        <v>86</v>
      </c>
      <c r="P37" s="49" t="n">
        <v>82</v>
      </c>
      <c r="Q37" s="49" t="n">
        <v>90</v>
      </c>
      <c r="R37" s="51" t="n">
        <f aca="false">O37*P37</f>
        <v>7052</v>
      </c>
    </row>
    <row r="38" customFormat="false" ht="13.8" hidden="false" customHeight="false" outlineLevel="0" collapsed="false">
      <c r="A38" s="47" t="n">
        <v>2</v>
      </c>
      <c r="B38" s="48" t="s">
        <v>39</v>
      </c>
      <c r="C38" s="49" t="n">
        <v>0</v>
      </c>
      <c r="D38" s="49" t="n">
        <v>0</v>
      </c>
      <c r="E38" s="50" t="n">
        <v>0</v>
      </c>
      <c r="F38" s="49" t="n">
        <v>0</v>
      </c>
      <c r="G38" s="49" t="n">
        <v>0</v>
      </c>
      <c r="H38" s="50" t="n">
        <v>0</v>
      </c>
      <c r="I38" s="49" t="n">
        <v>0</v>
      </c>
      <c r="J38" s="49" t="n">
        <v>0</v>
      </c>
      <c r="K38" s="50" t="n">
        <v>0</v>
      </c>
      <c r="L38" s="49" t="n">
        <v>0</v>
      </c>
      <c r="M38" s="49" t="n">
        <v>0</v>
      </c>
      <c r="N38" s="50" t="n">
        <v>0</v>
      </c>
      <c r="O38" s="52"/>
      <c r="P38" s="53" t="n">
        <v>170</v>
      </c>
      <c r="Q38" s="52" t="n">
        <v>95</v>
      </c>
      <c r="R38" s="51" t="n">
        <f aca="false">O38*P38</f>
        <v>0</v>
      </c>
    </row>
    <row r="39" customFormat="false" ht="13.8" hidden="false" customHeight="false" outlineLevel="0" collapsed="false">
      <c r="A39" s="47" t="n">
        <v>3</v>
      </c>
      <c r="B39" s="48" t="s">
        <v>40</v>
      </c>
      <c r="C39" s="49" t="n">
        <v>6613</v>
      </c>
      <c r="D39" s="49" t="n">
        <v>0</v>
      </c>
      <c r="E39" s="54" t="n">
        <v>0</v>
      </c>
      <c r="F39" s="49" t="n">
        <v>6613</v>
      </c>
      <c r="G39" s="49" t="n">
        <v>0</v>
      </c>
      <c r="H39" s="54" t="n">
        <v>0</v>
      </c>
      <c r="I39" s="49" t="n">
        <v>6297</v>
      </c>
      <c r="J39" s="49" t="n">
        <v>5548</v>
      </c>
      <c r="K39" s="54" t="n">
        <f aca="false">I39/J39*100</f>
        <v>113.500360490267</v>
      </c>
      <c r="L39" s="49" t="n">
        <v>0</v>
      </c>
      <c r="M39" s="49" t="n">
        <v>0</v>
      </c>
      <c r="N39" s="54" t="n">
        <v>0</v>
      </c>
      <c r="O39" s="52" t="n">
        <v>23</v>
      </c>
      <c r="P39" s="53" t="n">
        <v>90</v>
      </c>
      <c r="Q39" s="52" t="n">
        <v>34</v>
      </c>
      <c r="R39" s="51" t="n">
        <f aca="false">O39*P39</f>
        <v>2070</v>
      </c>
    </row>
    <row r="40" customFormat="false" ht="13.8" hidden="false" customHeight="false" outlineLevel="0" collapsed="false">
      <c r="A40" s="47" t="n">
        <v>4</v>
      </c>
      <c r="B40" s="48" t="s">
        <v>41</v>
      </c>
      <c r="C40" s="49" t="n">
        <v>2650</v>
      </c>
      <c r="D40" s="49" t="n">
        <v>0</v>
      </c>
      <c r="E40" s="54" t="e">
        <f aca="false">C40/D40*100</f>
        <v>#DIV/0!</v>
      </c>
      <c r="F40" s="49" t="n">
        <v>2650</v>
      </c>
      <c r="G40" s="49" t="n">
        <v>0</v>
      </c>
      <c r="H40" s="54" t="e">
        <f aca="false">F40/G40*100</f>
        <v>#DIV/0!</v>
      </c>
      <c r="I40" s="49" t="n">
        <v>0</v>
      </c>
      <c r="J40" s="49" t="n">
        <v>0</v>
      </c>
      <c r="K40" s="54" t="n">
        <v>0</v>
      </c>
      <c r="L40" s="49" t="n">
        <v>0</v>
      </c>
      <c r="M40" s="49" t="n">
        <v>0</v>
      </c>
      <c r="N40" s="54" t="n">
        <v>0</v>
      </c>
      <c r="O40" s="52" t="n">
        <v>20</v>
      </c>
      <c r="P40" s="53" t="n">
        <v>60</v>
      </c>
      <c r="Q40" s="52" t="n">
        <v>20</v>
      </c>
      <c r="R40" s="51" t="n">
        <f aca="false">O40*P40</f>
        <v>1200</v>
      </c>
    </row>
    <row r="41" customFormat="false" ht="13.8" hidden="false" customHeight="false" outlineLevel="0" collapsed="false">
      <c r="A41" s="47" t="n">
        <v>5</v>
      </c>
      <c r="B41" s="48" t="s">
        <v>42</v>
      </c>
      <c r="C41" s="55" t="n">
        <v>2076</v>
      </c>
      <c r="D41" s="55" t="n">
        <v>4527</v>
      </c>
      <c r="E41" s="54" t="n">
        <f aca="false">C41/D41*100</f>
        <v>45.8581842279656</v>
      </c>
      <c r="F41" s="55" t="n">
        <v>2076</v>
      </c>
      <c r="G41" s="55" t="n">
        <v>4527</v>
      </c>
      <c r="H41" s="54" t="n">
        <f aca="false">F41/G41*100</f>
        <v>45.8581842279656</v>
      </c>
      <c r="I41" s="55" t="n">
        <v>3112</v>
      </c>
      <c r="J41" s="55" t="n">
        <v>6788</v>
      </c>
      <c r="K41" s="54" t="n">
        <f aca="false">I41/J41*100</f>
        <v>45.8456098998232</v>
      </c>
      <c r="L41" s="55" t="n">
        <v>1345</v>
      </c>
      <c r="M41" s="55" t="n">
        <v>0</v>
      </c>
      <c r="N41" s="54" t="n">
        <v>0</v>
      </c>
      <c r="O41" s="52" t="n">
        <v>53</v>
      </c>
      <c r="P41" s="53" t="n">
        <v>55</v>
      </c>
      <c r="Q41" s="52" t="n">
        <v>53</v>
      </c>
      <c r="R41" s="51" t="n">
        <f aca="false">O41*P41</f>
        <v>2915</v>
      </c>
    </row>
    <row r="42" customFormat="false" ht="13.8" hidden="false" customHeight="false" outlineLevel="0" collapsed="false">
      <c r="A42" s="47" t="n">
        <v>6</v>
      </c>
      <c r="B42" s="48" t="s">
        <v>43</v>
      </c>
      <c r="C42" s="56" t="n">
        <v>8167</v>
      </c>
      <c r="D42" s="49" t="n">
        <v>3806</v>
      </c>
      <c r="E42" s="54" t="n">
        <f aca="false">C42/D42*100</f>
        <v>214.582238570678</v>
      </c>
      <c r="F42" s="49" t="n">
        <v>8167</v>
      </c>
      <c r="G42" s="49" t="n">
        <v>3806</v>
      </c>
      <c r="H42" s="54" t="n">
        <f aca="false">F42/G42*100</f>
        <v>214.582238570678</v>
      </c>
      <c r="I42" s="49" t="n">
        <v>7557</v>
      </c>
      <c r="J42" s="49" t="n">
        <v>3512</v>
      </c>
      <c r="K42" s="54" t="n">
        <f aca="false">I42/J42*100</f>
        <v>215.176537585421</v>
      </c>
      <c r="L42" s="49" t="n">
        <v>0</v>
      </c>
      <c r="M42" s="49" t="n">
        <v>0</v>
      </c>
      <c r="N42" s="54" t="n">
        <v>0</v>
      </c>
      <c r="O42" s="52" t="n">
        <v>62</v>
      </c>
      <c r="P42" s="53" t="n">
        <v>70</v>
      </c>
      <c r="Q42" s="52" t="n">
        <v>64</v>
      </c>
      <c r="R42" s="51" t="n">
        <f aca="false">O42*P42</f>
        <v>4340</v>
      </c>
    </row>
    <row r="43" customFormat="false" ht="13.8" hidden="false" customHeight="false" outlineLevel="0" collapsed="false">
      <c r="A43" s="47" t="n">
        <v>7</v>
      </c>
      <c r="B43" s="48" t="s">
        <v>44</v>
      </c>
      <c r="C43" s="49" t="n">
        <v>0</v>
      </c>
      <c r="D43" s="49" t="n">
        <v>0</v>
      </c>
      <c r="E43" s="57" t="n">
        <v>0</v>
      </c>
      <c r="F43" s="49" t="n">
        <v>0</v>
      </c>
      <c r="G43" s="49" t="n">
        <v>0</v>
      </c>
      <c r="H43" s="54" t="n">
        <v>0</v>
      </c>
      <c r="I43" s="49" t="n">
        <v>0</v>
      </c>
      <c r="J43" s="49" t="n">
        <v>0</v>
      </c>
      <c r="K43" s="54" t="n">
        <v>0</v>
      </c>
      <c r="L43" s="49" t="n">
        <v>0</v>
      </c>
      <c r="M43" s="49" t="n">
        <v>0</v>
      </c>
      <c r="N43" s="54" t="n">
        <v>0</v>
      </c>
      <c r="O43" s="52" t="n">
        <v>22</v>
      </c>
      <c r="P43" s="53" t="n">
        <v>70</v>
      </c>
      <c r="Q43" s="52" t="n">
        <v>23</v>
      </c>
      <c r="R43" s="51" t="n">
        <f aca="false">O43*P43</f>
        <v>1540</v>
      </c>
    </row>
    <row r="44" customFormat="false" ht="13.8" hidden="false" customHeight="false" outlineLevel="0" collapsed="false">
      <c r="A44" s="47" t="n">
        <v>8</v>
      </c>
      <c r="B44" s="48" t="s">
        <v>45</v>
      </c>
      <c r="C44" s="58" t="n">
        <v>7383</v>
      </c>
      <c r="D44" s="49" t="n">
        <v>6914</v>
      </c>
      <c r="E44" s="54" t="n">
        <f aca="false">C44/D44*100</f>
        <v>106.783338154469</v>
      </c>
      <c r="F44" s="49" t="n">
        <v>7383</v>
      </c>
      <c r="G44" s="49" t="n">
        <v>6914</v>
      </c>
      <c r="H44" s="54" t="n">
        <f aca="false">F44/G44*100</f>
        <v>106.783338154469</v>
      </c>
      <c r="I44" s="49" t="n">
        <v>7114</v>
      </c>
      <c r="J44" s="49" t="n">
        <v>9564</v>
      </c>
      <c r="K44" s="54" t="n">
        <f aca="false">I44/J44*100</f>
        <v>74.3831033040569</v>
      </c>
      <c r="L44" s="49" t="n">
        <v>0</v>
      </c>
      <c r="M44" s="49" t="n">
        <v>0</v>
      </c>
      <c r="N44" s="54" t="n">
        <v>0</v>
      </c>
      <c r="O44" s="52" t="n">
        <v>45</v>
      </c>
      <c r="P44" s="53" t="n">
        <v>83</v>
      </c>
      <c r="Q44" s="52" t="n">
        <v>47</v>
      </c>
      <c r="R44" s="51" t="n">
        <f aca="false">O44*P44</f>
        <v>3735</v>
      </c>
    </row>
    <row r="45" customFormat="false" ht="13.8" hidden="false" customHeight="false" outlineLevel="0" collapsed="false">
      <c r="A45" s="47" t="n">
        <v>9</v>
      </c>
      <c r="B45" s="48" t="s">
        <v>46</v>
      </c>
      <c r="C45" s="58" t="n">
        <v>6754</v>
      </c>
      <c r="D45" s="49" t="n">
        <v>12645</v>
      </c>
      <c r="E45" s="50" t="n">
        <f aca="false">C45/D45*100</f>
        <v>53.4124159746936</v>
      </c>
      <c r="F45" s="58" t="n">
        <v>6754</v>
      </c>
      <c r="G45" s="49" t="n">
        <v>12645</v>
      </c>
      <c r="H45" s="54" t="n">
        <f aca="false">F45/G45*100</f>
        <v>53.4124159746936</v>
      </c>
      <c r="I45" s="49" t="n">
        <v>745</v>
      </c>
      <c r="J45" s="59" t="n">
        <v>1501</v>
      </c>
      <c r="K45" s="54" t="n">
        <f aca="false">I45/J45*100</f>
        <v>49.6335776149234</v>
      </c>
      <c r="L45" s="49" t="n">
        <v>0</v>
      </c>
      <c r="M45" s="49" t="n">
        <v>0</v>
      </c>
      <c r="N45" s="54" t="n">
        <v>0</v>
      </c>
      <c r="O45" s="52" t="n">
        <v>39</v>
      </c>
      <c r="P45" s="53" t="n">
        <v>94</v>
      </c>
      <c r="Q45" s="52" t="n">
        <v>68</v>
      </c>
      <c r="R45" s="51" t="n">
        <f aca="false">O45*P45</f>
        <v>3666</v>
      </c>
    </row>
    <row r="46" s="61" customFormat="true" ht="13.8" hidden="false" customHeight="false" outlineLevel="0" collapsed="false">
      <c r="A46" s="60" t="n">
        <v>10</v>
      </c>
      <c r="B46" s="48" t="s">
        <v>47</v>
      </c>
      <c r="C46" s="58" t="n">
        <v>0</v>
      </c>
      <c r="D46" s="49" t="n">
        <v>89526</v>
      </c>
      <c r="E46" s="54" t="n">
        <f aca="false">C46/D46*100</f>
        <v>0</v>
      </c>
      <c r="F46" s="58" t="n">
        <v>0</v>
      </c>
      <c r="G46" s="49" t="n">
        <v>89526</v>
      </c>
      <c r="H46" s="54" t="n">
        <f aca="false">F46/G46*100</f>
        <v>0</v>
      </c>
      <c r="I46" s="49" t="n">
        <v>1458</v>
      </c>
      <c r="J46" s="49" t="n">
        <v>90648</v>
      </c>
      <c r="K46" s="54" t="n">
        <f aca="false">I46/J46*100</f>
        <v>1.60841938046068</v>
      </c>
      <c r="L46" s="49" t="n">
        <v>0</v>
      </c>
      <c r="M46" s="49" t="n">
        <v>90948</v>
      </c>
      <c r="N46" s="54" t="n">
        <f aca="false">L46/M46*100</f>
        <v>0</v>
      </c>
      <c r="O46" s="52" t="n">
        <v>154</v>
      </c>
      <c r="P46" s="53" t="n">
        <v>84</v>
      </c>
      <c r="Q46" s="52" t="n">
        <v>192</v>
      </c>
      <c r="R46" s="51" t="n">
        <f aca="false">O46*P46</f>
        <v>12936</v>
      </c>
    </row>
    <row r="47" customFormat="false" ht="13.8" hidden="false" customHeight="false" outlineLevel="0" collapsed="false">
      <c r="A47" s="47" t="n">
        <v>11</v>
      </c>
      <c r="B47" s="48" t="s">
        <v>48</v>
      </c>
      <c r="C47" s="58" t="n">
        <v>0</v>
      </c>
      <c r="D47" s="49" t="n">
        <v>0</v>
      </c>
      <c r="E47" s="54" t="n">
        <v>0</v>
      </c>
      <c r="F47" s="49" t="n">
        <v>0</v>
      </c>
      <c r="G47" s="49" t="n">
        <v>0</v>
      </c>
      <c r="H47" s="54" t="n">
        <v>0</v>
      </c>
      <c r="I47" s="49" t="n">
        <v>0</v>
      </c>
      <c r="J47" s="49" t="n">
        <v>0</v>
      </c>
      <c r="K47" s="54" t="n">
        <v>0</v>
      </c>
      <c r="L47" s="49" t="n">
        <v>0</v>
      </c>
      <c r="M47" s="49" t="n">
        <v>0</v>
      </c>
      <c r="N47" s="54" t="n">
        <v>0</v>
      </c>
      <c r="O47" s="52" t="n">
        <v>18</v>
      </c>
      <c r="P47" s="53" t="n">
        <v>67</v>
      </c>
      <c r="Q47" s="52" t="n">
        <v>24</v>
      </c>
      <c r="R47" s="51" t="n">
        <f aca="false">O47*P47</f>
        <v>1206</v>
      </c>
    </row>
    <row r="48" customFormat="false" ht="13.8" hidden="false" customHeight="false" outlineLevel="0" collapsed="false">
      <c r="A48" s="47" t="n">
        <v>12</v>
      </c>
      <c r="B48" s="48" t="s">
        <v>49</v>
      </c>
      <c r="C48" s="49" t="n">
        <v>9455</v>
      </c>
      <c r="D48" s="49" t="n">
        <v>12036</v>
      </c>
      <c r="E48" s="54" t="n">
        <f aca="false">C48/D48*100</f>
        <v>78.5559986706547</v>
      </c>
      <c r="F48" s="62" t="n">
        <v>9455</v>
      </c>
      <c r="G48" s="62" t="n">
        <v>12036</v>
      </c>
      <c r="H48" s="54" t="n">
        <f aca="false">F48/G48*100</f>
        <v>78.5559986706547</v>
      </c>
      <c r="I48" s="62" t="n">
        <v>10635</v>
      </c>
      <c r="J48" s="62" t="n">
        <v>3646</v>
      </c>
      <c r="K48" s="54" t="n">
        <f aca="false">I48/J48*100</f>
        <v>291.689522764674</v>
      </c>
      <c r="L48" s="57" t="n">
        <v>10635</v>
      </c>
      <c r="M48" s="62" t="n">
        <v>3646</v>
      </c>
      <c r="N48" s="54" t="n">
        <f aca="false">L48/M48*100</f>
        <v>291.689522764674</v>
      </c>
      <c r="O48" s="52" t="n">
        <v>26</v>
      </c>
      <c r="P48" s="53" t="n">
        <v>120</v>
      </c>
      <c r="Q48" s="52" t="n">
        <v>27</v>
      </c>
      <c r="R48" s="51" t="n">
        <f aca="false">O48*P48</f>
        <v>3120</v>
      </c>
    </row>
    <row r="49" customFormat="false" ht="13.8" hidden="false" customHeight="false" outlineLevel="0" collapsed="false">
      <c r="A49" s="47" t="n">
        <v>13</v>
      </c>
      <c r="B49" s="48" t="s">
        <v>50</v>
      </c>
      <c r="C49" s="56" t="n">
        <v>32917</v>
      </c>
      <c r="D49" s="56" t="n">
        <v>29805</v>
      </c>
      <c r="E49" s="54" t="n">
        <f aca="false">C49/D49*100</f>
        <v>110.441201140748</v>
      </c>
      <c r="F49" s="56" t="n">
        <v>0</v>
      </c>
      <c r="G49" s="56" t="n">
        <v>0</v>
      </c>
      <c r="H49" s="54" t="e">
        <f aca="false">F49/G49*100</f>
        <v>#DIV/0!</v>
      </c>
      <c r="I49" s="49" t="n">
        <v>26186</v>
      </c>
      <c r="J49" s="49" t="n">
        <v>22486</v>
      </c>
      <c r="K49" s="54" t="n">
        <f aca="false">I49/J49*100</f>
        <v>116.454682913813</v>
      </c>
      <c r="L49" s="56" t="n">
        <v>0</v>
      </c>
      <c r="M49" s="56" t="n">
        <v>0</v>
      </c>
      <c r="N49" s="54" t="n">
        <v>0</v>
      </c>
      <c r="O49" s="52" t="n">
        <v>77</v>
      </c>
      <c r="P49" s="53" t="n">
        <v>130</v>
      </c>
      <c r="Q49" s="52" t="n">
        <v>80</v>
      </c>
      <c r="R49" s="51" t="n">
        <f aca="false">O49*P49</f>
        <v>10010</v>
      </c>
    </row>
    <row r="50" customFormat="false" ht="13.8" hidden="false" customHeight="false" outlineLevel="0" collapsed="false">
      <c r="A50" s="47" t="n">
        <v>14</v>
      </c>
      <c r="B50" s="48" t="s">
        <v>51</v>
      </c>
      <c r="C50" s="52" t="n">
        <v>2980</v>
      </c>
      <c r="D50" s="52" t="n">
        <v>1287</v>
      </c>
      <c r="E50" s="63" t="n">
        <f aca="false">C50/D50*100</f>
        <v>231.546231546232</v>
      </c>
      <c r="F50" s="52" t="n">
        <v>2980</v>
      </c>
      <c r="G50" s="52" t="n">
        <v>1287</v>
      </c>
      <c r="H50" s="63" t="n">
        <f aca="false">F50/G50*100</f>
        <v>231.546231546232</v>
      </c>
      <c r="I50" s="52" t="n">
        <v>1576</v>
      </c>
      <c r="J50" s="52" t="n">
        <v>2285</v>
      </c>
      <c r="K50" s="63" t="n">
        <f aca="false">I50/J50*100</f>
        <v>68.9715536105033</v>
      </c>
      <c r="L50" s="52" t="n">
        <v>1576</v>
      </c>
      <c r="M50" s="52" t="n">
        <v>0</v>
      </c>
      <c r="N50" s="54" t="n">
        <v>0</v>
      </c>
      <c r="O50" s="52" t="n">
        <v>13</v>
      </c>
      <c r="P50" s="53" t="n">
        <v>80</v>
      </c>
      <c r="Q50" s="52" t="n">
        <v>14</v>
      </c>
      <c r="R50" s="51" t="n">
        <f aca="false">O50*P50</f>
        <v>1040</v>
      </c>
    </row>
    <row r="51" customFormat="false" ht="13.8" hidden="false" customHeight="false" outlineLevel="0" collapsed="false">
      <c r="A51" s="47" t="n">
        <v>15</v>
      </c>
      <c r="B51" s="48" t="s">
        <v>52</v>
      </c>
      <c r="C51" s="52" t="n">
        <v>0</v>
      </c>
      <c r="D51" s="52" t="n">
        <v>0</v>
      </c>
      <c r="E51" s="63" t="n">
        <v>0</v>
      </c>
      <c r="F51" s="52" t="n">
        <v>0</v>
      </c>
      <c r="G51" s="52" t="n">
        <v>0</v>
      </c>
      <c r="H51" s="63" t="n">
        <v>0</v>
      </c>
      <c r="I51" s="52" t="n">
        <v>0</v>
      </c>
      <c r="J51" s="52" t="n">
        <v>0</v>
      </c>
      <c r="K51" s="54" t="n">
        <v>0</v>
      </c>
      <c r="L51" s="52" t="n">
        <v>0</v>
      </c>
      <c r="M51" s="52" t="n">
        <v>0</v>
      </c>
      <c r="N51" s="63" t="n">
        <v>0</v>
      </c>
      <c r="O51" s="52" t="n">
        <v>55</v>
      </c>
      <c r="P51" s="53" t="n">
        <v>85</v>
      </c>
      <c r="Q51" s="52" t="n">
        <v>59</v>
      </c>
      <c r="R51" s="51" t="n">
        <f aca="false">O51*P51</f>
        <v>4675</v>
      </c>
    </row>
    <row r="52" customFormat="false" ht="13.8" hidden="false" customHeight="false" outlineLevel="0" collapsed="false">
      <c r="A52" s="47" t="n">
        <v>16</v>
      </c>
      <c r="B52" s="48" t="s">
        <v>53</v>
      </c>
      <c r="C52" s="49" t="n">
        <v>0</v>
      </c>
      <c r="D52" s="59" t="n">
        <v>0</v>
      </c>
      <c r="E52" s="63" t="n">
        <v>0</v>
      </c>
      <c r="F52" s="49" t="n">
        <v>0</v>
      </c>
      <c r="G52" s="49" t="n">
        <v>0</v>
      </c>
      <c r="H52" s="63" t="n">
        <v>0</v>
      </c>
      <c r="I52" s="49" t="n">
        <v>0</v>
      </c>
      <c r="J52" s="49" t="n">
        <v>0</v>
      </c>
      <c r="K52" s="63" t="n">
        <v>0</v>
      </c>
      <c r="L52" s="49" t="n">
        <v>0</v>
      </c>
      <c r="M52" s="49" t="n">
        <v>0</v>
      </c>
      <c r="N52" s="54" t="n">
        <v>0</v>
      </c>
      <c r="O52" s="52" t="n">
        <v>3</v>
      </c>
      <c r="P52" s="53" t="n">
        <v>40</v>
      </c>
      <c r="Q52" s="52" t="n">
        <v>3</v>
      </c>
      <c r="R52" s="51" t="n">
        <f aca="false">O52*P52</f>
        <v>120</v>
      </c>
    </row>
    <row r="53" customFormat="false" ht="13.8" hidden="false" customHeight="false" outlineLevel="0" collapsed="false">
      <c r="A53" s="47" t="n">
        <v>17</v>
      </c>
      <c r="B53" s="48" t="s">
        <v>54</v>
      </c>
      <c r="C53" s="52" t="n">
        <v>9000</v>
      </c>
      <c r="D53" s="52" t="n">
        <v>7800</v>
      </c>
      <c r="E53" s="63" t="n">
        <f aca="false">C53/D53*100</f>
        <v>115.384615384615</v>
      </c>
      <c r="F53" s="52" t="n">
        <v>9000</v>
      </c>
      <c r="G53" s="52" t="n">
        <v>7800</v>
      </c>
      <c r="H53" s="63" t="n">
        <f aca="false">F53/G53*100</f>
        <v>115.384615384615</v>
      </c>
      <c r="I53" s="52" t="n">
        <v>0</v>
      </c>
      <c r="J53" s="52" t="n">
        <v>0</v>
      </c>
      <c r="K53" s="54" t="n">
        <v>0</v>
      </c>
      <c r="L53" s="52" t="n">
        <v>0</v>
      </c>
      <c r="M53" s="52" t="n">
        <v>0</v>
      </c>
      <c r="N53" s="63" t="n">
        <v>0</v>
      </c>
      <c r="O53" s="52" t="n">
        <v>13</v>
      </c>
      <c r="P53" s="53" t="n">
        <v>70</v>
      </c>
      <c r="Q53" s="52" t="n">
        <v>13</v>
      </c>
      <c r="R53" s="51" t="n">
        <f aca="false">O53*P53</f>
        <v>910</v>
      </c>
    </row>
    <row r="54" customFormat="false" ht="13.8" hidden="false" customHeight="false" outlineLevel="0" collapsed="false">
      <c r="A54" s="64" t="s">
        <v>55</v>
      </c>
      <c r="B54" s="64"/>
      <c r="C54" s="65" t="n">
        <f aca="false">SUM(C37:C53)</f>
        <v>93700</v>
      </c>
      <c r="D54" s="65" t="n">
        <f aca="false">SUM(D37:D53)</f>
        <v>175555</v>
      </c>
      <c r="E54" s="66" t="n">
        <f aca="false">C54/D54*100</f>
        <v>53.3735866252741</v>
      </c>
      <c r="F54" s="65" t="n">
        <f aca="false">SUM(F37:F53)</f>
        <v>60783</v>
      </c>
      <c r="G54" s="65" t="n">
        <f aca="false">SUM(G37:G52)</f>
        <v>137950</v>
      </c>
      <c r="H54" s="66" t="n">
        <f aca="false">F54/G54*100</f>
        <v>44.0616165277274</v>
      </c>
      <c r="I54" s="65" t="n">
        <f aca="false">SUM(I37:I53)</f>
        <v>70385</v>
      </c>
      <c r="J54" s="65" t="n">
        <f aca="false">SUM(J37:J53)</f>
        <v>153187</v>
      </c>
      <c r="K54" s="66" t="n">
        <f aca="false">I54/J54*100</f>
        <v>45.9471103944852</v>
      </c>
      <c r="L54" s="65" t="n">
        <f aca="false">SUM(L37:L53)</f>
        <v>13556</v>
      </c>
      <c r="M54" s="65" t="n">
        <f aca="false">SUM(M37:M53)</f>
        <v>94594</v>
      </c>
      <c r="N54" s="66" t="n">
        <f aca="false">L54/M54*100</f>
        <v>14.3307186502315</v>
      </c>
      <c r="O54" s="65" t="n">
        <f aca="false">SUM(O37:O53)</f>
        <v>709</v>
      </c>
      <c r="P54" s="66" t="n">
        <f aca="false">R54/O54</f>
        <v>85.3808180535966</v>
      </c>
      <c r="Q54" s="65" t="n">
        <f aca="false">SUM(Q37:Q53)</f>
        <v>906</v>
      </c>
      <c r="R54" s="65" t="n">
        <f aca="false">SUM(R37:R53)</f>
        <v>60535</v>
      </c>
    </row>
    <row r="55" customFormat="false" ht="13.8" hidden="false" customHeight="false" outlineLevel="0" collapsed="false">
      <c r="A55" s="52"/>
      <c r="B55" s="67"/>
      <c r="C55" s="52"/>
      <c r="D55" s="52"/>
      <c r="E55" s="52"/>
      <c r="F55" s="52"/>
      <c r="G55" s="52"/>
      <c r="H55" s="52"/>
      <c r="I55" s="52"/>
      <c r="J55" s="52"/>
      <c r="K55" s="41"/>
      <c r="L55" s="52"/>
      <c r="M55" s="52"/>
      <c r="N55" s="52"/>
      <c r="O55" s="52"/>
      <c r="P55" s="68"/>
      <c r="Q55" s="52"/>
      <c r="R55" s="46"/>
    </row>
    <row r="56" customFormat="false" ht="13.8" hidden="false" customHeight="false" outlineLevel="0" collapsed="false">
      <c r="A56" s="44" t="s">
        <v>56</v>
      </c>
      <c r="B56" s="44"/>
      <c r="C56" s="44" t="n">
        <v>3</v>
      </c>
      <c r="D56" s="44" t="n">
        <v>4</v>
      </c>
      <c r="E56" s="45" t="n">
        <v>5</v>
      </c>
      <c r="F56" s="44" t="n">
        <v>6</v>
      </c>
      <c r="G56" s="44" t="n">
        <v>7</v>
      </c>
      <c r="H56" s="44" t="n">
        <v>8</v>
      </c>
      <c r="I56" s="44" t="n">
        <v>9</v>
      </c>
      <c r="J56" s="44" t="n">
        <v>10</v>
      </c>
      <c r="K56" s="44" t="n">
        <v>11</v>
      </c>
      <c r="L56" s="44" t="n">
        <v>12</v>
      </c>
      <c r="M56" s="44" t="n">
        <v>13</v>
      </c>
      <c r="N56" s="44" t="n">
        <v>14</v>
      </c>
      <c r="O56" s="44" t="n">
        <v>15</v>
      </c>
      <c r="P56" s="45" t="n">
        <v>16</v>
      </c>
      <c r="Q56" s="44" t="n">
        <v>15</v>
      </c>
      <c r="R56" s="46"/>
    </row>
    <row r="57" customFormat="false" ht="13.8" hidden="false" customHeight="false" outlineLevel="0" collapsed="false">
      <c r="A57" s="53" t="n">
        <v>1</v>
      </c>
      <c r="B57" s="69" t="s">
        <v>57</v>
      </c>
      <c r="C57" s="70" t="n">
        <v>20833</v>
      </c>
      <c r="D57" s="71" t="n">
        <v>22032</v>
      </c>
      <c r="E57" s="54" t="n">
        <f aca="false">C57/D57*100</f>
        <v>94.5579157588962</v>
      </c>
      <c r="F57" s="71" t="n">
        <v>20833</v>
      </c>
      <c r="G57" s="72" t="n">
        <v>22032</v>
      </c>
      <c r="H57" s="54" t="n">
        <f aca="false">F57/G57*100</f>
        <v>94.5579157588962</v>
      </c>
      <c r="I57" s="71" t="n">
        <v>26156</v>
      </c>
      <c r="J57" s="71" t="n">
        <v>21582</v>
      </c>
      <c r="K57" s="54" t="n">
        <f aca="false">I57/J57*100</f>
        <v>121.193587248633</v>
      </c>
      <c r="L57" s="71" t="n">
        <v>26121</v>
      </c>
      <c r="M57" s="71" t="n">
        <v>21390</v>
      </c>
      <c r="N57" s="54" t="n">
        <f aca="false">L57/M57*100</f>
        <v>122.117812061711</v>
      </c>
      <c r="O57" s="72"/>
      <c r="P57" s="71" t="n">
        <v>55</v>
      </c>
      <c r="Q57" s="72" t="n">
        <v>94</v>
      </c>
      <c r="R57" s="51" t="n">
        <f aca="false">O57*P57</f>
        <v>0</v>
      </c>
    </row>
    <row r="58" customFormat="false" ht="13.8" hidden="false" customHeight="false" outlineLevel="0" collapsed="false">
      <c r="A58" s="73" t="n">
        <v>2</v>
      </c>
      <c r="B58" s="69" t="s">
        <v>58</v>
      </c>
      <c r="C58" s="49" t="n">
        <v>235</v>
      </c>
      <c r="D58" s="49" t="n">
        <v>560</v>
      </c>
      <c r="E58" s="54" t="n">
        <f aca="false">C58/D58*100</f>
        <v>41.9642857142857</v>
      </c>
      <c r="F58" s="72" t="n">
        <v>235</v>
      </c>
      <c r="G58" s="72" t="n">
        <v>560</v>
      </c>
      <c r="H58" s="54" t="n">
        <f aca="false">F58/G58*100</f>
        <v>41.9642857142857</v>
      </c>
      <c r="I58" s="72" t="n">
        <v>29</v>
      </c>
      <c r="J58" s="72" t="n">
        <v>8036</v>
      </c>
      <c r="K58" s="54" t="n">
        <f aca="false">I58/J58*100</f>
        <v>0.360876057740169</v>
      </c>
      <c r="L58" s="72" t="n">
        <v>0</v>
      </c>
      <c r="M58" s="72" t="n">
        <v>0</v>
      </c>
      <c r="N58" s="54" t="n">
        <v>0</v>
      </c>
      <c r="O58" s="72"/>
      <c r="P58" s="72" t="n">
        <v>105</v>
      </c>
      <c r="Q58" s="72" t="n">
        <v>126</v>
      </c>
      <c r="R58" s="51" t="n">
        <f aca="false">O58*P58</f>
        <v>0</v>
      </c>
    </row>
    <row r="59" customFormat="false" ht="13.8" hidden="false" customHeight="false" outlineLevel="0" collapsed="false">
      <c r="A59" s="73" t="n">
        <v>3</v>
      </c>
      <c r="B59" s="69" t="s">
        <v>59</v>
      </c>
      <c r="C59" s="72" t="n">
        <v>11936</v>
      </c>
      <c r="D59" s="72" t="n">
        <v>16390</v>
      </c>
      <c r="E59" s="54" t="n">
        <f aca="false">C59/D59*100</f>
        <v>72.8248932275778</v>
      </c>
      <c r="F59" s="72" t="n">
        <v>11936</v>
      </c>
      <c r="G59" s="72" t="n">
        <v>16390</v>
      </c>
      <c r="H59" s="54" t="n">
        <f aca="false">F59/G59*100</f>
        <v>72.8248932275778</v>
      </c>
      <c r="I59" s="72" t="n">
        <v>11936</v>
      </c>
      <c r="J59" s="72" t="n">
        <v>16390</v>
      </c>
      <c r="K59" s="54" t="n">
        <f aca="false">I59/J59*100</f>
        <v>72.8248932275778</v>
      </c>
      <c r="L59" s="72" t="n">
        <v>0</v>
      </c>
      <c r="M59" s="72" t="n">
        <v>0</v>
      </c>
      <c r="N59" s="54" t="n">
        <v>0</v>
      </c>
      <c r="O59" s="72" t="n">
        <v>119</v>
      </c>
      <c r="P59" s="72" t="n">
        <v>50</v>
      </c>
      <c r="Q59" s="72" t="n">
        <v>122</v>
      </c>
      <c r="R59" s="51" t="n">
        <f aca="false">O59*P59</f>
        <v>5950</v>
      </c>
    </row>
    <row r="60" customFormat="false" ht="13.8" hidden="false" customHeight="false" outlineLevel="0" collapsed="false">
      <c r="A60" s="53" t="n">
        <v>4</v>
      </c>
      <c r="B60" s="69" t="s">
        <v>60</v>
      </c>
      <c r="C60" s="72" t="n">
        <v>0</v>
      </c>
      <c r="D60" s="72" t="n">
        <v>2241</v>
      </c>
      <c r="E60" s="54" t="n">
        <f aca="false">C60/D60*100</f>
        <v>0</v>
      </c>
      <c r="F60" s="72" t="n">
        <v>0</v>
      </c>
      <c r="G60" s="72" t="n">
        <v>2241</v>
      </c>
      <c r="H60" s="54" t="n">
        <f aca="false">F60/G60*100</f>
        <v>0</v>
      </c>
      <c r="I60" s="55" t="n">
        <v>0</v>
      </c>
      <c r="J60" s="55" t="n">
        <v>16229</v>
      </c>
      <c r="K60" s="54" t="n">
        <f aca="false">I60/J60*100</f>
        <v>0</v>
      </c>
      <c r="L60" s="72" t="n">
        <v>0</v>
      </c>
      <c r="M60" s="72" t="n">
        <v>12251</v>
      </c>
      <c r="N60" s="54" t="n">
        <f aca="false">L60/M60*100</f>
        <v>0</v>
      </c>
      <c r="O60" s="72" t="n">
        <v>34</v>
      </c>
      <c r="P60" s="72" t="n">
        <v>124</v>
      </c>
      <c r="Q60" s="72" t="n">
        <v>69</v>
      </c>
      <c r="R60" s="51" t="n">
        <f aca="false">O60*P60</f>
        <v>4216</v>
      </c>
    </row>
    <row r="61" customFormat="false" ht="13.8" hidden="false" customHeight="false" outlineLevel="0" collapsed="false">
      <c r="A61" s="73" t="n">
        <v>5</v>
      </c>
      <c r="B61" s="69" t="s">
        <v>61</v>
      </c>
      <c r="C61" s="49" t="n">
        <v>0</v>
      </c>
      <c r="D61" s="49" t="n">
        <v>0</v>
      </c>
      <c r="E61" s="54" t="n">
        <v>0</v>
      </c>
      <c r="F61" s="49" t="n">
        <v>0</v>
      </c>
      <c r="G61" s="49" t="n">
        <v>0</v>
      </c>
      <c r="H61" s="54" t="n">
        <v>0</v>
      </c>
      <c r="I61" s="49" t="n">
        <v>0</v>
      </c>
      <c r="J61" s="49" t="n">
        <v>0</v>
      </c>
      <c r="K61" s="54" t="n">
        <v>0</v>
      </c>
      <c r="L61" s="49" t="n">
        <v>0</v>
      </c>
      <c r="M61" s="49" t="n">
        <v>0</v>
      </c>
      <c r="N61" s="54" t="n">
        <v>0</v>
      </c>
      <c r="O61" s="52" t="n">
        <v>0</v>
      </c>
      <c r="P61" s="53" t="n">
        <v>0</v>
      </c>
      <c r="Q61" s="52" t="n">
        <v>0</v>
      </c>
      <c r="R61" s="51" t="n">
        <f aca="false">O61*P61</f>
        <v>0</v>
      </c>
    </row>
    <row r="62" customFormat="false" ht="13.8" hidden="false" customHeight="false" outlineLevel="0" collapsed="false">
      <c r="A62" s="73" t="n">
        <v>6</v>
      </c>
      <c r="B62" s="69" t="s">
        <v>62</v>
      </c>
      <c r="C62" s="72" t="n">
        <v>3900</v>
      </c>
      <c r="D62" s="72" t="n">
        <v>2739</v>
      </c>
      <c r="E62" s="54" t="n">
        <f aca="false">C62/D62*100</f>
        <v>142.387732749179</v>
      </c>
      <c r="F62" s="72" t="n">
        <v>3900</v>
      </c>
      <c r="G62" s="72" t="n">
        <v>2739</v>
      </c>
      <c r="H62" s="54" t="n">
        <f aca="false">F62/G62*100</f>
        <v>142.387732749179</v>
      </c>
      <c r="I62" s="72" t="n">
        <v>3425</v>
      </c>
      <c r="J62" s="72" t="n">
        <v>3110</v>
      </c>
      <c r="K62" s="54" t="n">
        <f aca="false">I62/J62*100</f>
        <v>110.128617363344</v>
      </c>
      <c r="L62" s="72" t="n">
        <v>3425</v>
      </c>
      <c r="M62" s="72" t="n">
        <v>3035</v>
      </c>
      <c r="N62" s="54" t="n">
        <f aca="false">L62/M62*100</f>
        <v>112.850082372323</v>
      </c>
      <c r="O62" s="72" t="n">
        <v>32</v>
      </c>
      <c r="P62" s="72" t="n">
        <v>46</v>
      </c>
      <c r="Q62" s="72" t="n">
        <v>32</v>
      </c>
      <c r="R62" s="51" t="n">
        <f aca="false">O62*P62</f>
        <v>1472</v>
      </c>
    </row>
    <row r="63" s="61" customFormat="true" ht="13.8" hidden="false" customHeight="false" outlineLevel="0" collapsed="false">
      <c r="A63" s="53" t="n">
        <v>7</v>
      </c>
      <c r="B63" s="69" t="s">
        <v>63</v>
      </c>
      <c r="C63" s="49" t="n">
        <v>0</v>
      </c>
      <c r="D63" s="49" t="n">
        <v>0</v>
      </c>
      <c r="E63" s="54" t="n">
        <v>0</v>
      </c>
      <c r="F63" s="49" t="n">
        <v>0</v>
      </c>
      <c r="G63" s="49" t="n">
        <v>0</v>
      </c>
      <c r="H63" s="54" t="n">
        <v>0</v>
      </c>
      <c r="I63" s="49" t="n">
        <v>8787</v>
      </c>
      <c r="J63" s="49" t="n">
        <v>0</v>
      </c>
      <c r="K63" s="54" t="n">
        <v>0</v>
      </c>
      <c r="L63" s="74" t="n">
        <v>8787</v>
      </c>
      <c r="M63" s="49" t="n">
        <v>0</v>
      </c>
      <c r="N63" s="54" t="n">
        <v>0</v>
      </c>
      <c r="O63" s="72" t="n">
        <v>39</v>
      </c>
      <c r="P63" s="72" t="n">
        <v>50</v>
      </c>
      <c r="Q63" s="72" t="n">
        <v>33</v>
      </c>
      <c r="R63" s="51" t="n">
        <f aca="false">O63*P63</f>
        <v>1950</v>
      </c>
    </row>
    <row r="64" customFormat="false" ht="13.8" hidden="false" customHeight="false" outlineLevel="0" collapsed="false">
      <c r="A64" s="73" t="n">
        <v>8</v>
      </c>
      <c r="B64" s="69" t="s">
        <v>64</v>
      </c>
      <c r="C64" s="75" t="n">
        <v>0</v>
      </c>
      <c r="D64" s="49" t="n">
        <v>0</v>
      </c>
      <c r="E64" s="54" t="n">
        <v>0</v>
      </c>
      <c r="F64" s="49" t="n">
        <v>0</v>
      </c>
      <c r="G64" s="76" t="n">
        <v>0</v>
      </c>
      <c r="H64" s="54" t="n">
        <v>0</v>
      </c>
      <c r="I64" s="49" t="n">
        <v>0</v>
      </c>
      <c r="J64" s="76" t="n">
        <v>0</v>
      </c>
      <c r="K64" s="54" t="n">
        <v>0</v>
      </c>
      <c r="L64" s="49" t="n">
        <v>0</v>
      </c>
      <c r="M64" s="76" t="n">
        <v>0</v>
      </c>
      <c r="N64" s="54" t="n">
        <v>0</v>
      </c>
      <c r="O64" s="72" t="n">
        <v>35</v>
      </c>
      <c r="P64" s="71" t="n">
        <v>75</v>
      </c>
      <c r="Q64" s="72" t="n">
        <v>35</v>
      </c>
      <c r="R64" s="51" t="n">
        <f aca="false">O64*P64</f>
        <v>2625</v>
      </c>
    </row>
    <row r="65" customFormat="false" ht="13.8" hidden="false" customHeight="false" outlineLevel="0" collapsed="false">
      <c r="A65" s="73" t="n">
        <v>9</v>
      </c>
      <c r="B65" s="69" t="s">
        <v>65</v>
      </c>
      <c r="C65" s="49" t="n">
        <v>0</v>
      </c>
      <c r="D65" s="49" t="n">
        <v>0</v>
      </c>
      <c r="E65" s="54" t="n">
        <v>0</v>
      </c>
      <c r="F65" s="49" t="n">
        <v>0</v>
      </c>
      <c r="G65" s="49" t="n">
        <v>0</v>
      </c>
      <c r="H65" s="54" t="n">
        <v>0</v>
      </c>
      <c r="I65" s="49" t="n">
        <v>0</v>
      </c>
      <c r="J65" s="49" t="n">
        <v>0</v>
      </c>
      <c r="K65" s="54" t="n">
        <v>0</v>
      </c>
      <c r="L65" s="49" t="n">
        <v>0</v>
      </c>
      <c r="M65" s="49" t="n">
        <v>0</v>
      </c>
      <c r="N65" s="54" t="n">
        <v>0</v>
      </c>
      <c r="O65" s="52" t="n">
        <v>0</v>
      </c>
      <c r="P65" s="53" t="n">
        <v>0</v>
      </c>
      <c r="Q65" s="52" t="n">
        <v>0</v>
      </c>
      <c r="R65" s="51" t="n">
        <f aca="false">O65*P65</f>
        <v>0</v>
      </c>
    </row>
    <row r="66" customFormat="false" ht="13.8" hidden="false" customHeight="false" outlineLevel="0" collapsed="false">
      <c r="A66" s="77" t="s">
        <v>66</v>
      </c>
      <c r="B66" s="77"/>
      <c r="C66" s="78" t="n">
        <f aca="false">SUM(C57:C65)</f>
        <v>36904</v>
      </c>
      <c r="D66" s="78" t="n">
        <f aca="false">SUM(D57:D65)</f>
        <v>43962</v>
      </c>
      <c r="E66" s="79" t="n">
        <f aca="false">C66/D66*100</f>
        <v>83.9452254219553</v>
      </c>
      <c r="F66" s="78" t="n">
        <f aca="false">SUM(F57:F65)</f>
        <v>36904</v>
      </c>
      <c r="G66" s="78" t="n">
        <f aca="false">SUM(G57:G65)</f>
        <v>43962</v>
      </c>
      <c r="H66" s="79" t="n">
        <f aca="false">F66/G66*100</f>
        <v>83.9452254219553</v>
      </c>
      <c r="I66" s="80" t="n">
        <f aca="false">SUM(I57:I65)</f>
        <v>50333</v>
      </c>
      <c r="J66" s="78" t="n">
        <f aca="false">SUM(J57:J65)</f>
        <v>65347</v>
      </c>
      <c r="K66" s="79" t="n">
        <f aca="false">I66/J66*100</f>
        <v>77.0241939186191</v>
      </c>
      <c r="L66" s="78" t="n">
        <f aca="false">SUM(L57:L65)</f>
        <v>38333</v>
      </c>
      <c r="M66" s="78" t="n">
        <f aca="false">SUM(M57:M65)</f>
        <v>36676</v>
      </c>
      <c r="N66" s="79" t="n">
        <f aca="false">L66/M66*100</f>
        <v>104.517940887774</v>
      </c>
      <c r="O66" s="80" t="n">
        <f aca="false">SUM(O57:O65)</f>
        <v>259</v>
      </c>
      <c r="P66" s="79" t="n">
        <f aca="false">R66/O66</f>
        <v>62.5984555984556</v>
      </c>
      <c r="Q66" s="80" t="n">
        <f aca="false">SUM(Q57:Q65)</f>
        <v>511</v>
      </c>
      <c r="R66" s="81" t="n">
        <f aca="false">SUM(R57:R65)</f>
        <v>16213</v>
      </c>
    </row>
    <row r="67" customFormat="false" ht="13.8" hidden="false" customHeight="false" outlineLevel="0" collapsed="false">
      <c r="A67" s="46"/>
      <c r="B67" s="82"/>
      <c r="C67" s="46"/>
      <c r="D67" s="46"/>
      <c r="E67" s="46"/>
      <c r="F67" s="46"/>
      <c r="G67" s="46"/>
      <c r="H67" s="46"/>
      <c r="I67" s="46"/>
      <c r="J67" s="46"/>
      <c r="K67" s="83"/>
      <c r="L67" s="46"/>
      <c r="M67" s="46"/>
      <c r="N67" s="46"/>
      <c r="O67" s="46"/>
      <c r="P67" s="84"/>
      <c r="Q67" s="46"/>
      <c r="R67" s="46"/>
    </row>
    <row r="68" customFormat="false" ht="13.8" hidden="false" customHeight="false" outlineLevel="0" collapsed="false">
      <c r="A68" s="44" t="s">
        <v>67</v>
      </c>
      <c r="B68" s="44"/>
      <c r="C68" s="44" t="n">
        <v>3</v>
      </c>
      <c r="D68" s="44" t="n">
        <v>4</v>
      </c>
      <c r="E68" s="45" t="n">
        <v>5</v>
      </c>
      <c r="F68" s="44" t="n">
        <v>6</v>
      </c>
      <c r="G68" s="44" t="n">
        <v>7</v>
      </c>
      <c r="H68" s="44" t="n">
        <v>8</v>
      </c>
      <c r="I68" s="44" t="n">
        <v>9</v>
      </c>
      <c r="J68" s="44" t="n">
        <v>10</v>
      </c>
      <c r="K68" s="44" t="n">
        <v>11</v>
      </c>
      <c r="L68" s="44" t="n">
        <v>12</v>
      </c>
      <c r="M68" s="44" t="n">
        <v>13</v>
      </c>
      <c r="N68" s="44" t="n">
        <v>14</v>
      </c>
      <c r="O68" s="44" t="n">
        <v>15</v>
      </c>
      <c r="P68" s="45" t="n">
        <v>16</v>
      </c>
      <c r="Q68" s="44" t="n">
        <v>15</v>
      </c>
      <c r="R68" s="46"/>
    </row>
    <row r="69" customFormat="false" ht="13.8" hidden="false" customHeight="false" outlineLevel="0" collapsed="false">
      <c r="A69" s="47" t="n">
        <v>1</v>
      </c>
      <c r="B69" s="48" t="s">
        <v>68</v>
      </c>
      <c r="C69" s="52" t="n">
        <v>0</v>
      </c>
      <c r="D69" s="52" t="n">
        <v>0</v>
      </c>
      <c r="E69" s="63" t="n">
        <v>0</v>
      </c>
      <c r="F69" s="52" t="n">
        <v>0</v>
      </c>
      <c r="G69" s="52" t="n">
        <v>0</v>
      </c>
      <c r="H69" s="63" t="n">
        <v>0</v>
      </c>
      <c r="I69" s="52" t="n">
        <v>0</v>
      </c>
      <c r="J69" s="52" t="n">
        <v>0</v>
      </c>
      <c r="K69" s="63" t="n">
        <v>0</v>
      </c>
      <c r="L69" s="52" t="n">
        <v>0</v>
      </c>
      <c r="M69" s="52" t="n">
        <v>0</v>
      </c>
      <c r="N69" s="63" t="n">
        <v>0</v>
      </c>
      <c r="O69" s="52" t="n">
        <v>154</v>
      </c>
      <c r="P69" s="68" t="n">
        <v>55</v>
      </c>
      <c r="Q69" s="52" t="n">
        <v>154</v>
      </c>
      <c r="R69" s="51" t="n">
        <f aca="false">O69*P69</f>
        <v>8470</v>
      </c>
    </row>
    <row r="70" customFormat="false" ht="13.8" hidden="false" customHeight="false" outlineLevel="0" collapsed="false">
      <c r="A70" s="47" t="n">
        <v>2</v>
      </c>
      <c r="B70" s="48" t="s">
        <v>69</v>
      </c>
      <c r="C70" s="58" t="n">
        <v>63095</v>
      </c>
      <c r="D70" s="58" t="n">
        <v>33502</v>
      </c>
      <c r="E70" s="63" t="n">
        <f aca="false">C70/D70*100</f>
        <v>188.332039878216</v>
      </c>
      <c r="F70" s="58" t="n">
        <v>63095</v>
      </c>
      <c r="G70" s="58" t="n">
        <v>33502</v>
      </c>
      <c r="H70" s="63" t="n">
        <f aca="false">F70/G70*100</f>
        <v>188.332039878216</v>
      </c>
      <c r="I70" s="58" t="n">
        <v>37178</v>
      </c>
      <c r="J70" s="58" t="n">
        <v>33548</v>
      </c>
      <c r="K70" s="63" t="n">
        <f aca="false">I70/J70*100</f>
        <v>110.820317157506</v>
      </c>
      <c r="L70" s="58" t="n">
        <v>37178</v>
      </c>
      <c r="M70" s="58" t="n">
        <v>33548</v>
      </c>
      <c r="N70" s="63" t="n">
        <f aca="false">L70/M70*100</f>
        <v>110.820317157506</v>
      </c>
      <c r="O70" s="52" t="n">
        <v>24</v>
      </c>
      <c r="P70" s="53" t="n">
        <v>135</v>
      </c>
      <c r="Q70" s="52" t="n">
        <v>25</v>
      </c>
      <c r="R70" s="51" t="n">
        <f aca="false">O70*P70</f>
        <v>3240</v>
      </c>
    </row>
    <row r="71" customFormat="false" ht="13.8" hidden="false" customHeight="false" outlineLevel="0" collapsed="false">
      <c r="A71" s="47" t="n">
        <v>3</v>
      </c>
      <c r="B71" s="48" t="s">
        <v>70</v>
      </c>
      <c r="C71" s="52" t="n">
        <v>0</v>
      </c>
      <c r="D71" s="52" t="n">
        <v>16034</v>
      </c>
      <c r="E71" s="63" t="n">
        <f aca="false">C71/D71*100</f>
        <v>0</v>
      </c>
      <c r="F71" s="52" t="n">
        <v>0</v>
      </c>
      <c r="G71" s="52" t="n">
        <v>16034</v>
      </c>
      <c r="H71" s="63" t="n">
        <f aca="false">F71/G71*100</f>
        <v>0</v>
      </c>
      <c r="I71" s="52" t="n">
        <v>150</v>
      </c>
      <c r="J71" s="52" t="n">
        <v>15833</v>
      </c>
      <c r="K71" s="63" t="n">
        <f aca="false">I71/J71*100</f>
        <v>0.947388366070865</v>
      </c>
      <c r="L71" s="52" t="n">
        <v>0</v>
      </c>
      <c r="M71" s="52" t="n">
        <v>0</v>
      </c>
      <c r="N71" s="63" t="n">
        <v>0</v>
      </c>
      <c r="O71" s="52" t="n">
        <v>29</v>
      </c>
      <c r="P71" s="68" t="n">
        <v>50</v>
      </c>
      <c r="Q71" s="52" t="n">
        <v>32</v>
      </c>
      <c r="R71" s="51" t="n">
        <f aca="false">O71*P71</f>
        <v>1450</v>
      </c>
    </row>
    <row r="72" customFormat="false" ht="13.8" hidden="false" customHeight="false" outlineLevel="0" collapsed="false">
      <c r="A72" s="47" t="n">
        <v>4</v>
      </c>
      <c r="B72" s="48" t="s">
        <v>71</v>
      </c>
      <c r="C72" s="52" t="n">
        <v>14705</v>
      </c>
      <c r="D72" s="52" t="n">
        <v>1162</v>
      </c>
      <c r="E72" s="63" t="n">
        <f aca="false">C72/D72*100</f>
        <v>1265.49053356282</v>
      </c>
      <c r="F72" s="52" t="n">
        <v>14705</v>
      </c>
      <c r="G72" s="52" t="n">
        <v>1162</v>
      </c>
      <c r="H72" s="63" t="n">
        <f aca="false">F72/G72*100</f>
        <v>1265.49053356282</v>
      </c>
      <c r="I72" s="52" t="n">
        <v>0</v>
      </c>
      <c r="J72" s="52" t="n">
        <v>3436</v>
      </c>
      <c r="K72" s="63" t="n">
        <f aca="false">I72/J72*100</f>
        <v>0</v>
      </c>
      <c r="L72" s="52" t="n">
        <v>0</v>
      </c>
      <c r="M72" s="52" t="n">
        <v>0</v>
      </c>
      <c r="N72" s="63" t="n">
        <v>0</v>
      </c>
      <c r="O72" s="52" t="n">
        <v>73</v>
      </c>
      <c r="P72" s="85" t="n">
        <v>50</v>
      </c>
      <c r="Q72" s="52" t="n">
        <v>79</v>
      </c>
      <c r="R72" s="51" t="n">
        <f aca="false">O72*P72</f>
        <v>3650</v>
      </c>
    </row>
    <row r="73" customFormat="false" ht="13.8" hidden="false" customHeight="false" outlineLevel="0" collapsed="false">
      <c r="A73" s="47" t="n">
        <v>5</v>
      </c>
      <c r="B73" s="48" t="s">
        <v>72</v>
      </c>
      <c r="C73" s="52" t="n">
        <v>75</v>
      </c>
      <c r="D73" s="52" t="n">
        <v>25</v>
      </c>
      <c r="E73" s="63" t="n">
        <f aca="false">C73/D73*100</f>
        <v>300</v>
      </c>
      <c r="F73" s="52" t="n">
        <v>75</v>
      </c>
      <c r="G73" s="52" t="n">
        <v>25</v>
      </c>
      <c r="H73" s="41" t="n">
        <f aca="false">F73/G73*100</f>
        <v>300</v>
      </c>
      <c r="I73" s="52" t="n">
        <v>75</v>
      </c>
      <c r="J73" s="52" t="n">
        <v>95</v>
      </c>
      <c r="K73" s="63" t="n">
        <f aca="false">I73/J73*100</f>
        <v>78.9473684210526</v>
      </c>
      <c r="L73" s="52" t="n">
        <v>0</v>
      </c>
      <c r="M73" s="52" t="n">
        <v>0</v>
      </c>
      <c r="N73" s="63" t="n">
        <v>0</v>
      </c>
      <c r="O73" s="52" t="n">
        <v>69</v>
      </c>
      <c r="P73" s="68" t="n">
        <v>60</v>
      </c>
      <c r="Q73" s="52" t="n">
        <v>62</v>
      </c>
      <c r="R73" s="51" t="n">
        <f aca="false">O73*P73</f>
        <v>4140</v>
      </c>
    </row>
    <row r="74" s="61" customFormat="true" ht="13.8" hidden="false" customHeight="false" outlineLevel="0" collapsed="false">
      <c r="A74" s="60" t="n">
        <v>6</v>
      </c>
      <c r="B74" s="48" t="s">
        <v>73</v>
      </c>
      <c r="C74" s="52" t="n">
        <v>2050</v>
      </c>
      <c r="D74" s="52" t="n">
        <v>366</v>
      </c>
      <c r="E74" s="63" t="n">
        <f aca="false">C74/D74*100</f>
        <v>560.109289617486</v>
      </c>
      <c r="F74" s="52" t="n">
        <v>2050</v>
      </c>
      <c r="G74" s="52" t="n">
        <v>366</v>
      </c>
      <c r="H74" s="63" t="n">
        <f aca="false">F74/G74*100</f>
        <v>560.109289617486</v>
      </c>
      <c r="I74" s="52" t="n">
        <v>2134</v>
      </c>
      <c r="J74" s="52" t="n">
        <v>481</v>
      </c>
      <c r="K74" s="63" t="n">
        <f aca="false">I74/J74*100</f>
        <v>443.659043659044</v>
      </c>
      <c r="L74" s="52" t="n">
        <v>28</v>
      </c>
      <c r="M74" s="52" t="n">
        <v>0</v>
      </c>
      <c r="N74" s="63" t="n">
        <v>0</v>
      </c>
      <c r="O74" s="52" t="n">
        <v>12</v>
      </c>
      <c r="P74" s="68" t="n">
        <v>79</v>
      </c>
      <c r="Q74" s="52" t="n">
        <v>11</v>
      </c>
      <c r="R74" s="51" t="n">
        <f aca="false">O74*P74</f>
        <v>948</v>
      </c>
    </row>
    <row r="75" customFormat="false" ht="13.8" hidden="false" customHeight="false" outlineLevel="0" collapsed="false">
      <c r="A75" s="47" t="n">
        <v>7</v>
      </c>
      <c r="B75" s="48" t="s">
        <v>74</v>
      </c>
      <c r="C75" s="52" t="n">
        <v>25609</v>
      </c>
      <c r="D75" s="52" t="n">
        <v>83978</v>
      </c>
      <c r="E75" s="63" t="n">
        <f aca="false">C75/D75*100</f>
        <v>30.4948915192074</v>
      </c>
      <c r="F75" s="52" t="n">
        <v>25609</v>
      </c>
      <c r="G75" s="52" t="n">
        <v>83978</v>
      </c>
      <c r="H75" s="63" t="n">
        <f aca="false">F75/G75*100</f>
        <v>30.4948915192074</v>
      </c>
      <c r="I75" s="52" t="n">
        <v>45544</v>
      </c>
      <c r="J75" s="52" t="n">
        <v>39626</v>
      </c>
      <c r="K75" s="63" t="n">
        <f aca="false">I75/J75*100</f>
        <v>114.934638873467</v>
      </c>
      <c r="L75" s="52" t="n">
        <v>0</v>
      </c>
      <c r="M75" s="52" t="n">
        <v>0</v>
      </c>
      <c r="N75" s="63" t="n">
        <v>0</v>
      </c>
      <c r="O75" s="52" t="n">
        <v>140</v>
      </c>
      <c r="P75" s="53" t="n">
        <v>200</v>
      </c>
      <c r="Q75" s="52" t="n">
        <v>141</v>
      </c>
      <c r="R75" s="51" t="n">
        <f aca="false">O75*P75</f>
        <v>28000</v>
      </c>
    </row>
    <row r="76" customFormat="false" ht="13.8" hidden="false" customHeight="false" outlineLevel="0" collapsed="false">
      <c r="A76" s="47" t="n">
        <v>8</v>
      </c>
      <c r="B76" s="48" t="s">
        <v>75</v>
      </c>
      <c r="C76" s="52" t="n">
        <v>0</v>
      </c>
      <c r="D76" s="52" t="n">
        <v>0</v>
      </c>
      <c r="E76" s="63" t="n">
        <v>0</v>
      </c>
      <c r="F76" s="52" t="n">
        <v>0</v>
      </c>
      <c r="G76" s="52" t="n">
        <v>0</v>
      </c>
      <c r="H76" s="63" t="n">
        <v>0</v>
      </c>
      <c r="I76" s="52" t="n">
        <v>5025</v>
      </c>
      <c r="J76" s="52" t="n">
        <v>0</v>
      </c>
      <c r="K76" s="63" t="n">
        <v>0</v>
      </c>
      <c r="L76" s="52" t="n">
        <v>0</v>
      </c>
      <c r="M76" s="52" t="n">
        <v>0</v>
      </c>
      <c r="N76" s="63" t="n">
        <v>0</v>
      </c>
      <c r="O76" s="52" t="n">
        <v>32</v>
      </c>
      <c r="P76" s="68" t="n">
        <v>40</v>
      </c>
      <c r="Q76" s="52" t="n">
        <v>32</v>
      </c>
      <c r="R76" s="51" t="n">
        <f aca="false">O76*P76</f>
        <v>1280</v>
      </c>
    </row>
    <row r="77" customFormat="false" ht="13.8" hidden="false" customHeight="false" outlineLevel="0" collapsed="false">
      <c r="A77" s="64" t="s">
        <v>76</v>
      </c>
      <c r="B77" s="64" t="s">
        <v>77</v>
      </c>
      <c r="C77" s="65" t="n">
        <f aca="false">SUM(C69:C76)</f>
        <v>105534</v>
      </c>
      <c r="D77" s="65" t="n">
        <f aca="false">SUM(D69:D76)</f>
        <v>135067</v>
      </c>
      <c r="E77" s="66" t="n">
        <f aca="false">C77/D77*100</f>
        <v>78.1345554428543</v>
      </c>
      <c r="F77" s="65" t="n">
        <f aca="false">SUM(F69:F76)</f>
        <v>105534</v>
      </c>
      <c r="G77" s="65" t="n">
        <f aca="false">SUM(G69:G76)</f>
        <v>135067</v>
      </c>
      <c r="H77" s="66" t="n">
        <f aca="false">F77/G77*100</f>
        <v>78.1345554428543</v>
      </c>
      <c r="I77" s="65" t="n">
        <f aca="false">SUM(I69:I76)</f>
        <v>90106</v>
      </c>
      <c r="J77" s="65" t="n">
        <f aca="false">SUM(J69:J76)</f>
        <v>93019</v>
      </c>
      <c r="K77" s="66" t="n">
        <f aca="false">I77/J77*100</f>
        <v>96.8683817284641</v>
      </c>
      <c r="L77" s="65" t="n">
        <f aca="false">SUM(L69:L76)</f>
        <v>37206</v>
      </c>
      <c r="M77" s="65" t="n">
        <f aca="false">SUM(M69:M76)</f>
        <v>33548</v>
      </c>
      <c r="N77" s="86" t="n">
        <f aca="false">L77/M77*100</f>
        <v>110.903779658996</v>
      </c>
      <c r="O77" s="65" t="n">
        <f aca="false">SUM(O69:O76)</f>
        <v>533</v>
      </c>
      <c r="P77" s="66" t="n">
        <f aca="false">R77/O77</f>
        <v>96.0187617260788</v>
      </c>
      <c r="Q77" s="65" t="n">
        <f aca="false">SUM(Q69:Q76)</f>
        <v>536</v>
      </c>
      <c r="R77" s="81" t="n">
        <f aca="false">SUM(R69:R76)</f>
        <v>51178</v>
      </c>
    </row>
    <row r="78" customFormat="false" ht="13.8" hidden="false" customHeight="false" outlineLevel="0" collapsed="false">
      <c r="A78" s="87" t="s">
        <v>78</v>
      </c>
      <c r="B78" s="87" t="s">
        <v>78</v>
      </c>
      <c r="C78" s="88" t="n">
        <f aca="false">C54+C66+C77</f>
        <v>236138</v>
      </c>
      <c r="D78" s="88" t="n">
        <f aca="false">D54+D66+D77</f>
        <v>354584</v>
      </c>
      <c r="E78" s="89" t="n">
        <f aca="false">C78/D78*100</f>
        <v>66.5957854838346</v>
      </c>
      <c r="F78" s="88" t="n">
        <f aca="false">F54+F66+F77</f>
        <v>203221</v>
      </c>
      <c r="G78" s="88" t="n">
        <f aca="false">G54+G66+G77</f>
        <v>316979</v>
      </c>
      <c r="H78" s="89" t="n">
        <f aca="false">F78/G78*100</f>
        <v>64.1118181330624</v>
      </c>
      <c r="I78" s="88" t="n">
        <f aca="false">I54+I66+I77</f>
        <v>210824</v>
      </c>
      <c r="J78" s="88" t="n">
        <f aca="false">J54+J66+J77</f>
        <v>311553</v>
      </c>
      <c r="K78" s="89" t="n">
        <f aca="false">I78/J78*100</f>
        <v>67.6687433598778</v>
      </c>
      <c r="L78" s="88" t="n">
        <f aca="false">L54+L66+L77</f>
        <v>89095</v>
      </c>
      <c r="M78" s="88" t="n">
        <f aca="false">M54+M66+M77</f>
        <v>164818</v>
      </c>
      <c r="N78" s="89" t="n">
        <f aca="false">L78/M78*100</f>
        <v>54.0565957601718</v>
      </c>
      <c r="O78" s="88" t="n">
        <f aca="false">O54+O66+O77</f>
        <v>1501</v>
      </c>
      <c r="P78" s="89" t="n">
        <f aca="false">R78/O78</f>
        <v>85.2271818787475</v>
      </c>
      <c r="Q78" s="88" t="n">
        <f aca="false">Q54+Q66+Q77</f>
        <v>1953</v>
      </c>
      <c r="R78" s="90" t="n">
        <f aca="false">R54+R66+R77</f>
        <v>127926</v>
      </c>
    </row>
    <row r="79" customFormat="false" ht="13.8" hidden="false" customHeight="false" outlineLevel="0" collapsed="false">
      <c r="A79" s="52"/>
      <c r="B79" s="67"/>
      <c r="C79" s="52"/>
      <c r="D79" s="52"/>
      <c r="E79" s="52"/>
      <c r="F79" s="52"/>
      <c r="G79" s="52"/>
      <c r="H79" s="52"/>
      <c r="I79" s="52"/>
      <c r="J79" s="52"/>
      <c r="K79" s="41"/>
      <c r="L79" s="52"/>
      <c r="M79" s="52"/>
      <c r="N79" s="52"/>
      <c r="O79" s="52"/>
      <c r="P79" s="68"/>
      <c r="Q79" s="52"/>
      <c r="R79" s="46"/>
    </row>
    <row r="80" customFormat="false" ht="13.8" hidden="false" customHeight="false" outlineLevel="0" collapsed="false">
      <c r="A80" s="39" t="s">
        <v>79</v>
      </c>
      <c r="B80" s="39"/>
      <c r="C80" s="44" t="n">
        <v>3</v>
      </c>
      <c r="D80" s="44" t="n">
        <v>4</v>
      </c>
      <c r="E80" s="45" t="n">
        <v>5</v>
      </c>
      <c r="F80" s="44" t="n">
        <v>6</v>
      </c>
      <c r="G80" s="44" t="n">
        <v>7</v>
      </c>
      <c r="H80" s="44" t="n">
        <v>8</v>
      </c>
      <c r="I80" s="44" t="n">
        <v>9</v>
      </c>
      <c r="J80" s="44" t="n">
        <v>10</v>
      </c>
      <c r="K80" s="44" t="n">
        <v>11</v>
      </c>
      <c r="L80" s="44" t="n">
        <v>12</v>
      </c>
      <c r="M80" s="44" t="n">
        <v>13</v>
      </c>
      <c r="N80" s="44" t="n">
        <v>14</v>
      </c>
      <c r="O80" s="44" t="n">
        <v>15</v>
      </c>
      <c r="P80" s="45" t="n">
        <v>16</v>
      </c>
      <c r="Q80" s="44" t="n">
        <v>15</v>
      </c>
      <c r="R80" s="46"/>
    </row>
    <row r="81" customFormat="false" ht="14.25" hidden="false" customHeight="false" outlineLevel="0" collapsed="false">
      <c r="A81" s="91" t="n">
        <v>1</v>
      </c>
      <c r="B81" s="92" t="s">
        <v>80</v>
      </c>
      <c r="C81" s="58" t="n">
        <v>241</v>
      </c>
      <c r="D81" s="58" t="n">
        <v>38</v>
      </c>
      <c r="E81" s="63" t="n">
        <f aca="false">C81/D81*100</f>
        <v>634.21052631579</v>
      </c>
      <c r="F81" s="58" t="n">
        <v>241</v>
      </c>
      <c r="G81" s="58" t="n">
        <v>38</v>
      </c>
      <c r="H81" s="63" t="n">
        <f aca="false">F81/G81*100</f>
        <v>634.21052631579</v>
      </c>
      <c r="I81" s="58" t="n">
        <v>241</v>
      </c>
      <c r="J81" s="58" t="n">
        <v>38</v>
      </c>
      <c r="K81" s="63" t="n">
        <f aca="false">I81/J81*100</f>
        <v>634.21052631579</v>
      </c>
      <c r="L81" s="52" t="n">
        <v>0</v>
      </c>
      <c r="M81" s="58" t="n">
        <v>0</v>
      </c>
      <c r="N81" s="63" t="n">
        <v>0</v>
      </c>
      <c r="O81" s="52" t="n">
        <v>2685</v>
      </c>
      <c r="P81" s="58" t="n">
        <v>113</v>
      </c>
      <c r="Q81" s="52" t="n">
        <v>2685</v>
      </c>
      <c r="R81" s="51" t="n">
        <f aca="false">O81*P81</f>
        <v>303405</v>
      </c>
    </row>
    <row r="82" customFormat="false" ht="13.8" hidden="false" customHeight="false" outlineLevel="0" collapsed="false">
      <c r="A82" s="93" t="n">
        <v>2</v>
      </c>
      <c r="B82" s="92" t="s">
        <v>81</v>
      </c>
      <c r="C82" s="58" t="n">
        <v>72342</v>
      </c>
      <c r="D82" s="58" t="n">
        <v>55377</v>
      </c>
      <c r="E82" s="63" t="n">
        <f aca="false">C82/D82*100</f>
        <v>130.635462376077</v>
      </c>
      <c r="F82" s="58" t="n">
        <v>72342</v>
      </c>
      <c r="G82" s="58" t="n">
        <v>55377</v>
      </c>
      <c r="H82" s="63" t="n">
        <f aca="false">F82/G82*100</f>
        <v>130.635462376077</v>
      </c>
      <c r="I82" s="58" t="n">
        <v>86207</v>
      </c>
      <c r="J82" s="58" t="n">
        <v>67825</v>
      </c>
      <c r="K82" s="63" t="n">
        <f aca="false">I82/J82*100</f>
        <v>127.102100995208</v>
      </c>
      <c r="L82" s="58" t="n">
        <v>86207</v>
      </c>
      <c r="M82" s="58" t="n">
        <v>67361</v>
      </c>
      <c r="N82" s="63" t="n">
        <f aca="false">L82/M82*100</f>
        <v>127.97761315895</v>
      </c>
      <c r="O82" s="52" t="n">
        <v>822</v>
      </c>
      <c r="P82" s="58" t="n">
        <v>113</v>
      </c>
      <c r="Q82" s="52" t="n">
        <v>756</v>
      </c>
      <c r="R82" s="51" t="n">
        <f aca="false">O82*P82</f>
        <v>92886</v>
      </c>
    </row>
    <row r="83" customFormat="false" ht="14.25" hidden="false" customHeight="false" outlineLevel="0" collapsed="false">
      <c r="A83" s="91" t="n">
        <v>3</v>
      </c>
      <c r="B83" s="92" t="s">
        <v>82</v>
      </c>
      <c r="C83" s="58" t="n">
        <v>85735</v>
      </c>
      <c r="D83" s="58" t="n">
        <v>3234</v>
      </c>
      <c r="E83" s="63" t="n">
        <f aca="false">C83/D83*100</f>
        <v>2651.05132962276</v>
      </c>
      <c r="F83" s="58" t="n">
        <v>85735</v>
      </c>
      <c r="G83" s="58" t="n">
        <v>3234</v>
      </c>
      <c r="H83" s="63" t="n">
        <f aca="false">F83/G83*100</f>
        <v>2651.05132962276</v>
      </c>
      <c r="I83" s="58" t="n">
        <v>90836</v>
      </c>
      <c r="J83" s="58" t="n">
        <v>75146</v>
      </c>
      <c r="K83" s="63" t="n">
        <f aca="false">I83/J83*100</f>
        <v>120.879354855881</v>
      </c>
      <c r="L83" s="58" t="n">
        <v>49296</v>
      </c>
      <c r="M83" s="58" t="n">
        <v>10918</v>
      </c>
      <c r="N83" s="63" t="n">
        <f aca="false">L83/M83*100</f>
        <v>451.511265799597</v>
      </c>
      <c r="O83" s="52" t="n">
        <v>24</v>
      </c>
      <c r="P83" s="58" t="n">
        <v>306</v>
      </c>
      <c r="Q83" s="52" t="n">
        <v>24</v>
      </c>
      <c r="R83" s="51" t="n">
        <f aca="false">O83*P83</f>
        <v>7344</v>
      </c>
    </row>
    <row r="84" customFormat="false" ht="13.8" hidden="false" customHeight="false" outlineLevel="0" collapsed="false">
      <c r="A84" s="93" t="n">
        <v>4</v>
      </c>
      <c r="B84" s="92" t="s">
        <v>83</v>
      </c>
      <c r="C84" s="58" t="n">
        <v>63367</v>
      </c>
      <c r="D84" s="58" t="n">
        <v>61725</v>
      </c>
      <c r="E84" s="63" t="n">
        <f aca="false">C84/D84*100</f>
        <v>102.660186310247</v>
      </c>
      <c r="F84" s="58" t="n">
        <v>63367</v>
      </c>
      <c r="G84" s="58" t="n">
        <v>61725</v>
      </c>
      <c r="H84" s="63" t="n">
        <f aca="false">F84/G84*100</f>
        <v>102.660186310247</v>
      </c>
      <c r="I84" s="58" t="n">
        <v>14101</v>
      </c>
      <c r="J84" s="58" t="n">
        <v>61282</v>
      </c>
      <c r="K84" s="63" t="n">
        <f aca="false">I84/J84*100</f>
        <v>23.0100192552462</v>
      </c>
      <c r="L84" s="52" t="n">
        <v>0</v>
      </c>
      <c r="M84" s="58" t="n">
        <v>47663</v>
      </c>
      <c r="N84" s="63" t="n">
        <f aca="false">L84/M84*100</f>
        <v>0</v>
      </c>
      <c r="O84" s="52" t="n">
        <v>196</v>
      </c>
      <c r="P84" s="58" t="n">
        <v>40</v>
      </c>
      <c r="Q84" s="52" t="n">
        <v>196</v>
      </c>
      <c r="R84" s="51" t="n">
        <f aca="false">O84*P84</f>
        <v>7840</v>
      </c>
    </row>
    <row r="85" customFormat="false" ht="14.25" hidden="false" customHeight="false" outlineLevel="0" collapsed="false">
      <c r="A85" s="91" t="n">
        <v>5</v>
      </c>
      <c r="B85" s="92" t="s">
        <v>84</v>
      </c>
      <c r="C85" s="68" t="n">
        <v>31979</v>
      </c>
      <c r="D85" s="68" t="n">
        <v>12767</v>
      </c>
      <c r="E85" s="63" t="n">
        <f aca="false">C85/D85*100</f>
        <v>250.481710660296</v>
      </c>
      <c r="F85" s="68" t="n">
        <v>31979</v>
      </c>
      <c r="G85" s="68" t="n">
        <v>12767</v>
      </c>
      <c r="H85" s="63" t="n">
        <f aca="false">F85/G85*100</f>
        <v>250.481710660296</v>
      </c>
      <c r="I85" s="68" t="n">
        <v>32400</v>
      </c>
      <c r="J85" s="68" t="n">
        <v>13755</v>
      </c>
      <c r="K85" s="63" t="n">
        <f aca="false">I85/J85*100</f>
        <v>235.550708833152</v>
      </c>
      <c r="L85" s="52" t="n">
        <v>24084</v>
      </c>
      <c r="M85" s="68" t="n">
        <v>0</v>
      </c>
      <c r="N85" s="63" t="n">
        <v>0</v>
      </c>
      <c r="O85" s="52" t="n">
        <v>98</v>
      </c>
      <c r="P85" s="68" t="n">
        <v>62</v>
      </c>
      <c r="Q85" s="52" t="n">
        <v>99</v>
      </c>
      <c r="R85" s="51" t="n">
        <f aca="false">O85*P85</f>
        <v>6076</v>
      </c>
    </row>
    <row r="86" customFormat="false" ht="13.8" hidden="false" customHeight="false" outlineLevel="0" collapsed="false">
      <c r="A86" s="93" t="n">
        <v>6</v>
      </c>
      <c r="B86" s="92" t="s">
        <v>85</v>
      </c>
      <c r="C86" s="49" t="n">
        <v>0</v>
      </c>
      <c r="D86" s="49" t="n">
        <v>0</v>
      </c>
      <c r="E86" s="54" t="n">
        <v>0</v>
      </c>
      <c r="F86" s="49" t="n">
        <v>0</v>
      </c>
      <c r="G86" s="49" t="n">
        <v>0</v>
      </c>
      <c r="H86" s="54" t="n">
        <v>0</v>
      </c>
      <c r="I86" s="49" t="n">
        <v>0</v>
      </c>
      <c r="J86" s="49" t="n">
        <v>0</v>
      </c>
      <c r="K86" s="54" t="n">
        <v>0</v>
      </c>
      <c r="L86" s="49" t="n">
        <v>0</v>
      </c>
      <c r="M86" s="49" t="n">
        <v>0</v>
      </c>
      <c r="N86" s="54" t="n">
        <v>0</v>
      </c>
      <c r="O86" s="52" t="n">
        <v>0</v>
      </c>
      <c r="P86" s="53" t="n">
        <v>0</v>
      </c>
      <c r="Q86" s="52" t="n">
        <v>0</v>
      </c>
      <c r="R86" s="51" t="n">
        <f aca="false">O86*P86</f>
        <v>0</v>
      </c>
    </row>
    <row r="87" customFormat="false" ht="14.25" hidden="false" customHeight="false" outlineLevel="0" collapsed="false">
      <c r="A87" s="91" t="n">
        <v>7</v>
      </c>
      <c r="B87" s="92" t="s">
        <v>86</v>
      </c>
      <c r="C87" s="58" t="n">
        <v>0</v>
      </c>
      <c r="D87" s="68" t="n">
        <v>839</v>
      </c>
      <c r="E87" s="63" t="n">
        <f aca="false">C87/D87*100</f>
        <v>0</v>
      </c>
      <c r="F87" s="58" t="n">
        <v>0</v>
      </c>
      <c r="G87" s="68" t="n">
        <v>406</v>
      </c>
      <c r="H87" s="63" t="n">
        <v>0</v>
      </c>
      <c r="I87" s="58" t="n">
        <v>0</v>
      </c>
      <c r="J87" s="68" t="n">
        <v>839</v>
      </c>
      <c r="K87" s="63" t="n">
        <f aca="false">I87/J87*100</f>
        <v>0</v>
      </c>
      <c r="L87" s="52" t="n">
        <v>0</v>
      </c>
      <c r="M87" s="68" t="n">
        <v>0</v>
      </c>
      <c r="N87" s="63" t="n">
        <v>0</v>
      </c>
      <c r="O87" s="52" t="n">
        <v>8</v>
      </c>
      <c r="P87" s="58" t="n">
        <v>73</v>
      </c>
      <c r="Q87" s="52" t="n">
        <v>8</v>
      </c>
      <c r="R87" s="51" t="n">
        <f aca="false">O87*P87</f>
        <v>584</v>
      </c>
    </row>
    <row r="88" customFormat="false" ht="13.8" hidden="false" customHeight="false" outlineLevel="0" collapsed="false">
      <c r="A88" s="93" t="n">
        <v>8</v>
      </c>
      <c r="B88" s="94" t="s">
        <v>87</v>
      </c>
      <c r="C88" s="68" t="n">
        <v>24770</v>
      </c>
      <c r="D88" s="68" t="n">
        <v>15363</v>
      </c>
      <c r="E88" s="63" t="n">
        <f aca="false">C88/D88*100</f>
        <v>161.231530300072</v>
      </c>
      <c r="F88" s="68" t="n">
        <v>24770</v>
      </c>
      <c r="G88" s="68" t="n">
        <v>15363</v>
      </c>
      <c r="H88" s="63" t="n">
        <f aca="false">F88/G88*100</f>
        <v>161.231530300072</v>
      </c>
      <c r="I88" s="68" t="n">
        <v>33972</v>
      </c>
      <c r="J88" s="68" t="n">
        <v>32851</v>
      </c>
      <c r="K88" s="63" t="n">
        <f aca="false">I88/J88*100</f>
        <v>103.412377096588</v>
      </c>
      <c r="L88" s="52" t="n">
        <v>0</v>
      </c>
      <c r="M88" s="68" t="n">
        <v>0</v>
      </c>
      <c r="N88" s="63" t="n">
        <v>0</v>
      </c>
      <c r="O88" s="52" t="n">
        <v>76</v>
      </c>
      <c r="P88" s="58" t="n">
        <v>85</v>
      </c>
      <c r="Q88" s="52" t="n">
        <v>76</v>
      </c>
      <c r="R88" s="51" t="n">
        <f aca="false">O88*P88</f>
        <v>6460</v>
      </c>
    </row>
    <row r="89" customFormat="false" ht="14.25" hidden="false" customHeight="false" outlineLevel="0" collapsed="false">
      <c r="A89" s="91" t="n">
        <v>9</v>
      </c>
      <c r="B89" s="94" t="s">
        <v>88</v>
      </c>
      <c r="C89" s="58" t="n">
        <v>82042</v>
      </c>
      <c r="D89" s="58" t="n">
        <v>98334</v>
      </c>
      <c r="E89" s="63" t="n">
        <f aca="false">C89/D89*100</f>
        <v>83.4319767323611</v>
      </c>
      <c r="F89" s="58" t="n">
        <v>82042</v>
      </c>
      <c r="G89" s="58" t="n">
        <v>98334</v>
      </c>
      <c r="H89" s="63" t="n">
        <f aca="false">F89/G89*100</f>
        <v>83.4319767323611</v>
      </c>
      <c r="I89" s="58" t="n">
        <v>86066</v>
      </c>
      <c r="J89" s="58" t="n">
        <v>90565</v>
      </c>
      <c r="K89" s="63" t="n">
        <f aca="false">I89/J89*100</f>
        <v>95.0322972450726</v>
      </c>
      <c r="L89" s="52" t="n">
        <v>0</v>
      </c>
      <c r="M89" s="58" t="n">
        <v>0</v>
      </c>
      <c r="N89" s="63" t="n">
        <v>0</v>
      </c>
      <c r="O89" s="52" t="n">
        <v>163</v>
      </c>
      <c r="P89" s="58" t="n">
        <v>145</v>
      </c>
      <c r="Q89" s="52" t="n">
        <v>163</v>
      </c>
      <c r="R89" s="51" t="n">
        <f aca="false">O89*P89</f>
        <v>23635</v>
      </c>
    </row>
    <row r="90" customFormat="false" ht="13.8" hidden="false" customHeight="false" outlineLevel="0" collapsed="false">
      <c r="A90" s="93" t="n">
        <v>10</v>
      </c>
      <c r="B90" s="92" t="s">
        <v>89</v>
      </c>
      <c r="C90" s="58" t="n">
        <v>69064</v>
      </c>
      <c r="D90" s="58" t="n">
        <v>64464</v>
      </c>
      <c r="E90" s="63" t="n">
        <f aca="false">C90/D90*100</f>
        <v>107.135765698685</v>
      </c>
      <c r="F90" s="58" t="n">
        <v>69064</v>
      </c>
      <c r="G90" s="58" t="n">
        <v>64464</v>
      </c>
      <c r="H90" s="63" t="n">
        <f aca="false">F90/G90*100</f>
        <v>107.135765698685</v>
      </c>
      <c r="I90" s="58" t="n">
        <v>69064</v>
      </c>
      <c r="J90" s="58" t="n">
        <v>44458</v>
      </c>
      <c r="K90" s="63" t="n">
        <f aca="false">I90/J90*100</f>
        <v>155.346619281119</v>
      </c>
      <c r="L90" s="52" t="n">
        <v>37152</v>
      </c>
      <c r="M90" s="58" t="n">
        <v>17194</v>
      </c>
      <c r="N90" s="63" t="n">
        <f aca="false">L90/M90*100</f>
        <v>216.07537513086</v>
      </c>
      <c r="O90" s="52" t="n">
        <v>124</v>
      </c>
      <c r="P90" s="58" t="n">
        <v>185</v>
      </c>
      <c r="Q90" s="52" t="n">
        <v>126</v>
      </c>
      <c r="R90" s="51" t="n">
        <f aca="false">O90*P90</f>
        <v>22940</v>
      </c>
    </row>
    <row r="91" customFormat="false" ht="14.25" hidden="false" customHeight="false" outlineLevel="0" collapsed="false">
      <c r="A91" s="91" t="n">
        <v>11</v>
      </c>
      <c r="B91" s="92" t="s">
        <v>90</v>
      </c>
      <c r="C91" s="91" t="n">
        <v>19630</v>
      </c>
      <c r="D91" s="95" t="n">
        <v>16843</v>
      </c>
      <c r="E91" s="63" t="n">
        <f aca="false">C91/D91*100</f>
        <v>116.546933444161</v>
      </c>
      <c r="F91" s="58" t="n">
        <v>19630</v>
      </c>
      <c r="G91" s="58" t="n">
        <v>16843</v>
      </c>
      <c r="H91" s="63" t="n">
        <f aca="false">F91/G91*100</f>
        <v>116.546933444161</v>
      </c>
      <c r="I91" s="96" t="n">
        <v>230575</v>
      </c>
      <c r="J91" s="97" t="n">
        <v>888088</v>
      </c>
      <c r="K91" s="63" t="n">
        <f aca="false">I91/J91*100</f>
        <v>25.963080235292</v>
      </c>
      <c r="L91" s="96" t="n">
        <v>47631</v>
      </c>
      <c r="M91" s="97" t="n">
        <v>0</v>
      </c>
      <c r="N91" s="63" t="n">
        <v>0</v>
      </c>
      <c r="O91" s="52" t="n">
        <v>51</v>
      </c>
      <c r="P91" s="58" t="n">
        <v>250</v>
      </c>
      <c r="Q91" s="52" t="n">
        <v>51</v>
      </c>
      <c r="R91" s="51" t="n">
        <f aca="false">O91*P91</f>
        <v>12750</v>
      </c>
    </row>
    <row r="92" customFormat="false" ht="13.8" hidden="false" customHeight="false" outlineLevel="0" collapsed="false">
      <c r="A92" s="64" t="s">
        <v>91</v>
      </c>
      <c r="B92" s="64" t="s">
        <v>92</v>
      </c>
      <c r="C92" s="86" t="n">
        <f aca="false">SUM(C81:C91)</f>
        <v>449170</v>
      </c>
      <c r="D92" s="86" t="n">
        <f aca="false">SUM(D81:D91)</f>
        <v>328984</v>
      </c>
      <c r="E92" s="66" t="n">
        <f aca="false">C92/D92*100</f>
        <v>136.532475743501</v>
      </c>
      <c r="F92" s="86" t="n">
        <f aca="false">SUM(F81:F91)</f>
        <v>449170</v>
      </c>
      <c r="G92" s="86" t="n">
        <f aca="false">SUM(G81:G91)</f>
        <v>328551</v>
      </c>
      <c r="H92" s="66" t="n">
        <f aca="false">F92/G92*100</f>
        <v>136.712412989155</v>
      </c>
      <c r="I92" s="86" t="n">
        <f aca="false">SUM(I81:I91)</f>
        <v>643462</v>
      </c>
      <c r="J92" s="86" t="n">
        <f aca="false">SUM(J81:J91)</f>
        <v>1274847</v>
      </c>
      <c r="K92" s="66" t="n">
        <f aca="false">I92/J92*100</f>
        <v>50.4736646828992</v>
      </c>
      <c r="L92" s="86" t="n">
        <f aca="false">SUM(L81:L91)</f>
        <v>244370</v>
      </c>
      <c r="M92" s="86" t="n">
        <f aca="false">SUM(M81:M91)</f>
        <v>143136</v>
      </c>
      <c r="N92" s="66" t="n">
        <f aca="false">L92/M92*100</f>
        <v>170.725743348983</v>
      </c>
      <c r="O92" s="65" t="n">
        <f aca="false">SUM(O81:O91)</f>
        <v>4247</v>
      </c>
      <c r="P92" s="66" t="n">
        <f aca="false">R92/O92</f>
        <v>113.943960442665</v>
      </c>
      <c r="Q92" s="65" t="n">
        <f aca="false">SUM(Q81:Q91)</f>
        <v>4184</v>
      </c>
      <c r="R92" s="81" t="n">
        <f aca="false">SUM(R81:R91)</f>
        <v>483920</v>
      </c>
    </row>
    <row r="93" customFormat="false" ht="13.8" hidden="false" customHeight="false" outlineLevel="0" collapsed="false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41"/>
      <c r="L93" s="52"/>
      <c r="M93" s="52"/>
      <c r="N93" s="52"/>
      <c r="O93" s="52"/>
      <c r="P93" s="68"/>
      <c r="Q93" s="52"/>
      <c r="R93" s="46"/>
    </row>
    <row r="94" customFormat="false" ht="13.8" hidden="false" customHeight="false" outlineLevel="0" collapsed="false">
      <c r="A94" s="39" t="s">
        <v>93</v>
      </c>
      <c r="B94" s="39"/>
      <c r="C94" s="44" t="n">
        <v>3</v>
      </c>
      <c r="D94" s="44" t="n">
        <v>4</v>
      </c>
      <c r="E94" s="45" t="n">
        <v>5</v>
      </c>
      <c r="F94" s="44" t="n">
        <v>6</v>
      </c>
      <c r="G94" s="44" t="n">
        <v>7</v>
      </c>
      <c r="H94" s="44" t="n">
        <v>8</v>
      </c>
      <c r="I94" s="44" t="n">
        <v>9</v>
      </c>
      <c r="J94" s="44" t="n">
        <v>10</v>
      </c>
      <c r="K94" s="44" t="n">
        <v>11</v>
      </c>
      <c r="L94" s="44" t="n">
        <v>12</v>
      </c>
      <c r="M94" s="44" t="n">
        <v>13</v>
      </c>
      <c r="N94" s="44" t="n">
        <v>14</v>
      </c>
      <c r="O94" s="44" t="n">
        <v>15</v>
      </c>
      <c r="P94" s="45" t="n">
        <v>16</v>
      </c>
      <c r="Q94" s="44" t="n">
        <v>15</v>
      </c>
      <c r="R94" s="46"/>
    </row>
    <row r="95" customFormat="false" ht="13.8" hidden="false" customHeight="false" outlineLevel="0" collapsed="false">
      <c r="A95" s="98" t="n">
        <v>1</v>
      </c>
      <c r="B95" s="94" t="s">
        <v>94</v>
      </c>
      <c r="C95" s="99" t="n">
        <v>0</v>
      </c>
      <c r="D95" s="99" t="n">
        <v>13356</v>
      </c>
      <c r="E95" s="63" t="n">
        <f aca="false">C95/D95*100</f>
        <v>0</v>
      </c>
      <c r="F95" s="99" t="n">
        <v>0</v>
      </c>
      <c r="G95" s="99" t="n">
        <v>13356</v>
      </c>
      <c r="H95" s="63" t="n">
        <f aca="false">F95/G95*100</f>
        <v>0</v>
      </c>
      <c r="I95" s="99" t="n">
        <v>18133</v>
      </c>
      <c r="J95" s="100" t="n">
        <v>18550</v>
      </c>
      <c r="K95" s="63" t="n">
        <f aca="false">I95/J95*100</f>
        <v>97.7520215633423</v>
      </c>
      <c r="L95" s="99" t="n">
        <v>18113</v>
      </c>
      <c r="M95" s="99" t="n">
        <v>18505</v>
      </c>
      <c r="N95" s="63" t="n">
        <f aca="false">L95/M95*100</f>
        <v>97.8816536071332</v>
      </c>
      <c r="O95" s="101"/>
      <c r="P95" s="68" t="n">
        <v>52</v>
      </c>
      <c r="Q95" s="101" t="n">
        <v>276</v>
      </c>
      <c r="R95" s="51" t="n">
        <f aca="false">O95*P95</f>
        <v>0</v>
      </c>
    </row>
    <row r="96" customFormat="false" ht="13.8" hidden="false" customHeight="false" outlineLevel="0" collapsed="false">
      <c r="A96" s="98" t="n">
        <v>2</v>
      </c>
      <c r="B96" s="94" t="s">
        <v>95</v>
      </c>
      <c r="C96" s="49" t="n">
        <v>0</v>
      </c>
      <c r="D96" s="49" t="n">
        <v>0</v>
      </c>
      <c r="E96" s="54" t="n">
        <v>0</v>
      </c>
      <c r="F96" s="49" t="n">
        <v>0</v>
      </c>
      <c r="G96" s="49" t="n">
        <v>0</v>
      </c>
      <c r="H96" s="54" t="n">
        <v>0</v>
      </c>
      <c r="I96" s="49" t="n">
        <v>0</v>
      </c>
      <c r="J96" s="49" t="n">
        <v>0</v>
      </c>
      <c r="K96" s="54" t="n">
        <v>0</v>
      </c>
      <c r="L96" s="49" t="n">
        <v>0</v>
      </c>
      <c r="M96" s="49" t="n">
        <v>0</v>
      </c>
      <c r="N96" s="54" t="n">
        <v>0</v>
      </c>
      <c r="O96" s="52" t="n">
        <v>0</v>
      </c>
      <c r="P96" s="53" t="n">
        <v>0</v>
      </c>
      <c r="Q96" s="52" t="n">
        <v>0</v>
      </c>
      <c r="R96" s="51" t="n">
        <f aca="false">O96*P96</f>
        <v>0</v>
      </c>
    </row>
    <row r="97" customFormat="false" ht="13.8" hidden="false" customHeight="false" outlineLevel="0" collapsed="false">
      <c r="A97" s="98" t="n">
        <v>3</v>
      </c>
      <c r="B97" s="92" t="s">
        <v>96</v>
      </c>
      <c r="C97" s="49" t="n">
        <v>0</v>
      </c>
      <c r="D97" s="49" t="n">
        <v>0</v>
      </c>
      <c r="E97" s="54" t="n">
        <v>0</v>
      </c>
      <c r="F97" s="49" t="n">
        <v>0</v>
      </c>
      <c r="G97" s="49" t="n">
        <v>0</v>
      </c>
      <c r="H97" s="54" t="n">
        <v>0</v>
      </c>
      <c r="I97" s="49" t="n">
        <v>0</v>
      </c>
      <c r="J97" s="49" t="n">
        <v>0</v>
      </c>
      <c r="K97" s="54" t="n">
        <v>0</v>
      </c>
      <c r="L97" s="49" t="n">
        <v>0</v>
      </c>
      <c r="M97" s="49" t="n">
        <v>0</v>
      </c>
      <c r="N97" s="54" t="n">
        <v>0</v>
      </c>
      <c r="O97" s="52" t="n">
        <v>0</v>
      </c>
      <c r="P97" s="53" t="n">
        <v>0</v>
      </c>
      <c r="Q97" s="52" t="n">
        <v>0</v>
      </c>
      <c r="R97" s="51" t="n">
        <f aca="false">O97*P97</f>
        <v>0</v>
      </c>
    </row>
    <row r="98" customFormat="false" ht="13.8" hidden="false" customHeight="false" outlineLevel="0" collapsed="false">
      <c r="A98" s="98" t="n">
        <v>4</v>
      </c>
      <c r="B98" s="94" t="s">
        <v>97</v>
      </c>
      <c r="C98" s="49" t="n">
        <v>0</v>
      </c>
      <c r="D98" s="49" t="n">
        <v>0</v>
      </c>
      <c r="E98" s="54" t="n">
        <v>0</v>
      </c>
      <c r="F98" s="49" t="n">
        <v>0</v>
      </c>
      <c r="G98" s="49" t="n">
        <v>0</v>
      </c>
      <c r="H98" s="54" t="n">
        <v>0</v>
      </c>
      <c r="I98" s="49" t="n">
        <v>0</v>
      </c>
      <c r="J98" s="49" t="n">
        <v>0</v>
      </c>
      <c r="K98" s="54" t="n">
        <v>0</v>
      </c>
      <c r="L98" s="49" t="n">
        <v>0</v>
      </c>
      <c r="M98" s="49" t="n">
        <v>0</v>
      </c>
      <c r="N98" s="54" t="n">
        <v>0</v>
      </c>
      <c r="O98" s="52" t="n">
        <v>0</v>
      </c>
      <c r="P98" s="99" t="n">
        <v>68</v>
      </c>
      <c r="Q98" s="101" t="n">
        <v>6</v>
      </c>
      <c r="R98" s="51" t="n">
        <f aca="false">O98*P98</f>
        <v>0</v>
      </c>
    </row>
    <row r="99" customFormat="false" ht="13.8" hidden="false" customHeight="false" outlineLevel="0" collapsed="false">
      <c r="A99" s="98" t="n">
        <v>5</v>
      </c>
      <c r="B99" s="94" t="s">
        <v>98</v>
      </c>
      <c r="C99" s="99" t="n">
        <v>52394</v>
      </c>
      <c r="D99" s="99" t="n">
        <v>23090</v>
      </c>
      <c r="E99" s="63" t="n">
        <f aca="false">C99/D99*100</f>
        <v>226.91208315288</v>
      </c>
      <c r="F99" s="99" t="n">
        <v>52394</v>
      </c>
      <c r="G99" s="99" t="n">
        <v>23090</v>
      </c>
      <c r="H99" s="63" t="n">
        <f aca="false">F99/G99*100</f>
        <v>226.91208315288</v>
      </c>
      <c r="I99" s="99" t="n">
        <v>35620</v>
      </c>
      <c r="J99" s="99" t="n">
        <v>26708</v>
      </c>
      <c r="K99" s="63" t="n">
        <f aca="false">I99/J99*100</f>
        <v>133.368279167291</v>
      </c>
      <c r="L99" s="99" t="n">
        <v>35620</v>
      </c>
      <c r="M99" s="99" t="n">
        <v>26708</v>
      </c>
      <c r="N99" s="63" t="n">
        <f aca="false">L99/M99*100</f>
        <v>133.368279167291</v>
      </c>
      <c r="O99" s="101"/>
      <c r="P99" s="99" t="n">
        <v>52</v>
      </c>
      <c r="Q99" s="101" t="n">
        <v>427</v>
      </c>
      <c r="R99" s="51" t="n">
        <f aca="false">O99*P99</f>
        <v>0</v>
      </c>
    </row>
    <row r="100" customFormat="false" ht="13.8" hidden="false" customHeight="false" outlineLevel="0" collapsed="false">
      <c r="A100" s="98" t="n">
        <v>6</v>
      </c>
      <c r="B100" s="94" t="s">
        <v>99</v>
      </c>
      <c r="C100" s="49" t="n">
        <v>0</v>
      </c>
      <c r="D100" s="49" t="n">
        <v>0</v>
      </c>
      <c r="E100" s="54" t="n">
        <v>0</v>
      </c>
      <c r="F100" s="49" t="n">
        <v>0</v>
      </c>
      <c r="G100" s="49" t="n">
        <v>0</v>
      </c>
      <c r="H100" s="54" t="n">
        <v>0</v>
      </c>
      <c r="I100" s="49" t="n">
        <v>0</v>
      </c>
      <c r="J100" s="49" t="n">
        <v>0</v>
      </c>
      <c r="K100" s="54" t="n">
        <v>0</v>
      </c>
      <c r="L100" s="49" t="n">
        <v>0</v>
      </c>
      <c r="M100" s="49" t="n">
        <v>0</v>
      </c>
      <c r="N100" s="54" t="n">
        <v>0</v>
      </c>
      <c r="O100" s="52" t="n">
        <v>0</v>
      </c>
      <c r="P100" s="53" t="n">
        <v>0</v>
      </c>
      <c r="Q100" s="52" t="n">
        <v>0</v>
      </c>
      <c r="R100" s="51" t="n">
        <f aca="false">O100*P100</f>
        <v>0</v>
      </c>
    </row>
    <row r="101" customFormat="false" ht="13.8" hidden="false" customHeight="false" outlineLevel="0" collapsed="false">
      <c r="A101" s="98" t="n">
        <v>7</v>
      </c>
      <c r="B101" s="92" t="s">
        <v>100</v>
      </c>
      <c r="C101" s="49" t="n">
        <v>0</v>
      </c>
      <c r="D101" s="49" t="n">
        <v>0</v>
      </c>
      <c r="E101" s="54" t="n">
        <v>0</v>
      </c>
      <c r="F101" s="49" t="n">
        <v>0</v>
      </c>
      <c r="G101" s="49" t="n">
        <v>0</v>
      </c>
      <c r="H101" s="54" t="n">
        <v>0</v>
      </c>
      <c r="I101" s="49" t="n">
        <v>0</v>
      </c>
      <c r="J101" s="49" t="n">
        <v>0</v>
      </c>
      <c r="K101" s="54" t="n">
        <v>0</v>
      </c>
      <c r="L101" s="49" t="n">
        <v>0</v>
      </c>
      <c r="M101" s="49" t="n">
        <v>0</v>
      </c>
      <c r="N101" s="54" t="n">
        <v>0</v>
      </c>
      <c r="O101" s="52" t="n">
        <v>0</v>
      </c>
      <c r="P101" s="53" t="n">
        <v>0</v>
      </c>
      <c r="Q101" s="52" t="n">
        <v>0</v>
      </c>
      <c r="R101" s="51" t="n">
        <f aca="false">O101*P101</f>
        <v>0</v>
      </c>
    </row>
    <row r="102" customFormat="false" ht="13.8" hidden="false" customHeight="false" outlineLevel="0" collapsed="false">
      <c r="A102" s="98" t="n">
        <v>8</v>
      </c>
      <c r="B102" s="94" t="s">
        <v>101</v>
      </c>
      <c r="C102" s="58" t="n">
        <v>24885</v>
      </c>
      <c r="D102" s="58" t="n">
        <v>20436</v>
      </c>
      <c r="E102" s="102" t="n">
        <f aca="false">C102/D102*100</f>
        <v>121.770405167352</v>
      </c>
      <c r="F102" s="58" t="n">
        <v>24885</v>
      </c>
      <c r="G102" s="58" t="n">
        <v>20436</v>
      </c>
      <c r="H102" s="58" t="n">
        <f aca="false">F102/G102*100</f>
        <v>121.770405167352</v>
      </c>
      <c r="I102" s="58" t="n">
        <v>7880</v>
      </c>
      <c r="J102" s="58" t="n">
        <v>5285</v>
      </c>
      <c r="K102" s="58" t="n">
        <f aca="false">I102/J102*100</f>
        <v>149.101229895932</v>
      </c>
      <c r="L102" s="58" t="n">
        <v>0</v>
      </c>
      <c r="M102" s="58" t="n">
        <v>0</v>
      </c>
      <c r="N102" s="58" t="n">
        <v>0</v>
      </c>
      <c r="O102" s="58" t="n">
        <v>153</v>
      </c>
      <c r="P102" s="58" t="n">
        <v>66</v>
      </c>
      <c r="Q102" s="58" t="n">
        <v>118</v>
      </c>
      <c r="R102" s="51" t="n">
        <f aca="false">O102*P102</f>
        <v>10098</v>
      </c>
    </row>
    <row r="103" customFormat="false" ht="13.8" hidden="false" customHeight="false" outlineLevel="0" collapsed="false">
      <c r="A103" s="98" t="n">
        <v>9</v>
      </c>
      <c r="B103" s="94" t="s">
        <v>102</v>
      </c>
      <c r="C103" s="49" t="n">
        <v>0</v>
      </c>
      <c r="D103" s="49" t="n">
        <v>0</v>
      </c>
      <c r="E103" s="54" t="n">
        <v>0</v>
      </c>
      <c r="F103" s="49" t="n">
        <v>0</v>
      </c>
      <c r="G103" s="49" t="n">
        <v>0</v>
      </c>
      <c r="H103" s="54" t="n">
        <v>0</v>
      </c>
      <c r="I103" s="49" t="n">
        <v>0</v>
      </c>
      <c r="J103" s="49" t="n">
        <v>0</v>
      </c>
      <c r="K103" s="54" t="n">
        <v>0</v>
      </c>
      <c r="L103" s="49" t="n">
        <v>0</v>
      </c>
      <c r="M103" s="49" t="n">
        <v>0</v>
      </c>
      <c r="N103" s="54" t="n">
        <v>0</v>
      </c>
      <c r="O103" s="52" t="n">
        <v>0</v>
      </c>
      <c r="P103" s="53" t="n">
        <v>0</v>
      </c>
      <c r="Q103" s="52" t="n">
        <v>0</v>
      </c>
      <c r="R103" s="51" t="n">
        <f aca="false">O103*P103</f>
        <v>0</v>
      </c>
    </row>
    <row r="104" customFormat="false" ht="13.8" hidden="false" customHeight="false" outlineLevel="0" collapsed="false">
      <c r="A104" s="98" t="n">
        <v>10</v>
      </c>
      <c r="B104" s="92" t="s">
        <v>103</v>
      </c>
      <c r="C104" s="52" t="n">
        <v>24222</v>
      </c>
      <c r="D104" s="52" t="n">
        <v>0</v>
      </c>
      <c r="E104" s="63" t="n">
        <v>0</v>
      </c>
      <c r="F104" s="52" t="n">
        <v>24222</v>
      </c>
      <c r="G104" s="52" t="n">
        <v>0</v>
      </c>
      <c r="H104" s="58" t="n">
        <v>0</v>
      </c>
      <c r="I104" s="52" t="n">
        <v>24222</v>
      </c>
      <c r="J104" s="52" t="n">
        <v>0</v>
      </c>
      <c r="K104" s="63" t="n">
        <v>0</v>
      </c>
      <c r="L104" s="52" t="n">
        <v>24222</v>
      </c>
      <c r="M104" s="52" t="n">
        <v>0</v>
      </c>
      <c r="N104" s="41" t="n">
        <v>0</v>
      </c>
      <c r="O104" s="101" t="n">
        <v>76</v>
      </c>
      <c r="P104" s="99" t="n">
        <v>45</v>
      </c>
      <c r="Q104" s="101" t="n">
        <v>73</v>
      </c>
      <c r="R104" s="51" t="n">
        <f aca="false">O104*P104</f>
        <v>3420</v>
      </c>
    </row>
    <row r="105" customFormat="false" ht="13.8" hidden="false" customHeight="false" outlineLevel="0" collapsed="false">
      <c r="A105" s="98" t="n">
        <v>11</v>
      </c>
      <c r="B105" s="94" t="s">
        <v>104</v>
      </c>
      <c r="C105" s="49" t="n">
        <v>0</v>
      </c>
      <c r="D105" s="49" t="n">
        <v>0</v>
      </c>
      <c r="E105" s="63" t="n">
        <v>0</v>
      </c>
      <c r="F105" s="49" t="n">
        <v>0</v>
      </c>
      <c r="G105" s="49" t="n">
        <v>0</v>
      </c>
      <c r="H105" s="54" t="n">
        <v>0</v>
      </c>
      <c r="I105" s="49" t="n">
        <v>0</v>
      </c>
      <c r="J105" s="49" t="n">
        <v>0</v>
      </c>
      <c r="K105" s="54" t="n">
        <v>0</v>
      </c>
      <c r="L105" s="49" t="n">
        <v>0</v>
      </c>
      <c r="M105" s="49" t="n">
        <v>0</v>
      </c>
      <c r="N105" s="41" t="n">
        <v>0</v>
      </c>
      <c r="O105" s="52" t="n">
        <v>0</v>
      </c>
      <c r="P105" s="53" t="n">
        <v>0</v>
      </c>
      <c r="Q105" s="52" t="n">
        <v>0</v>
      </c>
      <c r="R105" s="51" t="n">
        <f aca="false">O105*P105</f>
        <v>0</v>
      </c>
    </row>
    <row r="106" customFormat="false" ht="13.8" hidden="false" customHeight="false" outlineLevel="0" collapsed="false">
      <c r="A106" s="98" t="n">
        <v>12</v>
      </c>
      <c r="B106" s="94" t="s">
        <v>105</v>
      </c>
      <c r="C106" s="100" t="n">
        <v>1410</v>
      </c>
      <c r="D106" s="99" t="n">
        <v>0</v>
      </c>
      <c r="E106" s="63" t="n">
        <v>0</v>
      </c>
      <c r="F106" s="100" t="n">
        <v>1410</v>
      </c>
      <c r="G106" s="99" t="n">
        <v>0</v>
      </c>
      <c r="H106" s="63" t="n">
        <v>0</v>
      </c>
      <c r="I106" s="100" t="n">
        <v>0</v>
      </c>
      <c r="J106" s="100" t="n">
        <v>0</v>
      </c>
      <c r="K106" s="63" t="n">
        <v>0</v>
      </c>
      <c r="L106" s="99" t="n">
        <v>0</v>
      </c>
      <c r="M106" s="99" t="n">
        <v>0</v>
      </c>
      <c r="N106" s="41" t="n">
        <v>0</v>
      </c>
      <c r="O106" s="101" t="n">
        <v>10</v>
      </c>
      <c r="P106" s="99" t="n">
        <v>53</v>
      </c>
      <c r="Q106" s="101"/>
      <c r="R106" s="51" t="n">
        <f aca="false">O106*P106</f>
        <v>530</v>
      </c>
    </row>
    <row r="107" customFormat="false" ht="13.8" hidden="false" customHeight="false" outlineLevel="0" collapsed="false">
      <c r="A107" s="98" t="n">
        <v>13</v>
      </c>
      <c r="B107" s="94" t="s">
        <v>106</v>
      </c>
      <c r="C107" s="100" t="n">
        <v>0</v>
      </c>
      <c r="D107" s="99" t="n">
        <v>6409</v>
      </c>
      <c r="E107" s="63" t="n">
        <f aca="false">C107/D107*100</f>
        <v>0</v>
      </c>
      <c r="F107" s="100" t="n">
        <v>0</v>
      </c>
      <c r="G107" s="100" t="n">
        <v>6409</v>
      </c>
      <c r="H107" s="63" t="n">
        <f aca="false">F107/G107*100</f>
        <v>0</v>
      </c>
      <c r="I107" s="100" t="n">
        <v>812</v>
      </c>
      <c r="J107" s="100" t="n">
        <v>15055</v>
      </c>
      <c r="K107" s="63" t="n">
        <f aca="false">I107/J107*100</f>
        <v>5.39355695782132</v>
      </c>
      <c r="L107" s="99" t="n">
        <v>0</v>
      </c>
      <c r="M107" s="99" t="n">
        <v>14887</v>
      </c>
      <c r="N107" s="41" t="n">
        <f aca="false">L107/M107*100</f>
        <v>0</v>
      </c>
      <c r="O107" s="101" t="n">
        <v>56</v>
      </c>
      <c r="P107" s="99" t="n">
        <v>42</v>
      </c>
      <c r="Q107" s="101" t="n">
        <v>82</v>
      </c>
      <c r="R107" s="51" t="n">
        <f aca="false">O107*P107</f>
        <v>2352</v>
      </c>
    </row>
    <row r="108" customFormat="false" ht="13.8" hidden="false" customHeight="false" outlineLevel="0" collapsed="false">
      <c r="A108" s="98" t="n">
        <v>14</v>
      </c>
      <c r="B108" s="94" t="s">
        <v>107</v>
      </c>
      <c r="C108" s="49" t="n">
        <v>0</v>
      </c>
      <c r="D108" s="49" t="n">
        <v>0</v>
      </c>
      <c r="E108" s="63" t="n">
        <v>0</v>
      </c>
      <c r="F108" s="49" t="n">
        <v>0</v>
      </c>
      <c r="G108" s="49" t="n">
        <v>0</v>
      </c>
      <c r="H108" s="63" t="n">
        <v>0</v>
      </c>
      <c r="I108" s="49" t="n">
        <v>0</v>
      </c>
      <c r="J108" s="49" t="n">
        <v>0</v>
      </c>
      <c r="K108" s="63" t="n">
        <v>0</v>
      </c>
      <c r="L108" s="49" t="n">
        <v>0</v>
      </c>
      <c r="M108" s="49" t="n">
        <v>0</v>
      </c>
      <c r="N108" s="41" t="n">
        <v>0</v>
      </c>
      <c r="O108" s="52" t="n">
        <v>0</v>
      </c>
      <c r="P108" s="53" t="n">
        <v>0</v>
      </c>
      <c r="Q108" s="52" t="n">
        <v>0</v>
      </c>
      <c r="R108" s="51" t="n">
        <f aca="false">O108*P108</f>
        <v>0</v>
      </c>
    </row>
    <row r="109" customFormat="false" ht="13.8" hidden="false" customHeight="false" outlineLevel="0" collapsed="false">
      <c r="A109" s="98" t="n">
        <v>15</v>
      </c>
      <c r="B109" s="94" t="s">
        <v>108</v>
      </c>
      <c r="C109" s="58" t="n">
        <v>15305</v>
      </c>
      <c r="D109" s="58" t="n">
        <v>8556</v>
      </c>
      <c r="E109" s="63" t="n">
        <f aca="false">C109/D109*100</f>
        <v>178.880317905563</v>
      </c>
      <c r="F109" s="58" t="n">
        <v>15305</v>
      </c>
      <c r="G109" s="58" t="n">
        <v>8556</v>
      </c>
      <c r="H109" s="63" t="n">
        <f aca="false">F109/G109*100</f>
        <v>178.880317905563</v>
      </c>
      <c r="I109" s="58" t="n">
        <v>15305</v>
      </c>
      <c r="J109" s="58" t="n">
        <v>8556</v>
      </c>
      <c r="K109" s="63" t="n">
        <f aca="false">I109/J109*100</f>
        <v>178.880317905563</v>
      </c>
      <c r="L109" s="58" t="n">
        <v>15305</v>
      </c>
      <c r="M109" s="58" t="n">
        <v>8556</v>
      </c>
      <c r="N109" s="41" t="n">
        <f aca="false">L109/M109*100</f>
        <v>178.880317905563</v>
      </c>
      <c r="O109" s="52" t="n">
        <v>77</v>
      </c>
      <c r="P109" s="53" t="n">
        <v>66</v>
      </c>
      <c r="Q109" s="52"/>
      <c r="R109" s="51" t="n">
        <f aca="false">O109*P109</f>
        <v>5082</v>
      </c>
    </row>
    <row r="110" customFormat="false" ht="13.8" hidden="false" customHeight="false" outlineLevel="0" collapsed="false">
      <c r="A110" s="98" t="n">
        <v>16</v>
      </c>
      <c r="B110" s="94" t="s">
        <v>109</v>
      </c>
      <c r="C110" s="58" t="n">
        <v>80</v>
      </c>
      <c r="D110" s="58" t="n">
        <v>0</v>
      </c>
      <c r="E110" s="63" t="n">
        <v>0</v>
      </c>
      <c r="F110" s="58" t="n">
        <v>80</v>
      </c>
      <c r="G110" s="58" t="n">
        <v>0</v>
      </c>
      <c r="H110" s="63" t="n">
        <v>0</v>
      </c>
      <c r="I110" s="58" t="n">
        <v>80</v>
      </c>
      <c r="J110" s="58" t="n">
        <v>0</v>
      </c>
      <c r="K110" s="63" t="n">
        <v>0</v>
      </c>
      <c r="L110" s="58" t="n">
        <v>0</v>
      </c>
      <c r="M110" s="58" t="n">
        <v>0</v>
      </c>
      <c r="N110" s="63" t="n">
        <v>0</v>
      </c>
      <c r="O110" s="101" t="n">
        <v>39</v>
      </c>
      <c r="P110" s="53" t="n">
        <v>50</v>
      </c>
      <c r="Q110" s="101"/>
      <c r="R110" s="51" t="n">
        <f aca="false">O110*P110</f>
        <v>1950</v>
      </c>
    </row>
    <row r="111" customFormat="false" ht="13.8" hidden="false" customHeight="false" outlineLevel="0" collapsed="false">
      <c r="A111" s="98" t="n">
        <v>17</v>
      </c>
      <c r="B111" s="94" t="s">
        <v>110</v>
      </c>
      <c r="C111" s="100" t="n">
        <v>42833</v>
      </c>
      <c r="D111" s="99" t="n">
        <v>41185</v>
      </c>
      <c r="E111" s="63" t="n">
        <f aca="false">C111/D111*100</f>
        <v>104.001456841083</v>
      </c>
      <c r="F111" s="100" t="n">
        <v>42833</v>
      </c>
      <c r="G111" s="100" t="n">
        <v>41185</v>
      </c>
      <c r="H111" s="63" t="n">
        <f aca="false">F111/G111*100</f>
        <v>104.001456841083</v>
      </c>
      <c r="I111" s="100" t="n">
        <v>2249</v>
      </c>
      <c r="J111" s="100" t="n">
        <v>1823</v>
      </c>
      <c r="K111" s="63" t="n">
        <f aca="false">I111/J111*100</f>
        <v>123.368074602304</v>
      </c>
      <c r="L111" s="99" t="n">
        <v>0</v>
      </c>
      <c r="M111" s="99" t="n">
        <v>0</v>
      </c>
      <c r="N111" s="63" t="n">
        <v>0</v>
      </c>
      <c r="O111" s="101" t="n">
        <v>178</v>
      </c>
      <c r="P111" s="99" t="n">
        <v>60</v>
      </c>
      <c r="Q111" s="101" t="n">
        <v>182</v>
      </c>
      <c r="R111" s="51" t="n">
        <f aca="false">O111*P111</f>
        <v>10680</v>
      </c>
    </row>
    <row r="112" customFormat="false" ht="13.8" hidden="false" customHeight="false" outlineLevel="0" collapsed="false">
      <c r="A112" s="98" t="n">
        <v>18</v>
      </c>
      <c r="B112" s="92" t="s">
        <v>111</v>
      </c>
      <c r="C112" s="58" t="n">
        <v>47969</v>
      </c>
      <c r="D112" s="58" t="n">
        <v>35071</v>
      </c>
      <c r="E112" s="63" t="n">
        <f aca="false">C112/D112*100</f>
        <v>136.776824156711</v>
      </c>
      <c r="F112" s="58" t="n">
        <v>47969</v>
      </c>
      <c r="G112" s="58" t="n">
        <v>35071</v>
      </c>
      <c r="H112" s="63" t="n">
        <f aca="false">F112/G112*100</f>
        <v>136.776824156711</v>
      </c>
      <c r="I112" s="58" t="n">
        <v>47969</v>
      </c>
      <c r="J112" s="58" t="n">
        <v>35071</v>
      </c>
      <c r="K112" s="63" t="n">
        <f aca="false">I112/J112*100</f>
        <v>136.776824156711</v>
      </c>
      <c r="L112" s="58" t="n">
        <v>47969</v>
      </c>
      <c r="M112" s="58" t="n">
        <v>35071</v>
      </c>
      <c r="N112" s="63" t="n">
        <f aca="false">L112/M112*100</f>
        <v>136.776824156711</v>
      </c>
      <c r="O112" s="101" t="n">
        <v>374</v>
      </c>
      <c r="P112" s="99" t="n">
        <v>70</v>
      </c>
      <c r="Q112" s="101"/>
      <c r="R112" s="51" t="n">
        <f aca="false">O112*P112</f>
        <v>26180</v>
      </c>
    </row>
    <row r="113" customFormat="false" ht="13.8" hidden="false" customHeight="false" outlineLevel="0" collapsed="false">
      <c r="A113" s="98" t="n">
        <v>19</v>
      </c>
      <c r="B113" s="94" t="s">
        <v>112</v>
      </c>
      <c r="C113" s="49" t="n">
        <v>0</v>
      </c>
      <c r="D113" s="49" t="n">
        <v>0</v>
      </c>
      <c r="E113" s="54" t="n">
        <v>0</v>
      </c>
      <c r="F113" s="49" t="n">
        <v>0</v>
      </c>
      <c r="G113" s="49" t="n">
        <v>0</v>
      </c>
      <c r="H113" s="54" t="n">
        <v>0</v>
      </c>
      <c r="I113" s="49" t="n">
        <v>0</v>
      </c>
      <c r="J113" s="49" t="n">
        <v>0</v>
      </c>
      <c r="K113" s="54" t="n">
        <v>0</v>
      </c>
      <c r="L113" s="49" t="n">
        <v>0</v>
      </c>
      <c r="M113" s="49" t="n">
        <v>0</v>
      </c>
      <c r="N113" s="54" t="n">
        <v>0</v>
      </c>
      <c r="O113" s="52" t="n">
        <v>0</v>
      </c>
      <c r="P113" s="53" t="n">
        <v>0</v>
      </c>
      <c r="Q113" s="52" t="n">
        <v>0</v>
      </c>
      <c r="R113" s="51" t="n">
        <f aca="false">O113*P113</f>
        <v>0</v>
      </c>
    </row>
    <row r="114" customFormat="false" ht="13.8" hidden="false" customHeight="false" outlineLevel="0" collapsed="false">
      <c r="A114" s="98" t="n">
        <v>20</v>
      </c>
      <c r="B114" s="94" t="s">
        <v>113</v>
      </c>
      <c r="C114" s="49" t="n">
        <v>0</v>
      </c>
      <c r="D114" s="49" t="n">
        <v>0</v>
      </c>
      <c r="E114" s="54" t="n">
        <v>0</v>
      </c>
      <c r="F114" s="49" t="n">
        <v>0</v>
      </c>
      <c r="G114" s="49" t="n">
        <v>0</v>
      </c>
      <c r="H114" s="54" t="n">
        <v>0</v>
      </c>
      <c r="I114" s="49" t="n">
        <v>0</v>
      </c>
      <c r="J114" s="49" t="n">
        <v>0</v>
      </c>
      <c r="K114" s="54" t="n">
        <v>0</v>
      </c>
      <c r="L114" s="49" t="n">
        <v>0</v>
      </c>
      <c r="M114" s="49" t="n">
        <v>0</v>
      </c>
      <c r="N114" s="54" t="n">
        <v>0</v>
      </c>
      <c r="O114" s="52" t="n">
        <v>0</v>
      </c>
      <c r="P114" s="53" t="n">
        <v>0</v>
      </c>
      <c r="Q114" s="52" t="n">
        <v>0</v>
      </c>
      <c r="R114" s="51" t="n">
        <f aca="false">O114*P114</f>
        <v>0</v>
      </c>
    </row>
    <row r="115" customFormat="false" ht="13.8" hidden="false" customHeight="false" outlineLevel="0" collapsed="false">
      <c r="A115" s="98" t="n">
        <v>21</v>
      </c>
      <c r="B115" s="94" t="s">
        <v>114</v>
      </c>
      <c r="C115" s="99" t="n">
        <v>4013</v>
      </c>
      <c r="D115" s="99" t="n">
        <v>1725</v>
      </c>
      <c r="E115" s="63" t="n">
        <f aca="false">C115/D115*100</f>
        <v>232.63768115942</v>
      </c>
      <c r="F115" s="99" t="n">
        <v>4013</v>
      </c>
      <c r="G115" s="99" t="n">
        <v>1725</v>
      </c>
      <c r="H115" s="63" t="n">
        <f aca="false">F115/G115*100</f>
        <v>232.63768115942</v>
      </c>
      <c r="I115" s="99" t="n">
        <v>4013</v>
      </c>
      <c r="J115" s="99" t="n">
        <v>1725</v>
      </c>
      <c r="K115" s="63" t="n">
        <f aca="false">I115/J115*100</f>
        <v>232.63768115942</v>
      </c>
      <c r="L115" s="99" t="n">
        <v>3169</v>
      </c>
      <c r="M115" s="99" t="n">
        <v>1725</v>
      </c>
      <c r="N115" s="63" t="n">
        <f aca="false">L115/M115*100</f>
        <v>183.710144927536</v>
      </c>
      <c r="O115" s="101" t="n">
        <v>12</v>
      </c>
      <c r="P115" s="99" t="n">
        <v>47</v>
      </c>
      <c r="Q115" s="101" t="n">
        <v>13</v>
      </c>
      <c r="R115" s="51" t="n">
        <f aca="false">O115*P115</f>
        <v>564</v>
      </c>
    </row>
    <row r="116" customFormat="false" ht="13.8" hidden="false" customHeight="false" outlineLevel="0" collapsed="false">
      <c r="A116" s="98" t="n">
        <v>22</v>
      </c>
      <c r="B116" s="92" t="s">
        <v>115</v>
      </c>
      <c r="C116" s="100" t="n">
        <v>0</v>
      </c>
      <c r="D116" s="100" t="n">
        <v>0</v>
      </c>
      <c r="E116" s="63" t="n">
        <v>0</v>
      </c>
      <c r="F116" s="100" t="n">
        <v>0</v>
      </c>
      <c r="G116" s="100" t="n">
        <v>0</v>
      </c>
      <c r="H116" s="63" t="n">
        <v>0</v>
      </c>
      <c r="I116" s="100" t="n">
        <v>2369</v>
      </c>
      <c r="J116" s="100" t="n">
        <v>1123</v>
      </c>
      <c r="K116" s="63" t="n">
        <f aca="false">I116/J116*100</f>
        <v>210.952804986643</v>
      </c>
      <c r="L116" s="99" t="n">
        <v>0</v>
      </c>
      <c r="M116" s="100" t="n">
        <v>0</v>
      </c>
      <c r="N116" s="63" t="n">
        <v>0</v>
      </c>
      <c r="O116" s="101" t="n">
        <v>12</v>
      </c>
      <c r="P116" s="99" t="n">
        <v>63</v>
      </c>
      <c r="Q116" s="101" t="n">
        <v>12</v>
      </c>
      <c r="R116" s="51" t="n">
        <f aca="false">O116*P116</f>
        <v>756</v>
      </c>
    </row>
    <row r="117" customFormat="false" ht="13.8" hidden="false" customHeight="false" outlineLevel="0" collapsed="false">
      <c r="A117" s="98" t="n">
        <v>23</v>
      </c>
      <c r="B117" s="92" t="s">
        <v>116</v>
      </c>
      <c r="C117" s="100" t="n">
        <v>6987</v>
      </c>
      <c r="D117" s="99" t="n">
        <v>7036</v>
      </c>
      <c r="E117" s="63" t="n">
        <f aca="false">C117/D117*100</f>
        <v>99.3035815804434</v>
      </c>
      <c r="F117" s="100" t="n">
        <v>6987</v>
      </c>
      <c r="G117" s="100" t="n">
        <v>7036</v>
      </c>
      <c r="H117" s="63" t="n">
        <f aca="false">F117/G117*100</f>
        <v>99.3035815804434</v>
      </c>
      <c r="I117" s="100" t="n">
        <v>7273</v>
      </c>
      <c r="J117" s="100" t="n">
        <v>7382</v>
      </c>
      <c r="K117" s="63" t="n">
        <f aca="false">I117/J117*100</f>
        <v>98.523435383365</v>
      </c>
      <c r="L117" s="99" t="n">
        <v>0</v>
      </c>
      <c r="M117" s="99" t="n">
        <v>0</v>
      </c>
      <c r="N117" s="63" t="n">
        <v>0</v>
      </c>
      <c r="O117" s="101" t="n">
        <v>39</v>
      </c>
      <c r="P117" s="99" t="n">
        <v>45</v>
      </c>
      <c r="Q117" s="101" t="n">
        <v>39</v>
      </c>
      <c r="R117" s="51" t="n">
        <f aca="false">O117*P117</f>
        <v>1755</v>
      </c>
    </row>
    <row r="118" customFormat="false" ht="13.8" hidden="false" customHeight="false" outlineLevel="0" collapsed="false">
      <c r="A118" s="98" t="n">
        <v>24</v>
      </c>
      <c r="B118" s="94" t="s">
        <v>117</v>
      </c>
      <c r="C118" s="99" t="n">
        <v>4885</v>
      </c>
      <c r="D118" s="99" t="n">
        <v>2531</v>
      </c>
      <c r="E118" s="63" t="n">
        <f aca="false">C118/D118*100</f>
        <v>193.006716712762</v>
      </c>
      <c r="F118" s="99" t="n">
        <v>4885</v>
      </c>
      <c r="G118" s="100" t="n">
        <v>2531</v>
      </c>
      <c r="H118" s="63" t="n">
        <f aca="false">F118/G118*100</f>
        <v>193.006716712762</v>
      </c>
      <c r="I118" s="99" t="n">
        <v>13506</v>
      </c>
      <c r="J118" s="99" t="n">
        <v>9315</v>
      </c>
      <c r="K118" s="63" t="n">
        <f aca="false">I118/J118*100</f>
        <v>144.991948470209</v>
      </c>
      <c r="L118" s="103" t="n">
        <v>0</v>
      </c>
      <c r="M118" s="99" t="n">
        <v>0</v>
      </c>
      <c r="N118" s="41" t="n">
        <v>0</v>
      </c>
      <c r="O118" s="101" t="n">
        <v>55</v>
      </c>
      <c r="P118" s="99" t="n">
        <v>67</v>
      </c>
      <c r="Q118" s="101" t="n">
        <v>55</v>
      </c>
      <c r="R118" s="51" t="n">
        <f aca="false">O118*P118</f>
        <v>3685</v>
      </c>
    </row>
    <row r="119" customFormat="false" ht="13.8" hidden="false" customHeight="false" outlineLevel="0" collapsed="false">
      <c r="A119" s="98" t="n">
        <v>25</v>
      </c>
      <c r="B119" s="94" t="s">
        <v>118</v>
      </c>
      <c r="C119" s="99" t="n">
        <v>991</v>
      </c>
      <c r="D119" s="99" t="n">
        <v>1284</v>
      </c>
      <c r="E119" s="63" t="n">
        <f aca="false">C119/D119*100</f>
        <v>77.1806853582554</v>
      </c>
      <c r="F119" s="99" t="n">
        <v>991</v>
      </c>
      <c r="G119" s="99" t="n">
        <v>1284</v>
      </c>
      <c r="H119" s="63" t="n">
        <f aca="false">F119/G119*100</f>
        <v>77.1806853582554</v>
      </c>
      <c r="I119" s="99" t="n">
        <v>991</v>
      </c>
      <c r="J119" s="99" t="n">
        <v>1284</v>
      </c>
      <c r="K119" s="63" t="n">
        <f aca="false">I119/J119*100</f>
        <v>77.1806853582554</v>
      </c>
      <c r="L119" s="99" t="n">
        <v>0</v>
      </c>
      <c r="M119" s="99" t="n">
        <v>0</v>
      </c>
      <c r="N119" s="41" t="n">
        <v>0</v>
      </c>
      <c r="O119" s="101" t="n">
        <v>21</v>
      </c>
      <c r="P119" s="99" t="n">
        <v>40</v>
      </c>
      <c r="Q119" s="101" t="n">
        <v>19</v>
      </c>
      <c r="R119" s="51" t="n">
        <f aca="false">O119*P119</f>
        <v>840</v>
      </c>
    </row>
    <row r="120" customFormat="false" ht="13.8" hidden="false" customHeight="false" outlineLevel="0" collapsed="false">
      <c r="A120" s="64" t="s">
        <v>119</v>
      </c>
      <c r="B120" s="64" t="s">
        <v>119</v>
      </c>
      <c r="C120" s="65" t="n">
        <f aca="false">SUM(C95:C119)</f>
        <v>225974</v>
      </c>
      <c r="D120" s="65" t="n">
        <f aca="false">SUM(D95:D119)</f>
        <v>160679</v>
      </c>
      <c r="E120" s="66" t="n">
        <f aca="false">C120/D120*100</f>
        <v>140.636922061999</v>
      </c>
      <c r="F120" s="65" t="n">
        <f aca="false">SUM(F95:F119)</f>
        <v>225974</v>
      </c>
      <c r="G120" s="65" t="n">
        <f aca="false">SUM(G95:G119)</f>
        <v>160679</v>
      </c>
      <c r="H120" s="66" t="n">
        <f aca="false">F120/G120*100</f>
        <v>140.636922061999</v>
      </c>
      <c r="I120" s="65" t="n">
        <f aca="false">SUM(I95:I119)</f>
        <v>180422</v>
      </c>
      <c r="J120" s="65" t="n">
        <f aca="false">SUM(J95:J119)</f>
        <v>131877</v>
      </c>
      <c r="K120" s="66" t="n">
        <f aca="false">I120/J120*100</f>
        <v>136.810816139281</v>
      </c>
      <c r="L120" s="65" t="n">
        <f aca="false">SUM(L95:L119)</f>
        <v>144398</v>
      </c>
      <c r="M120" s="65" t="n">
        <f aca="false">SUM(M95:M119)</f>
        <v>105452</v>
      </c>
      <c r="N120" s="66" t="n">
        <f aca="false">L120/M120*100</f>
        <v>136.932443196905</v>
      </c>
      <c r="O120" s="65" t="n">
        <f aca="false">SUM(O95:O119)</f>
        <v>1102</v>
      </c>
      <c r="P120" s="66" t="n">
        <f aca="false">R120/O120</f>
        <v>61.6079854809437</v>
      </c>
      <c r="Q120" s="65" t="n">
        <f aca="false">SUM(Q95:Q119)</f>
        <v>1302</v>
      </c>
      <c r="R120" s="81" t="n">
        <f aca="false">SUM(R95:R119)</f>
        <v>67892</v>
      </c>
    </row>
    <row r="121" customFormat="false" ht="13.8" hidden="false" customHeight="false" outlineLevel="0" collapsed="false">
      <c r="A121" s="98"/>
      <c r="B121" s="94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100"/>
      <c r="O121" s="52"/>
      <c r="P121" s="53"/>
      <c r="Q121" s="52"/>
      <c r="R121" s="51"/>
    </row>
    <row r="122" customFormat="false" ht="13.8" hidden="false" customHeight="false" outlineLevel="0" collapsed="false">
      <c r="A122" s="104"/>
      <c r="B122" s="104"/>
      <c r="C122" s="105"/>
      <c r="D122" s="105"/>
      <c r="E122" s="106"/>
      <c r="F122" s="105"/>
      <c r="G122" s="105"/>
      <c r="H122" s="106"/>
      <c r="I122" s="105"/>
      <c r="J122" s="105"/>
      <c r="K122" s="106"/>
      <c r="L122" s="105"/>
      <c r="M122" s="105"/>
      <c r="N122" s="106"/>
      <c r="O122" s="105"/>
      <c r="P122" s="106"/>
      <c r="Q122" s="105"/>
      <c r="R122" s="51" t="n">
        <f aca="false">O122*P122</f>
        <v>0</v>
      </c>
    </row>
    <row r="123" customFormat="false" ht="13.8" hidden="false" customHeight="false" outlineLevel="0" collapsed="false">
      <c r="A123" s="44"/>
      <c r="B123" s="44" t="s">
        <v>120</v>
      </c>
      <c r="C123" s="44" t="n">
        <v>3</v>
      </c>
      <c r="D123" s="44" t="n">
        <v>4</v>
      </c>
      <c r="E123" s="45" t="n">
        <v>5</v>
      </c>
      <c r="F123" s="44" t="n">
        <v>6</v>
      </c>
      <c r="G123" s="44" t="n">
        <v>7</v>
      </c>
      <c r="H123" s="44" t="n">
        <v>8</v>
      </c>
      <c r="I123" s="44" t="n">
        <v>9</v>
      </c>
      <c r="J123" s="44" t="n">
        <v>10</v>
      </c>
      <c r="K123" s="44" t="n">
        <v>11</v>
      </c>
      <c r="L123" s="44" t="n">
        <v>12</v>
      </c>
      <c r="M123" s="44" t="n">
        <v>13</v>
      </c>
      <c r="N123" s="44" t="n">
        <v>14</v>
      </c>
      <c r="O123" s="44" t="n">
        <v>15</v>
      </c>
      <c r="P123" s="45" t="n">
        <v>16</v>
      </c>
      <c r="Q123" s="44" t="n">
        <v>15</v>
      </c>
      <c r="R123" s="51" t="n">
        <f aca="false">O123*P123</f>
        <v>240</v>
      </c>
    </row>
    <row r="124" customFormat="false" ht="13.8" hidden="false" customHeight="false" outlineLevel="0" collapsed="false">
      <c r="A124" s="60" t="n">
        <v>1</v>
      </c>
      <c r="B124" s="107" t="s">
        <v>121</v>
      </c>
      <c r="C124" s="49" t="n">
        <v>0</v>
      </c>
      <c r="D124" s="49" t="n">
        <v>0</v>
      </c>
      <c r="E124" s="54" t="n">
        <v>0</v>
      </c>
      <c r="F124" s="49" t="n">
        <v>0</v>
      </c>
      <c r="G124" s="49" t="n">
        <v>0</v>
      </c>
      <c r="H124" s="54" t="n">
        <v>0</v>
      </c>
      <c r="I124" s="49" t="n">
        <v>0</v>
      </c>
      <c r="J124" s="49" t="n">
        <v>0</v>
      </c>
      <c r="K124" s="54" t="n">
        <v>0</v>
      </c>
      <c r="L124" s="49" t="n">
        <v>0</v>
      </c>
      <c r="M124" s="49" t="n">
        <v>0</v>
      </c>
      <c r="N124" s="54" t="n">
        <v>0</v>
      </c>
      <c r="O124" s="52" t="n">
        <v>0</v>
      </c>
      <c r="P124" s="53" t="n">
        <v>0</v>
      </c>
      <c r="Q124" s="52" t="n">
        <v>0</v>
      </c>
      <c r="R124" s="51" t="n">
        <f aca="false">O124*P124</f>
        <v>0</v>
      </c>
    </row>
    <row r="125" s="61" customFormat="true" ht="13.8" hidden="false" customHeight="false" outlineLevel="0" collapsed="false">
      <c r="A125" s="60" t="n">
        <v>2</v>
      </c>
      <c r="B125" s="107" t="s">
        <v>122</v>
      </c>
      <c r="C125" s="52" t="n">
        <v>1705</v>
      </c>
      <c r="D125" s="52" t="n">
        <v>13214</v>
      </c>
      <c r="E125" s="63" t="n">
        <f aca="false">C125/D125*100</f>
        <v>12.9029816860905</v>
      </c>
      <c r="F125" s="52" t="n">
        <v>1705</v>
      </c>
      <c r="G125" s="52" t="n">
        <v>13214</v>
      </c>
      <c r="H125" s="41" t="n">
        <f aca="false">F125/G125*100</f>
        <v>12.9029816860905</v>
      </c>
      <c r="I125" s="52" t="n">
        <v>5420</v>
      </c>
      <c r="J125" s="52" t="n">
        <v>11682</v>
      </c>
      <c r="K125" s="63" t="n">
        <f aca="false">I125/J125*100</f>
        <v>46.3961650402328</v>
      </c>
      <c r="L125" s="52" t="n">
        <v>0</v>
      </c>
      <c r="M125" s="52" t="n">
        <v>0</v>
      </c>
      <c r="N125" s="41" t="n">
        <v>0</v>
      </c>
      <c r="O125" s="68" t="n">
        <v>75</v>
      </c>
      <c r="P125" s="53" t="n">
        <v>80</v>
      </c>
      <c r="Q125" s="68" t="n">
        <v>78</v>
      </c>
      <c r="R125" s="51" t="n">
        <f aca="false">O125*P125</f>
        <v>6000</v>
      </c>
    </row>
    <row r="126" customFormat="false" ht="13.8" hidden="false" customHeight="false" outlineLevel="0" collapsed="false">
      <c r="A126" s="60" t="n">
        <v>3</v>
      </c>
      <c r="B126" s="107" t="s">
        <v>123</v>
      </c>
      <c r="C126" s="49" t="n">
        <v>0</v>
      </c>
      <c r="D126" s="49" t="n">
        <v>0</v>
      </c>
      <c r="E126" s="54" t="n">
        <v>0</v>
      </c>
      <c r="F126" s="49" t="n">
        <v>0</v>
      </c>
      <c r="G126" s="49" t="n">
        <v>0</v>
      </c>
      <c r="H126" s="54" t="n">
        <v>0</v>
      </c>
      <c r="I126" s="49" t="n">
        <v>0</v>
      </c>
      <c r="J126" s="49" t="n">
        <v>0</v>
      </c>
      <c r="K126" s="54" t="n">
        <v>0</v>
      </c>
      <c r="L126" s="49" t="n">
        <v>0</v>
      </c>
      <c r="M126" s="49" t="n">
        <v>0</v>
      </c>
      <c r="N126" s="54" t="n">
        <v>0</v>
      </c>
      <c r="O126" s="52" t="n">
        <v>0</v>
      </c>
      <c r="P126" s="53" t="n">
        <v>0</v>
      </c>
      <c r="Q126" s="52" t="n">
        <v>0</v>
      </c>
      <c r="R126" s="51" t="n">
        <f aca="false">O126*P126</f>
        <v>0</v>
      </c>
    </row>
    <row r="127" customFormat="false" ht="13.8" hidden="false" customHeight="false" outlineLevel="0" collapsed="false">
      <c r="A127" s="60" t="n">
        <v>4</v>
      </c>
      <c r="B127" s="107" t="s">
        <v>124</v>
      </c>
      <c r="C127" s="49" t="n">
        <v>0</v>
      </c>
      <c r="D127" s="49" t="n">
        <v>0</v>
      </c>
      <c r="E127" s="54" t="n">
        <v>0</v>
      </c>
      <c r="F127" s="49" t="n">
        <v>0</v>
      </c>
      <c r="G127" s="49" t="n">
        <v>0</v>
      </c>
      <c r="H127" s="54" t="n">
        <v>0</v>
      </c>
      <c r="I127" s="49" t="n">
        <v>0</v>
      </c>
      <c r="J127" s="49" t="n">
        <v>0</v>
      </c>
      <c r="K127" s="54" t="n">
        <v>0</v>
      </c>
      <c r="L127" s="49" t="n">
        <v>0</v>
      </c>
      <c r="M127" s="49" t="n">
        <v>0</v>
      </c>
      <c r="N127" s="54" t="n">
        <v>0</v>
      </c>
      <c r="O127" s="52" t="n">
        <v>0</v>
      </c>
      <c r="P127" s="53" t="n">
        <v>0</v>
      </c>
      <c r="Q127" s="52" t="n">
        <v>0</v>
      </c>
      <c r="R127" s="51" t="n">
        <f aca="false">O127*P127</f>
        <v>0</v>
      </c>
    </row>
    <row r="128" customFormat="false" ht="13.8" hidden="false" customHeight="false" outlineLevel="0" collapsed="false">
      <c r="A128" s="60" t="n">
        <v>5</v>
      </c>
      <c r="B128" s="108" t="s">
        <v>125</v>
      </c>
      <c r="C128" s="100" t="n">
        <v>0</v>
      </c>
      <c r="D128" s="100" t="n">
        <v>0</v>
      </c>
      <c r="E128" s="109" t="n">
        <v>0</v>
      </c>
      <c r="F128" s="100" t="n">
        <v>0</v>
      </c>
      <c r="G128" s="100" t="n">
        <v>0</v>
      </c>
      <c r="H128" s="41" t="n">
        <v>0</v>
      </c>
      <c r="I128" s="100" t="n">
        <v>441</v>
      </c>
      <c r="J128" s="100" t="n">
        <v>370</v>
      </c>
      <c r="K128" s="109" t="n">
        <f aca="false">I128/J128*100</f>
        <v>119.189189189189</v>
      </c>
      <c r="L128" s="100" t="n">
        <v>0</v>
      </c>
      <c r="M128" s="100" t="n">
        <v>0</v>
      </c>
      <c r="N128" s="100" t="n">
        <v>0</v>
      </c>
      <c r="O128" s="68" t="n">
        <v>8</v>
      </c>
      <c r="P128" s="110" t="n">
        <v>70</v>
      </c>
      <c r="Q128" s="68" t="n">
        <v>8</v>
      </c>
      <c r="R128" s="51" t="n">
        <f aca="false">O128*P128</f>
        <v>560</v>
      </c>
    </row>
    <row r="129" customFormat="false" ht="13.8" hidden="false" customHeight="false" outlineLevel="0" collapsed="false">
      <c r="A129" s="60" t="n">
        <v>6</v>
      </c>
      <c r="B129" s="108" t="s">
        <v>126</v>
      </c>
      <c r="C129" s="49" t="n">
        <v>0</v>
      </c>
      <c r="D129" s="49" t="n">
        <v>0</v>
      </c>
      <c r="E129" s="54" t="n">
        <v>0</v>
      </c>
      <c r="F129" s="49" t="n">
        <v>0</v>
      </c>
      <c r="G129" s="49" t="n">
        <v>0</v>
      </c>
      <c r="H129" s="54" t="n">
        <v>0</v>
      </c>
      <c r="I129" s="49" t="n">
        <v>0</v>
      </c>
      <c r="J129" s="49" t="n">
        <v>0</v>
      </c>
      <c r="K129" s="54" t="n">
        <v>0</v>
      </c>
      <c r="L129" s="49" t="n">
        <v>0</v>
      </c>
      <c r="M129" s="49" t="n">
        <v>0</v>
      </c>
      <c r="N129" s="54" t="n">
        <v>0</v>
      </c>
      <c r="O129" s="52" t="n">
        <v>0</v>
      </c>
      <c r="P129" s="53" t="n">
        <v>0</v>
      </c>
      <c r="Q129" s="52" t="n">
        <v>0</v>
      </c>
      <c r="R129" s="51" t="n">
        <f aca="false">O129*P129</f>
        <v>0</v>
      </c>
    </row>
    <row r="130" customFormat="false" ht="13.8" hidden="false" customHeight="false" outlineLevel="0" collapsed="false">
      <c r="A130" s="60" t="n">
        <v>7</v>
      </c>
      <c r="B130" s="107" t="s">
        <v>127</v>
      </c>
      <c r="C130" s="58" t="n">
        <v>667</v>
      </c>
      <c r="D130" s="58" t="n">
        <v>2713</v>
      </c>
      <c r="E130" s="63" t="n">
        <f aca="false">C130/D130*100</f>
        <v>24.5853298931073</v>
      </c>
      <c r="F130" s="58" t="n">
        <v>667</v>
      </c>
      <c r="G130" s="58" t="n">
        <v>2713</v>
      </c>
      <c r="H130" s="63" t="n">
        <f aca="false">F130/G130*100</f>
        <v>24.5853298931073</v>
      </c>
      <c r="I130" s="58" t="n">
        <v>667</v>
      </c>
      <c r="J130" s="58" t="n">
        <v>2713</v>
      </c>
      <c r="K130" s="109" t="n">
        <f aca="false">I130/J130*100</f>
        <v>24.5853298931073</v>
      </c>
      <c r="L130" s="58" t="n">
        <v>0</v>
      </c>
      <c r="M130" s="58" t="n">
        <v>0</v>
      </c>
      <c r="N130" s="41" t="n">
        <v>0</v>
      </c>
      <c r="O130" s="68" t="n">
        <v>14</v>
      </c>
      <c r="P130" s="99" t="n">
        <v>50</v>
      </c>
      <c r="Q130" s="68" t="n">
        <v>13</v>
      </c>
      <c r="R130" s="51" t="n">
        <f aca="false">O130*P130</f>
        <v>700</v>
      </c>
    </row>
    <row r="131" customFormat="false" ht="13.8" hidden="false" customHeight="false" outlineLevel="0" collapsed="false">
      <c r="A131" s="64" t="s">
        <v>128</v>
      </c>
      <c r="B131" s="64" t="s">
        <v>128</v>
      </c>
      <c r="C131" s="65" t="n">
        <f aca="false">SUM(C124:C130)</f>
        <v>2372</v>
      </c>
      <c r="D131" s="65" t="n">
        <f aca="false">SUM(D124:D130)</f>
        <v>15927</v>
      </c>
      <c r="E131" s="66" t="n">
        <f aca="false">C131/D131*100</f>
        <v>14.8929490801783</v>
      </c>
      <c r="F131" s="65" t="n">
        <f aca="false">SUM(F124:F130)</f>
        <v>2372</v>
      </c>
      <c r="G131" s="65" t="n">
        <f aca="false">SUM(G124:G130)</f>
        <v>15927</v>
      </c>
      <c r="H131" s="66" t="n">
        <f aca="false">F131/G131*100</f>
        <v>14.8929490801783</v>
      </c>
      <c r="I131" s="65" t="n">
        <f aca="false">SUM(I124:I130)</f>
        <v>6528</v>
      </c>
      <c r="J131" s="65" t="n">
        <f aca="false">SUM(J124:J130)</f>
        <v>14765</v>
      </c>
      <c r="K131" s="66" t="n">
        <f aca="false">I131/J131*100</f>
        <v>44.2126650863529</v>
      </c>
      <c r="L131" s="65" t="n">
        <f aca="false">SUM(L124:L130)</f>
        <v>0</v>
      </c>
      <c r="M131" s="65" t="n">
        <f aca="false">SUM(M124:M130)</f>
        <v>0</v>
      </c>
      <c r="N131" s="86" t="n">
        <v>0</v>
      </c>
      <c r="O131" s="65" t="n">
        <f aca="false">SUM(O124:O130)</f>
        <v>97</v>
      </c>
      <c r="P131" s="86" t="n">
        <f aca="false">R131/O131</f>
        <v>74.8453608247423</v>
      </c>
      <c r="Q131" s="65" t="n">
        <f aca="false">SUM(Q124:Q130)</f>
        <v>99</v>
      </c>
      <c r="R131" s="81" t="n">
        <f aca="false">SUM(R124:R130)</f>
        <v>7260</v>
      </c>
    </row>
    <row r="132" customFormat="false" ht="13.8" hidden="false" customHeight="false" outlineLevel="0" collapsed="false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41"/>
      <c r="L132" s="52"/>
      <c r="M132" s="52"/>
      <c r="N132" s="52"/>
      <c r="O132" s="52"/>
      <c r="P132" s="68"/>
      <c r="Q132" s="52"/>
      <c r="R132" s="46"/>
    </row>
    <row r="133" customFormat="false" ht="13.8" hidden="false" customHeight="false" outlineLevel="0" collapsed="false">
      <c r="A133" s="39" t="s">
        <v>129</v>
      </c>
      <c r="B133" s="39"/>
      <c r="C133" s="44" t="n">
        <v>3</v>
      </c>
      <c r="D133" s="44" t="n">
        <v>4</v>
      </c>
      <c r="E133" s="45" t="n">
        <v>5</v>
      </c>
      <c r="F133" s="44" t="n">
        <v>6</v>
      </c>
      <c r="G133" s="44" t="n">
        <v>7</v>
      </c>
      <c r="H133" s="44" t="n">
        <v>8</v>
      </c>
      <c r="I133" s="44" t="n">
        <v>9</v>
      </c>
      <c r="J133" s="44" t="n">
        <v>10</v>
      </c>
      <c r="K133" s="44" t="n">
        <v>11</v>
      </c>
      <c r="L133" s="44" t="n">
        <v>12</v>
      </c>
      <c r="M133" s="44" t="n">
        <v>13</v>
      </c>
      <c r="N133" s="44" t="n">
        <v>14</v>
      </c>
      <c r="O133" s="44" t="n">
        <v>15</v>
      </c>
      <c r="P133" s="45" t="n">
        <v>16</v>
      </c>
      <c r="Q133" s="44" t="n">
        <v>15</v>
      </c>
      <c r="R133" s="38"/>
    </row>
    <row r="134" customFormat="false" ht="13.8" hidden="false" customHeight="false" outlineLevel="0" collapsed="false">
      <c r="A134" s="111" t="n">
        <v>1</v>
      </c>
      <c r="B134" s="92" t="s">
        <v>130</v>
      </c>
      <c r="C134" s="68" t="n">
        <v>11013327</v>
      </c>
      <c r="D134" s="68" t="n">
        <v>8733321</v>
      </c>
      <c r="E134" s="63" t="n">
        <f aca="false">C134/D134*100</f>
        <v>126.106975799928</v>
      </c>
      <c r="F134" s="68" t="n">
        <v>11013327</v>
      </c>
      <c r="G134" s="68" t="n">
        <v>8733321</v>
      </c>
      <c r="H134" s="63" t="n">
        <f aca="false">F134/G134*100</f>
        <v>126.106975799928</v>
      </c>
      <c r="I134" s="111" t="n">
        <v>11541286</v>
      </c>
      <c r="J134" s="111" t="n">
        <v>8809425</v>
      </c>
      <c r="K134" s="63" t="n">
        <f aca="false">I134/J134*100</f>
        <v>131.010661876343</v>
      </c>
      <c r="L134" s="111" t="n">
        <v>6289038</v>
      </c>
      <c r="M134" s="111" t="n">
        <v>3375059</v>
      </c>
      <c r="N134" s="63" t="n">
        <f aca="false">L134/M134*100</f>
        <v>186.338609191721</v>
      </c>
      <c r="O134" s="52" t="n">
        <v>2932</v>
      </c>
      <c r="P134" s="68" t="n">
        <v>145</v>
      </c>
      <c r="Q134" s="52" t="n">
        <v>2931</v>
      </c>
      <c r="R134" s="51" t="n">
        <f aca="false">O134*P134</f>
        <v>425140</v>
      </c>
    </row>
    <row r="135" customFormat="false" ht="13.8" hidden="false" customHeight="false" outlineLevel="0" collapsed="false">
      <c r="A135" s="111" t="n">
        <v>2</v>
      </c>
      <c r="B135" s="92" t="s">
        <v>131</v>
      </c>
      <c r="C135" s="68" t="n">
        <v>1934348</v>
      </c>
      <c r="D135" s="68" t="n">
        <v>2092720</v>
      </c>
      <c r="E135" s="63" t="n">
        <f aca="false">C135/D135*100</f>
        <v>92.4322412936274</v>
      </c>
      <c r="F135" s="68" t="n">
        <v>1934348</v>
      </c>
      <c r="G135" s="68" t="n">
        <v>2092720</v>
      </c>
      <c r="H135" s="63" t="n">
        <f aca="false">F135/G135*100</f>
        <v>92.4322412936274</v>
      </c>
      <c r="I135" s="111" t="n">
        <v>1197575</v>
      </c>
      <c r="J135" s="111" t="n">
        <v>1076749</v>
      </c>
      <c r="K135" s="63" t="n">
        <f aca="false">I135/J135*100</f>
        <v>111.221370997326</v>
      </c>
      <c r="L135" s="111" t="n">
        <v>1197575</v>
      </c>
      <c r="M135" s="111" t="n">
        <v>1076749</v>
      </c>
      <c r="N135" s="63" t="n">
        <f aca="false">L135/M135*100</f>
        <v>111.221370997326</v>
      </c>
      <c r="O135" s="52" t="n">
        <v>985</v>
      </c>
      <c r="P135" s="68" t="n">
        <v>120</v>
      </c>
      <c r="Q135" s="52" t="n">
        <v>958</v>
      </c>
      <c r="R135" s="51" t="n">
        <f aca="false">O135*P135</f>
        <v>118200</v>
      </c>
    </row>
    <row r="136" customFormat="false" ht="13.8" hidden="false" customHeight="false" outlineLevel="0" collapsed="false">
      <c r="A136" s="111" t="n">
        <v>3</v>
      </c>
      <c r="B136" s="92" t="s">
        <v>132</v>
      </c>
      <c r="C136" s="68" t="n">
        <v>2094237</v>
      </c>
      <c r="D136" s="68" t="n">
        <v>1920505</v>
      </c>
      <c r="E136" s="63" t="n">
        <f aca="false">C136/D136*100</f>
        <v>109.04616233751</v>
      </c>
      <c r="F136" s="68" t="n">
        <v>2094237</v>
      </c>
      <c r="G136" s="68" t="n">
        <v>1920505</v>
      </c>
      <c r="H136" s="63" t="n">
        <f aca="false">F136/G136*100</f>
        <v>109.04616233751</v>
      </c>
      <c r="I136" s="111" t="n">
        <v>0</v>
      </c>
      <c r="J136" s="111" t="n">
        <v>453390</v>
      </c>
      <c r="K136" s="63" t="n">
        <f aca="false">I136/J136*100</f>
        <v>0</v>
      </c>
      <c r="L136" s="111" t="n">
        <v>0</v>
      </c>
      <c r="M136" s="111" t="n">
        <v>453390</v>
      </c>
      <c r="N136" s="63" t="n">
        <f aca="false">L136/M136*100</f>
        <v>0</v>
      </c>
      <c r="O136" s="52" t="n">
        <v>1210</v>
      </c>
      <c r="P136" s="85" t="n">
        <v>306</v>
      </c>
      <c r="Q136" s="52" t="n">
        <v>1210</v>
      </c>
      <c r="R136" s="51" t="n">
        <f aca="false">O136*P136</f>
        <v>370260</v>
      </c>
    </row>
    <row r="137" customFormat="false" ht="13.8" hidden="false" customHeight="false" outlineLevel="0" collapsed="false">
      <c r="A137" s="111" t="n">
        <v>4</v>
      </c>
      <c r="B137" s="92" t="s">
        <v>133</v>
      </c>
      <c r="C137" s="85" t="n">
        <v>365886</v>
      </c>
      <c r="D137" s="85" t="n">
        <v>517527</v>
      </c>
      <c r="E137" s="63" t="n">
        <f aca="false">C137/D137*100</f>
        <v>70.6989200563449</v>
      </c>
      <c r="F137" s="52" t="n">
        <v>365886</v>
      </c>
      <c r="G137" s="52" t="n">
        <v>517527</v>
      </c>
      <c r="H137" s="63" t="n">
        <f aca="false">F137/G137*100</f>
        <v>70.6989200563449</v>
      </c>
      <c r="I137" s="52" t="n">
        <v>193688</v>
      </c>
      <c r="J137" s="52" t="n">
        <v>305440</v>
      </c>
      <c r="K137" s="63" t="n">
        <f aca="false">I137/J137*100</f>
        <v>63.4127815610267</v>
      </c>
      <c r="L137" s="52" t="n">
        <v>193688</v>
      </c>
      <c r="M137" s="52" t="n">
        <v>305440</v>
      </c>
      <c r="N137" s="63" t="n">
        <f aca="false">L137/M137*100</f>
        <v>63.4127815610267</v>
      </c>
      <c r="O137" s="52" t="n">
        <v>554</v>
      </c>
      <c r="P137" s="68" t="n">
        <v>150</v>
      </c>
      <c r="Q137" s="52" t="n">
        <v>559</v>
      </c>
      <c r="R137" s="51" t="n">
        <f aca="false">O137*P137</f>
        <v>83100</v>
      </c>
    </row>
    <row r="138" customFormat="false" ht="13.8" hidden="false" customHeight="false" outlineLevel="0" collapsed="false">
      <c r="A138" s="111" t="n">
        <v>5</v>
      </c>
      <c r="B138" s="92" t="s">
        <v>134</v>
      </c>
      <c r="C138" s="52" t="n">
        <v>320984</v>
      </c>
      <c r="D138" s="52" t="n">
        <v>0</v>
      </c>
      <c r="E138" s="63" t="n">
        <v>0</v>
      </c>
      <c r="F138" s="52" t="n">
        <v>320984</v>
      </c>
      <c r="G138" s="52" t="n">
        <v>0</v>
      </c>
      <c r="H138" s="63" t="n">
        <v>0</v>
      </c>
      <c r="I138" s="52" t="n">
        <v>316328</v>
      </c>
      <c r="J138" s="52" t="n">
        <v>0</v>
      </c>
      <c r="K138" s="63" t="n">
        <v>0</v>
      </c>
      <c r="L138" s="52" t="n">
        <v>316328</v>
      </c>
      <c r="M138" s="52" t="n">
        <v>0</v>
      </c>
      <c r="N138" s="63" t="n">
        <v>0</v>
      </c>
      <c r="O138" s="52" t="n">
        <v>420</v>
      </c>
      <c r="P138" s="53" t="n">
        <v>178</v>
      </c>
      <c r="Q138" s="52" t="n">
        <v>419</v>
      </c>
      <c r="R138" s="51" t="n">
        <f aca="false">O138*P138</f>
        <v>74760</v>
      </c>
    </row>
    <row r="139" customFormat="false" ht="13.8" hidden="false" customHeight="false" outlineLevel="0" collapsed="false">
      <c r="A139" s="64" t="s">
        <v>135</v>
      </c>
      <c r="B139" s="64" t="s">
        <v>136</v>
      </c>
      <c r="C139" s="86" t="n">
        <f aca="false">SUM(C134:C138)</f>
        <v>15728782</v>
      </c>
      <c r="D139" s="86" t="n">
        <f aca="false">SUM(D134:D138)</f>
        <v>13264073</v>
      </c>
      <c r="E139" s="66" t="n">
        <f aca="false">C139/D139*100</f>
        <v>118.581841339383</v>
      </c>
      <c r="F139" s="86" t="n">
        <f aca="false">SUM(F134:F138)</f>
        <v>15728782</v>
      </c>
      <c r="G139" s="86" t="n">
        <f aca="false">SUM(G134:G138)</f>
        <v>13264073</v>
      </c>
      <c r="H139" s="66" t="n">
        <f aca="false">F139/G139*100</f>
        <v>118.581841339383</v>
      </c>
      <c r="I139" s="86" t="n">
        <f aca="false">SUM(I134:I138)</f>
        <v>13248877</v>
      </c>
      <c r="J139" s="86" t="n">
        <f aca="false">SUM(J134:J138)</f>
        <v>10645004</v>
      </c>
      <c r="K139" s="66" t="n">
        <f aca="false">I139/J139*100</f>
        <v>124.460986581123</v>
      </c>
      <c r="L139" s="86" t="n">
        <f aca="false">SUM(L134:L138)</f>
        <v>7996629</v>
      </c>
      <c r="M139" s="86" t="n">
        <f aca="false">SUM(M134:M138)</f>
        <v>5210638</v>
      </c>
      <c r="N139" s="66" t="n">
        <f aca="false">L139/M139*100</f>
        <v>153.467368103484</v>
      </c>
      <c r="O139" s="86" t="n">
        <f aca="false">SUM(O134:O138)</f>
        <v>6101</v>
      </c>
      <c r="P139" s="86" t="n">
        <f aca="false">R139/O139</f>
        <v>175.620390099984</v>
      </c>
      <c r="Q139" s="86" t="n">
        <f aca="false">SUM(Q134:Q138)</f>
        <v>6077</v>
      </c>
      <c r="R139" s="86" t="n">
        <f aca="false">SUM(R134:R138)</f>
        <v>1071460</v>
      </c>
    </row>
    <row r="140" customFormat="false" ht="13.8" hidden="false" customHeight="false" outlineLevel="0" collapsed="false">
      <c r="A140" s="112"/>
      <c r="B140" s="112"/>
      <c r="C140" s="113"/>
      <c r="D140" s="113"/>
      <c r="E140" s="114"/>
      <c r="F140" s="115"/>
      <c r="G140" s="115"/>
      <c r="H140" s="114"/>
      <c r="I140" s="115"/>
      <c r="J140" s="115"/>
      <c r="K140" s="114"/>
      <c r="L140" s="115"/>
      <c r="M140" s="115"/>
      <c r="N140" s="114"/>
      <c r="O140" s="115"/>
      <c r="P140" s="113"/>
      <c r="Q140" s="115"/>
      <c r="R140" s="116"/>
    </row>
    <row r="141" customFormat="false" ht="13.8" hidden="false" customHeight="false" outlineLevel="0" collapsed="false">
      <c r="A141" s="112"/>
      <c r="B141" s="112" t="s">
        <v>137</v>
      </c>
      <c r="C141" s="44" t="n">
        <v>3</v>
      </c>
      <c r="D141" s="44" t="n">
        <v>4</v>
      </c>
      <c r="E141" s="45" t="n">
        <v>5</v>
      </c>
      <c r="F141" s="44" t="n">
        <v>6</v>
      </c>
      <c r="G141" s="44" t="n">
        <v>7</v>
      </c>
      <c r="H141" s="44" t="n">
        <v>8</v>
      </c>
      <c r="I141" s="44" t="n">
        <v>9</v>
      </c>
      <c r="J141" s="44" t="n">
        <v>10</v>
      </c>
      <c r="K141" s="44" t="n">
        <v>11</v>
      </c>
      <c r="L141" s="44" t="n">
        <v>12</v>
      </c>
      <c r="M141" s="44" t="n">
        <v>13</v>
      </c>
      <c r="N141" s="44" t="n">
        <v>14</v>
      </c>
      <c r="O141" s="44" t="n">
        <v>15</v>
      </c>
      <c r="P141" s="45" t="n">
        <v>16</v>
      </c>
      <c r="Q141" s="44" t="n">
        <v>15</v>
      </c>
      <c r="R141" s="116"/>
    </row>
    <row r="142" customFormat="false" ht="13.8" hidden="false" customHeight="false" outlineLevel="0" collapsed="false">
      <c r="A142" s="111" t="n">
        <v>6</v>
      </c>
      <c r="B142" s="92" t="s">
        <v>138</v>
      </c>
      <c r="C142" s="68" t="n">
        <v>1803579</v>
      </c>
      <c r="D142" s="68" t="n">
        <v>1665870</v>
      </c>
      <c r="E142" s="63" t="n">
        <f aca="false">C142/D142*100</f>
        <v>108.266491382881</v>
      </c>
      <c r="F142" s="68" t="n">
        <v>1803579</v>
      </c>
      <c r="G142" s="68" t="n">
        <v>1665870</v>
      </c>
      <c r="H142" s="63" t="n">
        <f aca="false">F142/G142*100</f>
        <v>108.266491382881</v>
      </c>
      <c r="I142" s="111" t="n">
        <v>1858276</v>
      </c>
      <c r="J142" s="111" t="n">
        <v>1683977</v>
      </c>
      <c r="K142" s="63" t="n">
        <f aca="false">I142/J142*100</f>
        <v>110.350438277957</v>
      </c>
      <c r="L142" s="111" t="n">
        <v>1858276</v>
      </c>
      <c r="M142" s="111" t="n">
        <v>1683977</v>
      </c>
      <c r="N142" s="63" t="n">
        <f aca="false">L142/M142*100</f>
        <v>110.350438277957</v>
      </c>
      <c r="O142" s="52" t="n">
        <v>475</v>
      </c>
      <c r="P142" s="85" t="n">
        <v>150</v>
      </c>
      <c r="Q142" s="52" t="n">
        <v>475</v>
      </c>
      <c r="R142" s="51" t="n">
        <f aca="false">O142*P142</f>
        <v>71250</v>
      </c>
    </row>
    <row r="143" customFormat="false" ht="13.8" hidden="false" customHeight="false" outlineLevel="0" collapsed="false">
      <c r="A143" s="111" t="n">
        <v>10</v>
      </c>
      <c r="B143" s="92" t="s">
        <v>139</v>
      </c>
      <c r="C143" s="85" t="n">
        <v>4203028</v>
      </c>
      <c r="D143" s="85" t="n">
        <v>3338654</v>
      </c>
      <c r="E143" s="63" t="n">
        <f aca="false">C143/D143*100</f>
        <v>125.889894550319</v>
      </c>
      <c r="F143" s="85" t="n">
        <v>4203028</v>
      </c>
      <c r="G143" s="85" t="n">
        <v>3338654</v>
      </c>
      <c r="H143" s="63" t="n">
        <f aca="false">F143/G143*100</f>
        <v>125.889894550319</v>
      </c>
      <c r="I143" s="52" t="n">
        <v>5029617</v>
      </c>
      <c r="J143" s="52" t="n">
        <v>2749501</v>
      </c>
      <c r="K143" s="63" t="n">
        <f aca="false">I143/J143*100</f>
        <v>182.928356818201</v>
      </c>
      <c r="L143" s="52" t="n">
        <v>5026847</v>
      </c>
      <c r="M143" s="52" t="n">
        <v>2749501</v>
      </c>
      <c r="N143" s="63" t="n">
        <f aca="false">L143/M143*100</f>
        <v>182.827611264735</v>
      </c>
      <c r="O143" s="52" t="n">
        <v>655</v>
      </c>
      <c r="P143" s="68" t="n">
        <v>134</v>
      </c>
      <c r="Q143" s="52" t="n">
        <v>669</v>
      </c>
      <c r="R143" s="51" t="n">
        <f aca="false">O143*P143</f>
        <v>87770</v>
      </c>
    </row>
    <row r="144" customFormat="false" ht="13.8" hidden="false" customHeight="false" outlineLevel="0" collapsed="false">
      <c r="A144" s="111" t="n">
        <v>11</v>
      </c>
      <c r="B144" s="92" t="s">
        <v>140</v>
      </c>
      <c r="C144" s="68" t="n">
        <v>2654340</v>
      </c>
      <c r="D144" s="68" t="n">
        <v>2294395</v>
      </c>
      <c r="E144" s="63" t="n">
        <f aca="false">C144/D144*100</f>
        <v>115.68801361579</v>
      </c>
      <c r="F144" s="52" t="n">
        <v>2654340</v>
      </c>
      <c r="G144" s="52" t="n">
        <v>2294395</v>
      </c>
      <c r="H144" s="63" t="n">
        <f aca="false">F144/G144*100</f>
        <v>115.68801361579</v>
      </c>
      <c r="I144" s="52" t="n">
        <v>2702780</v>
      </c>
      <c r="J144" s="52" t="n">
        <v>2302536</v>
      </c>
      <c r="K144" s="63" t="n">
        <f aca="false">I144/J144*100</f>
        <v>117.382746675839</v>
      </c>
      <c r="L144" s="52" t="n">
        <v>2702780</v>
      </c>
      <c r="M144" s="52" t="n">
        <v>2302536</v>
      </c>
      <c r="N144" s="63" t="n">
        <f aca="false">L144/M144*100</f>
        <v>117.382746675839</v>
      </c>
      <c r="O144" s="52" t="n">
        <v>560</v>
      </c>
      <c r="P144" s="68" t="n">
        <v>180</v>
      </c>
      <c r="Q144" s="52" t="n">
        <v>557</v>
      </c>
      <c r="R144" s="51" t="n">
        <f aca="false">O144*P144</f>
        <v>100800</v>
      </c>
    </row>
    <row r="145" customFormat="false" ht="13.8" hidden="false" customHeight="false" outlineLevel="0" collapsed="false">
      <c r="A145" s="111" t="n">
        <v>14</v>
      </c>
      <c r="B145" s="92" t="s">
        <v>141</v>
      </c>
      <c r="C145" s="85" t="n">
        <v>334125</v>
      </c>
      <c r="D145" s="85" t="n">
        <v>263878</v>
      </c>
      <c r="E145" s="63" t="n">
        <f aca="false">C145/D145*100</f>
        <v>126.621014256588</v>
      </c>
      <c r="F145" s="111" t="n">
        <v>334125</v>
      </c>
      <c r="G145" s="111" t="n">
        <v>263878</v>
      </c>
      <c r="H145" s="63" t="n">
        <f aca="false">F145/G145*100</f>
        <v>126.621014256588</v>
      </c>
      <c r="I145" s="111" t="n">
        <v>484636</v>
      </c>
      <c r="J145" s="111" t="n">
        <v>265126</v>
      </c>
      <c r="K145" s="63" t="n">
        <f aca="false">I145/J145*100</f>
        <v>182.794595777102</v>
      </c>
      <c r="L145" s="111" t="n">
        <v>0</v>
      </c>
      <c r="M145" s="111" t="n">
        <v>0</v>
      </c>
      <c r="N145" s="63" t="n">
        <v>0</v>
      </c>
      <c r="O145" s="52" t="n">
        <v>320</v>
      </c>
      <c r="P145" s="85" t="n">
        <v>58</v>
      </c>
      <c r="Q145" s="52" t="n">
        <v>320</v>
      </c>
      <c r="R145" s="51" t="n">
        <f aca="false">O145*P145</f>
        <v>18560</v>
      </c>
    </row>
    <row r="146" customFormat="false" ht="13.8" hidden="false" customHeight="false" outlineLevel="0" collapsed="false">
      <c r="A146" s="111" t="n">
        <v>9</v>
      </c>
      <c r="B146" s="92" t="s">
        <v>142</v>
      </c>
      <c r="C146" s="85" t="n">
        <v>2551256</v>
      </c>
      <c r="D146" s="85" t="n">
        <v>1716870</v>
      </c>
      <c r="E146" s="63" t="n">
        <f aca="false">C146/D146*100</f>
        <v>148.599253292328</v>
      </c>
      <c r="F146" s="85" t="n">
        <v>2551256</v>
      </c>
      <c r="G146" s="85" t="n">
        <v>1716870</v>
      </c>
      <c r="H146" s="63" t="n">
        <f aca="false">F146/G146*100</f>
        <v>148.599253292328</v>
      </c>
      <c r="I146" s="52" t="n">
        <v>2179209</v>
      </c>
      <c r="J146" s="52" t="n">
        <v>2420892</v>
      </c>
      <c r="K146" s="63" t="n">
        <f aca="false">I146/J146*100</f>
        <v>90.0167789393331</v>
      </c>
      <c r="L146" s="52" t="n">
        <v>2179209</v>
      </c>
      <c r="M146" s="52" t="n">
        <v>2420892</v>
      </c>
      <c r="N146" s="63" t="n">
        <f aca="false">L146/M146*100</f>
        <v>90.0167789393331</v>
      </c>
      <c r="O146" s="52" t="n">
        <v>958</v>
      </c>
      <c r="P146" s="68" t="n">
        <v>100</v>
      </c>
      <c r="Q146" s="52" t="n">
        <v>955</v>
      </c>
      <c r="R146" s="51" t="n">
        <f aca="false">O146*P146</f>
        <v>95800</v>
      </c>
    </row>
    <row r="147" customFormat="false" ht="13.8" hidden="false" customHeight="false" outlineLevel="0" collapsed="false">
      <c r="A147" s="111" t="n">
        <v>15</v>
      </c>
      <c r="B147" s="92" t="s">
        <v>143</v>
      </c>
      <c r="C147" s="68" t="n">
        <v>3034471</v>
      </c>
      <c r="D147" s="68" t="n">
        <v>2633172</v>
      </c>
      <c r="E147" s="63" t="n">
        <f aca="false">C147/D147*100</f>
        <v>115.240136231131</v>
      </c>
      <c r="F147" s="68" t="n">
        <v>3034471</v>
      </c>
      <c r="G147" s="68" t="n">
        <v>2633172</v>
      </c>
      <c r="H147" s="63" t="n">
        <f aca="false">F147/G147*100</f>
        <v>115.240136231131</v>
      </c>
      <c r="I147" s="52" t="n">
        <v>2591093</v>
      </c>
      <c r="J147" s="52" t="n">
        <v>1686835</v>
      </c>
      <c r="K147" s="63" t="n">
        <f aca="false">I147/J147*100</f>
        <v>153.606784303148</v>
      </c>
      <c r="L147" s="52" t="n">
        <v>2589573</v>
      </c>
      <c r="M147" s="52" t="n">
        <v>1683527</v>
      </c>
      <c r="N147" s="63" t="n">
        <f aca="false">L147/M147*100</f>
        <v>153.818323080058</v>
      </c>
      <c r="O147" s="52" t="n">
        <v>641</v>
      </c>
      <c r="P147" s="68" t="n">
        <v>130</v>
      </c>
      <c r="Q147" s="52" t="n">
        <v>646</v>
      </c>
      <c r="R147" s="51" t="n">
        <f aca="false">O147*P147</f>
        <v>83330</v>
      </c>
    </row>
    <row r="148" customFormat="false" ht="13.8" hidden="false" customHeight="false" outlineLevel="0" collapsed="false">
      <c r="A148" s="111" t="n">
        <v>13</v>
      </c>
      <c r="B148" s="92" t="s">
        <v>144</v>
      </c>
      <c r="C148" s="49" t="n">
        <v>0</v>
      </c>
      <c r="D148" s="49" t="n">
        <v>0</v>
      </c>
      <c r="E148" s="54" t="n">
        <v>0</v>
      </c>
      <c r="F148" s="49" t="n">
        <v>0</v>
      </c>
      <c r="G148" s="49" t="n">
        <v>0</v>
      </c>
      <c r="H148" s="54" t="n">
        <v>0</v>
      </c>
      <c r="I148" s="49" t="n">
        <v>0</v>
      </c>
      <c r="J148" s="49" t="n">
        <v>0</v>
      </c>
      <c r="K148" s="54" t="n">
        <v>0</v>
      </c>
      <c r="L148" s="49" t="n">
        <v>0</v>
      </c>
      <c r="M148" s="49" t="n">
        <v>0</v>
      </c>
      <c r="N148" s="54" t="n">
        <v>0</v>
      </c>
      <c r="O148" s="52" t="n">
        <v>0</v>
      </c>
      <c r="P148" s="53" t="n">
        <v>0</v>
      </c>
      <c r="Q148" s="52" t="n">
        <v>0</v>
      </c>
      <c r="R148" s="51" t="n">
        <f aca="false">O148*P148</f>
        <v>0</v>
      </c>
    </row>
    <row r="149" customFormat="false" ht="13.8" hidden="false" customHeight="false" outlineLevel="0" collapsed="false">
      <c r="A149" s="64" t="s">
        <v>145</v>
      </c>
      <c r="B149" s="64" t="s">
        <v>136</v>
      </c>
      <c r="C149" s="86" t="n">
        <f aca="false">SUM(C142:C148)</f>
        <v>14580799</v>
      </c>
      <c r="D149" s="86" t="n">
        <f aca="false">SUM(D142:D148)</f>
        <v>11912839</v>
      </c>
      <c r="E149" s="66" t="n">
        <f aca="false">C149/D149*100</f>
        <v>122.395669076028</v>
      </c>
      <c r="F149" s="86" t="n">
        <f aca="false">SUM(F142:F148)</f>
        <v>14580799</v>
      </c>
      <c r="G149" s="86" t="n">
        <f aca="false">SUM(G142:G148)</f>
        <v>11912839</v>
      </c>
      <c r="H149" s="66" t="n">
        <f aca="false">F149/G149*100</f>
        <v>122.395669076028</v>
      </c>
      <c r="I149" s="86" t="n">
        <f aca="false">SUM(I142:I148)</f>
        <v>14845611</v>
      </c>
      <c r="J149" s="86" t="n">
        <f aca="false">SUM(J142:J148)</f>
        <v>11108867</v>
      </c>
      <c r="K149" s="66" t="n">
        <f aca="false">I149/J149*100</f>
        <v>133.637489763808</v>
      </c>
      <c r="L149" s="86" t="n">
        <f aca="false">SUM(L142:L148)</f>
        <v>14356685</v>
      </c>
      <c r="M149" s="86" t="n">
        <f aca="false">SUM(M142:M148)</f>
        <v>10840433</v>
      </c>
      <c r="N149" s="66" t="n">
        <f aca="false">L149/M149*100</f>
        <v>132.43645341473</v>
      </c>
      <c r="O149" s="65" t="n">
        <f aca="false">SUM(O142:O148)</f>
        <v>3609</v>
      </c>
      <c r="P149" s="86" t="n">
        <f aca="false">R149/O149</f>
        <v>126.769188140759</v>
      </c>
      <c r="Q149" s="65" t="n">
        <f aca="false">SUM(Q142:Q148)</f>
        <v>3622</v>
      </c>
      <c r="R149" s="81" t="n">
        <f aca="false">SUM(R142:R148)</f>
        <v>457510</v>
      </c>
    </row>
    <row r="150" customFormat="false" ht="13.8" hidden="false" customHeight="false" outlineLevel="0" collapsed="false">
      <c r="A150" s="117" t="s">
        <v>146</v>
      </c>
      <c r="B150" s="117" t="s">
        <v>78</v>
      </c>
      <c r="C150" s="118" t="n">
        <f aca="false">C139+C149</f>
        <v>30309581</v>
      </c>
      <c r="D150" s="118" t="n">
        <f aca="false">D139+D149</f>
        <v>25176912</v>
      </c>
      <c r="E150" s="89" t="n">
        <f aca="false">C150/D150*100</f>
        <v>120.386411963469</v>
      </c>
      <c r="F150" s="118" t="n">
        <f aca="false">F139+F149</f>
        <v>30309581</v>
      </c>
      <c r="G150" s="118" t="n">
        <f aca="false">G139+G149</f>
        <v>25176912</v>
      </c>
      <c r="H150" s="89" t="n">
        <f aca="false">F150/G150*100</f>
        <v>120.386411963469</v>
      </c>
      <c r="I150" s="118" t="n">
        <f aca="false">I139+I149</f>
        <v>28094488</v>
      </c>
      <c r="J150" s="118" t="n">
        <f aca="false">J139+J149</f>
        <v>21753871</v>
      </c>
      <c r="K150" s="89" t="n">
        <f aca="false">I150/J150*100</f>
        <v>129.147074559742</v>
      </c>
      <c r="L150" s="118" t="n">
        <f aca="false">L139+L149</f>
        <v>22353314</v>
      </c>
      <c r="M150" s="118" t="n">
        <f aca="false">M139+M149</f>
        <v>16051071</v>
      </c>
      <c r="N150" s="89" t="n">
        <f aca="false">L150/M150*100</f>
        <v>139.26369150071</v>
      </c>
      <c r="O150" s="118" t="n">
        <f aca="false">O139+O149</f>
        <v>9710</v>
      </c>
      <c r="P150" s="89" t="n">
        <f aca="false">R150/O150</f>
        <v>157.463439752832</v>
      </c>
      <c r="Q150" s="118" t="n">
        <f aca="false">Q139+Q149</f>
        <v>9699</v>
      </c>
      <c r="R150" s="118" t="n">
        <f aca="false">R139+R149</f>
        <v>1528970</v>
      </c>
    </row>
    <row r="151" customFormat="false" ht="13.8" hidden="false" customHeight="false" outlineLevel="0" collapsed="false">
      <c r="A151" s="112"/>
      <c r="B151" s="112"/>
      <c r="C151" s="113"/>
      <c r="D151" s="113"/>
      <c r="E151" s="114"/>
      <c r="F151" s="115"/>
      <c r="G151" s="115"/>
      <c r="H151" s="114"/>
      <c r="I151" s="115"/>
      <c r="J151" s="115"/>
      <c r="K151" s="114"/>
      <c r="L151" s="115"/>
      <c r="M151" s="115"/>
      <c r="N151" s="114"/>
      <c r="O151" s="115"/>
      <c r="P151" s="113"/>
      <c r="Q151" s="115"/>
      <c r="R151" s="116"/>
    </row>
    <row r="152" customFormat="false" ht="13.8" hidden="false" customHeight="false" outlineLevel="0" collapsed="false">
      <c r="A152" s="28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38"/>
    </row>
    <row r="153" customFormat="false" ht="13.8" hidden="false" customHeight="false" outlineLevel="0" collapsed="false">
      <c r="A153" s="119"/>
      <c r="B153" s="119" t="s">
        <v>147</v>
      </c>
      <c r="C153" s="44" t="n">
        <v>3</v>
      </c>
      <c r="D153" s="44" t="n">
        <v>4</v>
      </c>
      <c r="E153" s="45" t="n">
        <v>5</v>
      </c>
      <c r="F153" s="44" t="n">
        <v>6</v>
      </c>
      <c r="G153" s="44" t="n">
        <v>7</v>
      </c>
      <c r="H153" s="44" t="n">
        <v>8</v>
      </c>
      <c r="I153" s="44" t="n">
        <v>9</v>
      </c>
      <c r="J153" s="44" t="n">
        <v>10</v>
      </c>
      <c r="K153" s="44" t="n">
        <v>11</v>
      </c>
      <c r="L153" s="44" t="n">
        <v>12</v>
      </c>
      <c r="M153" s="44" t="n">
        <v>13</v>
      </c>
      <c r="N153" s="44" t="n">
        <v>14</v>
      </c>
      <c r="O153" s="44" t="n">
        <v>15</v>
      </c>
      <c r="P153" s="45" t="n">
        <v>16</v>
      </c>
      <c r="Q153" s="44" t="n">
        <v>15</v>
      </c>
      <c r="R153" s="120"/>
    </row>
    <row r="154" customFormat="false" ht="13.8" hidden="false" customHeight="false" outlineLevel="0" collapsed="false">
      <c r="A154" s="111" t="n">
        <v>1</v>
      </c>
      <c r="B154" s="121" t="s">
        <v>148</v>
      </c>
      <c r="C154" s="111" t="n">
        <v>412</v>
      </c>
      <c r="D154" s="111" t="n">
        <v>1708</v>
      </c>
      <c r="E154" s="63" t="n">
        <f aca="false">C154/D154*100</f>
        <v>24.1217798594848</v>
      </c>
      <c r="F154" s="41" t="n">
        <v>412</v>
      </c>
      <c r="G154" s="111" t="n">
        <v>1708</v>
      </c>
      <c r="H154" s="63" t="n">
        <f aca="false">F154/G154*100</f>
        <v>24.1217798594848</v>
      </c>
      <c r="I154" s="111" t="n">
        <v>412</v>
      </c>
      <c r="J154" s="111" t="n">
        <v>1708</v>
      </c>
      <c r="K154" s="63" t="n">
        <f aca="false">I154/J154*100</f>
        <v>24.1217798594848</v>
      </c>
      <c r="L154" s="111" t="n">
        <v>0</v>
      </c>
      <c r="M154" s="111" t="n">
        <v>0</v>
      </c>
      <c r="N154" s="63" t="n">
        <v>0</v>
      </c>
      <c r="O154" s="111" t="n">
        <v>50</v>
      </c>
      <c r="P154" s="85" t="n">
        <v>83</v>
      </c>
      <c r="Q154" s="111" t="n">
        <v>57</v>
      </c>
      <c r="R154" s="51" t="n">
        <f aca="false">O154*P154</f>
        <v>4150</v>
      </c>
    </row>
    <row r="155" customFormat="false" ht="13.8" hidden="false" customHeight="false" outlineLevel="0" collapsed="false">
      <c r="A155" s="111" t="n">
        <v>2</v>
      </c>
      <c r="B155" s="121" t="s">
        <v>149</v>
      </c>
      <c r="C155" s="58" t="n">
        <v>820457</v>
      </c>
      <c r="D155" s="58" t="n">
        <v>616670</v>
      </c>
      <c r="E155" s="63" t="n">
        <f aca="false">C155/D155*100</f>
        <v>133.046361911557</v>
      </c>
      <c r="F155" s="58" t="n">
        <v>820457</v>
      </c>
      <c r="G155" s="58" t="n">
        <v>616670</v>
      </c>
      <c r="H155" s="63" t="n">
        <f aca="false">F155/G155*100</f>
        <v>133.046361911557</v>
      </c>
      <c r="I155" s="58" t="n">
        <v>420317</v>
      </c>
      <c r="J155" s="58" t="n">
        <v>439983</v>
      </c>
      <c r="K155" s="63" t="n">
        <f aca="false">I155/J155*100</f>
        <v>95.5302818517988</v>
      </c>
      <c r="L155" s="58" t="n">
        <v>188708</v>
      </c>
      <c r="M155" s="58" t="n">
        <v>179750</v>
      </c>
      <c r="N155" s="63" t="n">
        <f aca="false">L155/M155*100</f>
        <v>104.983588317107</v>
      </c>
      <c r="O155" s="111" t="n">
        <v>542</v>
      </c>
      <c r="P155" s="85" t="n">
        <v>110</v>
      </c>
      <c r="Q155" s="111" t="n">
        <v>542</v>
      </c>
      <c r="R155" s="51" t="n">
        <f aca="false">O155*P155</f>
        <v>59620</v>
      </c>
    </row>
    <row r="156" customFormat="false" ht="13.8" hidden="false" customHeight="false" outlineLevel="0" collapsed="false">
      <c r="A156" s="111" t="n">
        <v>3</v>
      </c>
      <c r="B156" s="121" t="s">
        <v>150</v>
      </c>
      <c r="C156" s="49" t="n">
        <v>0</v>
      </c>
      <c r="D156" s="49" t="n">
        <v>0</v>
      </c>
      <c r="E156" s="54" t="n">
        <v>0</v>
      </c>
      <c r="F156" s="49" t="n">
        <v>0</v>
      </c>
      <c r="G156" s="49" t="n">
        <v>0</v>
      </c>
      <c r="H156" s="54" t="n">
        <v>0</v>
      </c>
      <c r="I156" s="49" t="n">
        <v>0</v>
      </c>
      <c r="J156" s="49" t="n">
        <v>0</v>
      </c>
      <c r="K156" s="54" t="n">
        <v>0</v>
      </c>
      <c r="L156" s="49" t="n">
        <v>0</v>
      </c>
      <c r="M156" s="49" t="n">
        <v>0</v>
      </c>
      <c r="N156" s="54" t="n">
        <v>0</v>
      </c>
      <c r="O156" s="52" t="n">
        <v>0</v>
      </c>
      <c r="P156" s="53" t="n">
        <v>0</v>
      </c>
      <c r="Q156" s="52" t="n">
        <v>0</v>
      </c>
      <c r="R156" s="51" t="n">
        <f aca="false">O156*P156</f>
        <v>0</v>
      </c>
    </row>
    <row r="157" customFormat="false" ht="13.8" hidden="false" customHeight="false" outlineLevel="0" collapsed="false">
      <c r="A157" s="111" t="n">
        <v>4</v>
      </c>
      <c r="B157" s="121" t="s">
        <v>151</v>
      </c>
      <c r="C157" s="111" t="n">
        <v>179162</v>
      </c>
      <c r="D157" s="111" t="n">
        <v>78006</v>
      </c>
      <c r="E157" s="63" t="n">
        <f aca="false">C157/D157*100</f>
        <v>229.677204317617</v>
      </c>
      <c r="F157" s="111" t="n">
        <v>179162</v>
      </c>
      <c r="G157" s="122" t="n">
        <v>78006</v>
      </c>
      <c r="H157" s="63" t="n">
        <f aca="false">F157/G157*100</f>
        <v>229.677204317617</v>
      </c>
      <c r="I157" s="122" t="n">
        <v>177510</v>
      </c>
      <c r="J157" s="122" t="n">
        <v>76412</v>
      </c>
      <c r="K157" s="63" t="n">
        <f aca="false">I157/J157*100</f>
        <v>232.306444014029</v>
      </c>
      <c r="L157" s="122" t="n">
        <v>142601</v>
      </c>
      <c r="M157" s="122" t="n">
        <v>3915</v>
      </c>
      <c r="N157" s="63" t="n">
        <f aca="false">L157/M157*100</f>
        <v>3642.42656449553</v>
      </c>
      <c r="O157" s="111" t="n">
        <v>310</v>
      </c>
      <c r="P157" s="85" t="n">
        <v>80</v>
      </c>
      <c r="Q157" s="111" t="n">
        <v>310</v>
      </c>
      <c r="R157" s="51" t="n">
        <f aca="false">O157*P157</f>
        <v>24800</v>
      </c>
    </row>
    <row r="158" customFormat="false" ht="13.8" hidden="false" customHeight="false" outlineLevel="0" collapsed="false">
      <c r="A158" s="111" t="n">
        <v>5</v>
      </c>
      <c r="B158" s="121" t="s">
        <v>152</v>
      </c>
      <c r="C158" s="111" t="n">
        <v>0</v>
      </c>
      <c r="D158" s="111" t="n">
        <v>0</v>
      </c>
      <c r="E158" s="63" t="n">
        <v>0</v>
      </c>
      <c r="F158" s="111" t="n">
        <v>0</v>
      </c>
      <c r="G158" s="111" t="n">
        <v>0</v>
      </c>
      <c r="H158" s="63" t="n">
        <v>0</v>
      </c>
      <c r="I158" s="111" t="n">
        <v>0</v>
      </c>
      <c r="J158" s="111" t="n">
        <v>39408</v>
      </c>
      <c r="K158" s="63" t="n">
        <f aca="false">I158/J158*100</f>
        <v>0</v>
      </c>
      <c r="L158" s="111" t="n">
        <v>0</v>
      </c>
      <c r="M158" s="111" t="n">
        <v>0</v>
      </c>
      <c r="N158" s="63" t="n">
        <v>0</v>
      </c>
      <c r="O158" s="111" t="n">
        <v>422</v>
      </c>
      <c r="P158" s="85" t="n">
        <v>51</v>
      </c>
      <c r="Q158" s="111" t="n">
        <v>422</v>
      </c>
      <c r="R158" s="51" t="n">
        <f aca="false">O158*P158</f>
        <v>21522</v>
      </c>
    </row>
    <row r="159" customFormat="false" ht="13.8" hidden="false" customHeight="false" outlineLevel="0" collapsed="false">
      <c r="A159" s="64" t="s">
        <v>153</v>
      </c>
      <c r="B159" s="64" t="s">
        <v>154</v>
      </c>
      <c r="C159" s="65" t="n">
        <f aca="false">SUM(C154:C158)</f>
        <v>1000031</v>
      </c>
      <c r="D159" s="65" t="n">
        <f aca="false">SUM(D154:D158)</f>
        <v>696384</v>
      </c>
      <c r="E159" s="66" t="n">
        <f aca="false">C159/D159*100</f>
        <v>143.603385488466</v>
      </c>
      <c r="F159" s="65" t="n">
        <f aca="false">SUM(F154:F158)</f>
        <v>1000031</v>
      </c>
      <c r="G159" s="65" t="n">
        <f aca="false">SUM(G154:G158)</f>
        <v>696384</v>
      </c>
      <c r="H159" s="66" t="n">
        <f aca="false">F159/G159*100</f>
        <v>143.603385488466</v>
      </c>
      <c r="I159" s="65" t="n">
        <f aca="false">SUM(I154:I158)</f>
        <v>598239</v>
      </c>
      <c r="J159" s="65" t="n">
        <f aca="false">SUM(J154:J158)</f>
        <v>557511</v>
      </c>
      <c r="K159" s="66" t="n">
        <f aca="false">I159/J159*100</f>
        <v>107.305326711042</v>
      </c>
      <c r="L159" s="65" t="n">
        <f aca="false">SUM(L154:L158)</f>
        <v>331309</v>
      </c>
      <c r="M159" s="65" t="n">
        <f aca="false">SUM(M154:M158)</f>
        <v>183665</v>
      </c>
      <c r="N159" s="66" t="n">
        <f aca="false">L159/M159*100</f>
        <v>180.387662319985</v>
      </c>
      <c r="O159" s="65" t="n">
        <f aca="false">SUM(O154:O158)</f>
        <v>1324</v>
      </c>
      <c r="P159" s="66" t="n">
        <f aca="false">R159/O159</f>
        <v>83.1510574018127</v>
      </c>
      <c r="Q159" s="65" t="n">
        <f aca="false">SUM(Q154:Q158)</f>
        <v>1331</v>
      </c>
      <c r="R159" s="81" t="n">
        <f aca="false">SUM(R154:R158)</f>
        <v>110092</v>
      </c>
    </row>
    <row r="160" customFormat="false" ht="13.8" hidden="false" customHeight="false" outlineLevel="0" collapsed="false">
      <c r="A160" s="123"/>
      <c r="B160" s="105"/>
      <c r="C160" s="124"/>
      <c r="D160" s="124"/>
      <c r="E160" s="125"/>
      <c r="F160" s="124"/>
      <c r="G160" s="124"/>
      <c r="H160" s="125"/>
      <c r="I160" s="124"/>
      <c r="J160" s="124"/>
      <c r="K160" s="125"/>
      <c r="L160" s="124"/>
      <c r="M160" s="126"/>
      <c r="N160" s="127"/>
      <c r="O160" s="126"/>
      <c r="P160" s="124"/>
      <c r="Q160" s="126"/>
      <c r="R160" s="128"/>
    </row>
    <row r="161" customFormat="false" ht="13.8" hidden="false" customHeight="false" outlineLevel="0" collapsed="false">
      <c r="A161" s="129" t="s">
        <v>22</v>
      </c>
      <c r="B161" s="129"/>
      <c r="C161" s="44" t="n">
        <v>3</v>
      </c>
      <c r="D161" s="44" t="n">
        <v>4</v>
      </c>
      <c r="E161" s="45" t="n">
        <v>5</v>
      </c>
      <c r="F161" s="44" t="n">
        <v>6</v>
      </c>
      <c r="G161" s="44" t="n">
        <v>7</v>
      </c>
      <c r="H161" s="44" t="n">
        <v>8</v>
      </c>
      <c r="I161" s="44" t="n">
        <v>9</v>
      </c>
      <c r="J161" s="44" t="n">
        <v>10</v>
      </c>
      <c r="K161" s="44" t="n">
        <v>11</v>
      </c>
      <c r="L161" s="44" t="n">
        <v>12</v>
      </c>
      <c r="M161" s="44" t="n">
        <v>13</v>
      </c>
      <c r="N161" s="44" t="n">
        <v>14</v>
      </c>
      <c r="O161" s="44" t="n">
        <v>15</v>
      </c>
      <c r="P161" s="45" t="n">
        <v>16</v>
      </c>
      <c r="Q161" s="44" t="n">
        <v>15</v>
      </c>
      <c r="R161" s="51"/>
    </row>
    <row r="162" customFormat="false" ht="13.8" hidden="false" customHeight="false" outlineLevel="0" collapsed="false">
      <c r="A162" s="52" t="n">
        <v>1</v>
      </c>
      <c r="B162" s="92" t="s">
        <v>155</v>
      </c>
      <c r="C162" s="52" t="n">
        <v>106731</v>
      </c>
      <c r="D162" s="52" t="n">
        <v>60571</v>
      </c>
      <c r="E162" s="63" t="n">
        <f aca="false">C162/D162*100</f>
        <v>176.20808637797</v>
      </c>
      <c r="F162" s="52" t="n">
        <v>106731</v>
      </c>
      <c r="G162" s="52" t="n">
        <v>60571</v>
      </c>
      <c r="H162" s="63" t="n">
        <f aca="false">F162/G162*100</f>
        <v>176.20808637797</v>
      </c>
      <c r="I162" s="52" t="n">
        <v>70137</v>
      </c>
      <c r="J162" s="52" t="n">
        <v>337866</v>
      </c>
      <c r="K162" s="63" t="n">
        <f aca="false">I162/J162*100</f>
        <v>20.758821544636</v>
      </c>
      <c r="L162" s="52" t="n">
        <v>10204</v>
      </c>
      <c r="M162" s="52" t="n">
        <f aca="false">4593+5851</f>
        <v>10444</v>
      </c>
      <c r="N162" s="63" t="n">
        <f aca="false">L162/M162*100</f>
        <v>97.7020298736116</v>
      </c>
      <c r="O162" s="52" t="n">
        <v>51</v>
      </c>
      <c r="P162" s="52" t="n">
        <v>71</v>
      </c>
      <c r="Q162" s="52" t="n">
        <v>51</v>
      </c>
      <c r="R162" s="51" t="n">
        <f aca="false">O162*P162</f>
        <v>3621</v>
      </c>
    </row>
    <row r="163" customFormat="false" ht="13.8" hidden="false" customHeight="false" outlineLevel="0" collapsed="false">
      <c r="A163" s="52" t="n">
        <v>2</v>
      </c>
      <c r="B163" s="130" t="s">
        <v>156</v>
      </c>
      <c r="C163" s="52" t="n">
        <v>81860</v>
      </c>
      <c r="D163" s="52" t="n">
        <v>21444</v>
      </c>
      <c r="E163" s="63" t="n">
        <f aca="false">C163/D163*100</f>
        <v>381.738481626562</v>
      </c>
      <c r="F163" s="52" t="n">
        <v>81860</v>
      </c>
      <c r="G163" s="52" t="n">
        <v>21444</v>
      </c>
      <c r="H163" s="63" t="n">
        <f aca="false">F163/G163*100</f>
        <v>381.738481626562</v>
      </c>
      <c r="I163" s="52" t="n">
        <v>78870</v>
      </c>
      <c r="J163" s="52" t="n">
        <v>71138</v>
      </c>
      <c r="K163" s="63" t="n">
        <f aca="false">I163/J163*100</f>
        <v>110.869015153645</v>
      </c>
      <c r="L163" s="52" t="n">
        <v>0</v>
      </c>
      <c r="M163" s="52" t="n">
        <v>0</v>
      </c>
      <c r="N163" s="63" t="n">
        <v>0</v>
      </c>
      <c r="O163" s="52" t="n">
        <v>29</v>
      </c>
      <c r="P163" s="52" t="n">
        <v>85</v>
      </c>
      <c r="Q163" s="52" t="n">
        <v>30</v>
      </c>
      <c r="R163" s="51" t="n">
        <f aca="false">O163*P163</f>
        <v>2465</v>
      </c>
    </row>
    <row r="164" customFormat="false" ht="13.8" hidden="false" customHeight="false" outlineLevel="0" collapsed="false">
      <c r="A164" s="52" t="n">
        <v>3</v>
      </c>
      <c r="B164" s="130" t="s">
        <v>157</v>
      </c>
      <c r="C164" s="52" t="n">
        <v>453150</v>
      </c>
      <c r="D164" s="52" t="n">
        <v>144288</v>
      </c>
      <c r="E164" s="63" t="n">
        <f aca="false">C164/D164*100</f>
        <v>314.059381237525</v>
      </c>
      <c r="F164" s="52" t="n">
        <v>453150</v>
      </c>
      <c r="G164" s="52" t="n">
        <v>144288</v>
      </c>
      <c r="H164" s="63" t="n">
        <f aca="false">F164/G164*100</f>
        <v>314.059381237525</v>
      </c>
      <c r="I164" s="52" t="n">
        <v>166658</v>
      </c>
      <c r="J164" s="52" t="n">
        <v>88788</v>
      </c>
      <c r="K164" s="63" t="n">
        <f aca="false">I164/J164*100</f>
        <v>187.703293237825</v>
      </c>
      <c r="L164" s="52" t="n">
        <v>0</v>
      </c>
      <c r="M164" s="52" t="n">
        <v>0</v>
      </c>
      <c r="N164" s="63" t="n">
        <v>0</v>
      </c>
      <c r="O164" s="52" t="n">
        <v>502</v>
      </c>
      <c r="P164" s="52" t="n">
        <v>100</v>
      </c>
      <c r="Q164" s="52" t="n">
        <v>484</v>
      </c>
      <c r="R164" s="51" t="n">
        <f aca="false">O164*P164</f>
        <v>50200</v>
      </c>
    </row>
    <row r="165" customFormat="false" ht="13.8" hidden="false" customHeight="false" outlineLevel="0" collapsed="false">
      <c r="A165" s="64" t="s">
        <v>158</v>
      </c>
      <c r="B165" s="64" t="s">
        <v>119</v>
      </c>
      <c r="C165" s="65" t="n">
        <f aca="false">SUM(C162:C164)</f>
        <v>641741</v>
      </c>
      <c r="D165" s="65" t="n">
        <f aca="false">SUM(D162:D164)</f>
        <v>226303</v>
      </c>
      <c r="E165" s="66" t="n">
        <f aca="false">C165/D165*100</f>
        <v>283.576002085699</v>
      </c>
      <c r="F165" s="65" t="n">
        <f aca="false">SUM(F162:F164)</f>
        <v>641741</v>
      </c>
      <c r="G165" s="65" t="n">
        <f aca="false">SUM(G162:G164)</f>
        <v>226303</v>
      </c>
      <c r="H165" s="66" t="n">
        <f aca="false">F165/G165*100</f>
        <v>283.576002085699</v>
      </c>
      <c r="I165" s="65" t="n">
        <f aca="false">SUM(I162:I164)</f>
        <v>315665</v>
      </c>
      <c r="J165" s="65" t="n">
        <f aca="false">SUM(J162:J164)</f>
        <v>497792</v>
      </c>
      <c r="K165" s="66" t="n">
        <f aca="false">I165/J165*100</f>
        <v>63.4130319490872</v>
      </c>
      <c r="L165" s="65" t="n">
        <f aca="false">SUM(L162:L164)</f>
        <v>10204</v>
      </c>
      <c r="M165" s="65" t="n">
        <f aca="false">SUM(M162:M164)</f>
        <v>10444</v>
      </c>
      <c r="N165" s="66" t="n">
        <v>0</v>
      </c>
      <c r="O165" s="65" t="n">
        <f aca="false">SUM(O162:O164)</f>
        <v>582</v>
      </c>
      <c r="P165" s="86" t="n">
        <f aca="false">R165/O165</f>
        <v>96.7113402061856</v>
      </c>
      <c r="Q165" s="65" t="n">
        <f aca="false">SUM(Q162:Q164)</f>
        <v>565</v>
      </c>
      <c r="R165" s="81" t="n">
        <f aca="false">SUM(R162:R164)</f>
        <v>56286</v>
      </c>
    </row>
    <row r="166" customFormat="false" ht="13.8" hidden="false" customHeight="false" outlineLevel="0" collapsed="false">
      <c r="A166" s="123"/>
      <c r="B166" s="105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8"/>
    </row>
    <row r="167" customFormat="false" ht="13.8" hidden="false" customHeight="false" outlineLevel="0" collapsed="false">
      <c r="A167" s="44" t="s">
        <v>159</v>
      </c>
      <c r="B167" s="44"/>
      <c r="C167" s="44" t="n">
        <v>3</v>
      </c>
      <c r="D167" s="44" t="n">
        <v>4</v>
      </c>
      <c r="E167" s="45" t="n">
        <v>5</v>
      </c>
      <c r="F167" s="44" t="n">
        <v>6</v>
      </c>
      <c r="G167" s="44" t="n">
        <v>7</v>
      </c>
      <c r="H167" s="44" t="n">
        <v>8</v>
      </c>
      <c r="I167" s="44" t="n">
        <v>9</v>
      </c>
      <c r="J167" s="44" t="n">
        <v>10</v>
      </c>
      <c r="K167" s="44" t="n">
        <v>11</v>
      </c>
      <c r="L167" s="44" t="n">
        <v>12</v>
      </c>
      <c r="M167" s="33" t="n">
        <v>13</v>
      </c>
      <c r="N167" s="33" t="n">
        <v>14</v>
      </c>
      <c r="O167" s="33" t="n">
        <v>15</v>
      </c>
      <c r="P167" s="45" t="n">
        <v>16</v>
      </c>
      <c r="Q167" s="33" t="n">
        <v>15</v>
      </c>
      <c r="R167" s="28"/>
    </row>
    <row r="168" customFormat="false" ht="13.8" hidden="false" customHeight="false" outlineLevel="0" collapsed="false">
      <c r="A168" s="123" t="n">
        <v>1</v>
      </c>
      <c r="B168" s="131" t="s">
        <v>160</v>
      </c>
      <c r="C168" s="111" t="n">
        <v>173</v>
      </c>
      <c r="D168" s="111" t="n">
        <v>0</v>
      </c>
      <c r="E168" s="132" t="n">
        <v>0</v>
      </c>
      <c r="F168" s="111" t="n">
        <v>173</v>
      </c>
      <c r="G168" s="111" t="n">
        <v>0</v>
      </c>
      <c r="H168" s="132" t="n">
        <v>0</v>
      </c>
      <c r="I168" s="111" t="n">
        <v>7409</v>
      </c>
      <c r="J168" s="111" t="n">
        <v>4295</v>
      </c>
      <c r="K168" s="132" t="n">
        <f aca="false">I168/J168*100</f>
        <v>172.502910360885</v>
      </c>
      <c r="L168" s="111" t="n">
        <v>0</v>
      </c>
      <c r="M168" s="111" t="n">
        <v>0</v>
      </c>
      <c r="N168" s="111" t="n">
        <v>0</v>
      </c>
      <c r="O168" s="111" t="n">
        <v>74</v>
      </c>
      <c r="P168" s="111" t="n">
        <v>100</v>
      </c>
      <c r="Q168" s="111" t="n">
        <v>74</v>
      </c>
      <c r="R168" s="51" t="n">
        <f aca="false">O168*P168</f>
        <v>7400</v>
      </c>
    </row>
    <row r="169" s="61" customFormat="true" ht="13.8" hidden="false" customHeight="false" outlineLevel="0" collapsed="false">
      <c r="A169" s="133" t="n">
        <v>2</v>
      </c>
      <c r="B169" s="131" t="s">
        <v>161</v>
      </c>
      <c r="C169" s="111" t="n">
        <v>22122</v>
      </c>
      <c r="D169" s="111" t="n">
        <v>133568</v>
      </c>
      <c r="E169" s="132" t="n">
        <f aca="false">C169/D169*100</f>
        <v>16.5623502635362</v>
      </c>
      <c r="F169" s="111" t="n">
        <v>22122</v>
      </c>
      <c r="G169" s="111" t="n">
        <v>133568</v>
      </c>
      <c r="H169" s="132" t="n">
        <f aca="false">F169/G169*100</f>
        <v>16.5623502635362</v>
      </c>
      <c r="I169" s="111" t="n">
        <v>192302</v>
      </c>
      <c r="J169" s="111" t="n">
        <v>133568</v>
      </c>
      <c r="K169" s="132" t="n">
        <f aca="false">I169/J169*100</f>
        <v>143.973107331097</v>
      </c>
      <c r="L169" s="111" t="n">
        <f aca="false">170180+22122</f>
        <v>192302</v>
      </c>
      <c r="M169" s="111" t="n">
        <v>133568</v>
      </c>
      <c r="N169" s="111" t="n">
        <f aca="false">L169/M169*100</f>
        <v>143.973107331097</v>
      </c>
      <c r="O169" s="111" t="n">
        <v>127</v>
      </c>
      <c r="P169" s="111" t="n">
        <v>138</v>
      </c>
      <c r="Q169" s="111" t="n">
        <v>128</v>
      </c>
      <c r="R169" s="51" t="n">
        <f aca="false">O169*P169</f>
        <v>17526</v>
      </c>
    </row>
    <row r="170" customFormat="false" ht="13.8" hidden="false" customHeight="false" outlineLevel="0" collapsed="false">
      <c r="A170" s="123" t="n">
        <v>3</v>
      </c>
      <c r="B170" s="131" t="s">
        <v>162</v>
      </c>
      <c r="C170" s="49" t="n">
        <v>0</v>
      </c>
      <c r="D170" s="49" t="n">
        <v>0</v>
      </c>
      <c r="E170" s="54" t="n">
        <v>0</v>
      </c>
      <c r="F170" s="49" t="n">
        <v>0</v>
      </c>
      <c r="G170" s="49" t="n">
        <v>0</v>
      </c>
      <c r="H170" s="54" t="n">
        <v>0</v>
      </c>
      <c r="I170" s="49" t="n">
        <v>0</v>
      </c>
      <c r="J170" s="49" t="n">
        <v>0</v>
      </c>
      <c r="K170" s="54" t="n">
        <v>0</v>
      </c>
      <c r="L170" s="49" t="n">
        <v>0</v>
      </c>
      <c r="M170" s="49" t="n">
        <v>0</v>
      </c>
      <c r="N170" s="54" t="n">
        <v>0</v>
      </c>
      <c r="O170" s="52" t="n">
        <v>0</v>
      </c>
      <c r="P170" s="111" t="n">
        <v>46</v>
      </c>
      <c r="Q170" s="111"/>
      <c r="R170" s="51" t="n">
        <f aca="false">O170*P170</f>
        <v>0</v>
      </c>
    </row>
    <row r="171" customFormat="false" ht="13.8" hidden="false" customHeight="false" outlineLevel="0" collapsed="false">
      <c r="A171" s="133" t="n">
        <v>4</v>
      </c>
      <c r="B171" s="131" t="s">
        <v>163</v>
      </c>
      <c r="C171" s="111" t="n">
        <v>419064</v>
      </c>
      <c r="D171" s="111" t="n">
        <v>244103</v>
      </c>
      <c r="E171" s="134" t="n">
        <f aca="false">C171/D171*100</f>
        <v>171.675071588633</v>
      </c>
      <c r="F171" s="111" t="n">
        <v>419064</v>
      </c>
      <c r="G171" s="111" t="n">
        <v>244103</v>
      </c>
      <c r="H171" s="134" t="n">
        <f aca="false">F171/G171*100</f>
        <v>171.675071588633</v>
      </c>
      <c r="I171" s="111" t="n">
        <v>419064</v>
      </c>
      <c r="J171" s="111" t="n">
        <v>244103</v>
      </c>
      <c r="K171" s="134" t="n">
        <f aca="false">I171/J171*100</f>
        <v>171.675071588633</v>
      </c>
      <c r="L171" s="111" t="n">
        <v>419064</v>
      </c>
      <c r="M171" s="111" t="n">
        <v>244103</v>
      </c>
      <c r="N171" s="63" t="n">
        <f aca="false">L171/M171*100</f>
        <v>171.675071588633</v>
      </c>
      <c r="O171" s="111" t="n">
        <v>94</v>
      </c>
      <c r="P171" s="135" t="n">
        <v>172</v>
      </c>
      <c r="Q171" s="111" t="n">
        <v>139</v>
      </c>
      <c r="R171" s="51" t="n">
        <f aca="false">O171*P171</f>
        <v>16168</v>
      </c>
    </row>
    <row r="172" customFormat="false" ht="13.8" hidden="false" customHeight="false" outlineLevel="0" collapsed="false">
      <c r="A172" s="123" t="n">
        <v>5</v>
      </c>
      <c r="B172" s="131" t="s">
        <v>164</v>
      </c>
      <c r="C172" s="111" t="n">
        <v>89797</v>
      </c>
      <c r="D172" s="111" t="n">
        <v>72785</v>
      </c>
      <c r="E172" s="134" t="n">
        <f aca="false">C172/D172*100</f>
        <v>123.372947722745</v>
      </c>
      <c r="F172" s="111" t="n">
        <v>89797</v>
      </c>
      <c r="G172" s="111" t="n">
        <v>72785</v>
      </c>
      <c r="H172" s="134" t="n">
        <f aca="false">F172/G172*100</f>
        <v>123.372947722745</v>
      </c>
      <c r="I172" s="111" t="n">
        <v>0</v>
      </c>
      <c r="J172" s="111" t="n">
        <v>0</v>
      </c>
      <c r="K172" s="134" t="n">
        <v>0</v>
      </c>
      <c r="L172" s="111" t="n">
        <v>0</v>
      </c>
      <c r="M172" s="111" t="n">
        <v>0</v>
      </c>
      <c r="N172" s="63" t="n">
        <v>0</v>
      </c>
      <c r="O172" s="111" t="n">
        <v>40</v>
      </c>
      <c r="P172" s="111" t="n">
        <v>90</v>
      </c>
      <c r="Q172" s="111" t="n">
        <v>47</v>
      </c>
      <c r="R172" s="51" t="n">
        <f aca="false">O172*P172</f>
        <v>3600</v>
      </c>
    </row>
    <row r="173" customFormat="false" ht="13.8" hidden="false" customHeight="false" outlineLevel="0" collapsed="false">
      <c r="A173" s="133" t="n">
        <v>6</v>
      </c>
      <c r="B173" s="131" t="s">
        <v>165</v>
      </c>
      <c r="C173" s="49" t="n">
        <v>0</v>
      </c>
      <c r="D173" s="49" t="n">
        <v>0</v>
      </c>
      <c r="E173" s="54" t="n">
        <v>0</v>
      </c>
      <c r="F173" s="49" t="n">
        <v>0</v>
      </c>
      <c r="G173" s="49" t="n">
        <v>0</v>
      </c>
      <c r="H173" s="54" t="n">
        <v>0</v>
      </c>
      <c r="I173" s="49" t="n">
        <v>0</v>
      </c>
      <c r="J173" s="49" t="n">
        <v>0</v>
      </c>
      <c r="K173" s="54" t="n">
        <v>0</v>
      </c>
      <c r="L173" s="49" t="n">
        <v>0</v>
      </c>
      <c r="M173" s="49" t="n">
        <v>0</v>
      </c>
      <c r="N173" s="54" t="n">
        <v>0</v>
      </c>
      <c r="O173" s="52" t="n">
        <v>0</v>
      </c>
      <c r="P173" s="53" t="n">
        <v>0</v>
      </c>
      <c r="Q173" s="52" t="n">
        <v>0</v>
      </c>
      <c r="R173" s="51" t="n">
        <f aca="false">O173*P173</f>
        <v>0</v>
      </c>
    </row>
    <row r="174" customFormat="false" ht="13.8" hidden="false" customHeight="false" outlineLevel="0" collapsed="false">
      <c r="A174" s="123" t="n">
        <v>7</v>
      </c>
      <c r="B174" s="131" t="s">
        <v>166</v>
      </c>
      <c r="C174" s="111" t="n">
        <v>185298</v>
      </c>
      <c r="D174" s="111" t="n">
        <v>241102</v>
      </c>
      <c r="E174" s="134" t="n">
        <f aca="false">C174/D174*100</f>
        <v>76.8546092525155</v>
      </c>
      <c r="F174" s="111" t="n">
        <v>185298</v>
      </c>
      <c r="G174" s="111" t="n">
        <v>241102</v>
      </c>
      <c r="H174" s="63" t="n">
        <f aca="false">F174/G174*100</f>
        <v>76.8546092525155</v>
      </c>
      <c r="I174" s="111" t="n">
        <v>180196</v>
      </c>
      <c r="J174" s="111" t="n">
        <v>192574</v>
      </c>
      <c r="K174" s="63" t="n">
        <f aca="false">I174/J174*100</f>
        <v>93.5723410221525</v>
      </c>
      <c r="L174" s="111" t="n">
        <v>180196</v>
      </c>
      <c r="M174" s="111" t="n">
        <v>192574</v>
      </c>
      <c r="N174" s="63" t="n">
        <f aca="false">L174/M174*100</f>
        <v>93.5723410221525</v>
      </c>
      <c r="O174" s="111" t="n">
        <v>25</v>
      </c>
      <c r="P174" s="111" t="n">
        <v>78</v>
      </c>
      <c r="Q174" s="111" t="n">
        <v>33</v>
      </c>
      <c r="R174" s="51" t="n">
        <f aca="false">O174*P174</f>
        <v>1950</v>
      </c>
    </row>
    <row r="175" customFormat="false" ht="13.8" hidden="false" customHeight="false" outlineLevel="0" collapsed="false">
      <c r="A175" s="133" t="n">
        <v>8</v>
      </c>
      <c r="B175" s="131" t="s">
        <v>167</v>
      </c>
      <c r="C175" s="111" t="n">
        <v>0</v>
      </c>
      <c r="D175" s="111" t="n">
        <v>63107</v>
      </c>
      <c r="E175" s="85" t="n">
        <f aca="false">C175/D175*100</f>
        <v>0</v>
      </c>
      <c r="F175" s="111" t="n">
        <v>0</v>
      </c>
      <c r="G175" s="111" t="n">
        <v>63107</v>
      </c>
      <c r="H175" s="85" t="n">
        <f aca="false">F175/G175*100</f>
        <v>0</v>
      </c>
      <c r="I175" s="111" t="n">
        <v>0</v>
      </c>
      <c r="J175" s="111" t="n">
        <v>0</v>
      </c>
      <c r="K175" s="85" t="n">
        <v>0</v>
      </c>
      <c r="L175" s="111" t="n">
        <v>0</v>
      </c>
      <c r="M175" s="111" t="n">
        <v>0</v>
      </c>
      <c r="N175" s="85" t="n">
        <v>0</v>
      </c>
      <c r="O175" s="85" t="n">
        <v>3</v>
      </c>
      <c r="P175" s="85" t="n">
        <v>248</v>
      </c>
      <c r="Q175" s="85" t="n">
        <v>3</v>
      </c>
      <c r="R175" s="51" t="n">
        <f aca="false">O175*P175</f>
        <v>744</v>
      </c>
    </row>
    <row r="176" customFormat="false" ht="13.8" hidden="false" customHeight="false" outlineLevel="0" collapsed="false">
      <c r="A176" s="123" t="n">
        <v>9</v>
      </c>
      <c r="B176" s="131" t="s">
        <v>168</v>
      </c>
      <c r="C176" s="111" t="n">
        <v>0</v>
      </c>
      <c r="D176" s="111" t="n">
        <v>0</v>
      </c>
      <c r="E176" s="63" t="n">
        <v>0</v>
      </c>
      <c r="F176" s="111" t="n">
        <v>0</v>
      </c>
      <c r="G176" s="111" t="n">
        <v>0</v>
      </c>
      <c r="H176" s="63" t="n">
        <v>0</v>
      </c>
      <c r="I176" s="111" t="n">
        <v>0</v>
      </c>
      <c r="J176" s="111" t="n">
        <v>0</v>
      </c>
      <c r="K176" s="63" t="n">
        <v>0</v>
      </c>
      <c r="L176" s="111" t="n">
        <v>0</v>
      </c>
      <c r="M176" s="111" t="n">
        <v>0</v>
      </c>
      <c r="N176" s="63" t="n">
        <v>0</v>
      </c>
      <c r="O176" s="111" t="n">
        <v>2</v>
      </c>
      <c r="P176" s="111" t="n">
        <v>85</v>
      </c>
      <c r="Q176" s="111" t="n">
        <v>2</v>
      </c>
      <c r="R176" s="51" t="n">
        <f aca="false">O176*P176</f>
        <v>170</v>
      </c>
    </row>
    <row r="177" customFormat="false" ht="13.8" hidden="false" customHeight="false" outlineLevel="0" collapsed="false">
      <c r="A177" s="133" t="n">
        <v>10</v>
      </c>
      <c r="B177" s="131" t="s">
        <v>169</v>
      </c>
      <c r="C177" s="111" t="n">
        <v>0</v>
      </c>
      <c r="D177" s="111" t="n">
        <v>0</v>
      </c>
      <c r="E177" s="63" t="n">
        <v>0</v>
      </c>
      <c r="F177" s="111" t="n">
        <v>0</v>
      </c>
      <c r="G177" s="111" t="n">
        <v>0</v>
      </c>
      <c r="H177" s="63" t="n">
        <v>0</v>
      </c>
      <c r="I177" s="111" t="n">
        <v>0</v>
      </c>
      <c r="J177" s="111" t="n">
        <v>0</v>
      </c>
      <c r="K177" s="63" t="n">
        <v>0</v>
      </c>
      <c r="L177" s="111" t="n">
        <v>0</v>
      </c>
      <c r="M177" s="111" t="n">
        <v>0</v>
      </c>
      <c r="N177" s="63" t="n">
        <v>0</v>
      </c>
      <c r="O177" s="111" t="n">
        <v>26</v>
      </c>
      <c r="P177" s="111" t="n">
        <v>50</v>
      </c>
      <c r="Q177" s="111" t="n">
        <v>26</v>
      </c>
      <c r="R177" s="51" t="n">
        <f aca="false">O177*P177</f>
        <v>1300</v>
      </c>
    </row>
    <row r="178" customFormat="false" ht="13.8" hidden="false" customHeight="false" outlineLevel="0" collapsed="false">
      <c r="A178" s="64" t="s">
        <v>170</v>
      </c>
      <c r="B178" s="64" t="s">
        <v>154</v>
      </c>
      <c r="C178" s="86" t="n">
        <f aca="false">SUM(C168:C177)</f>
        <v>716454</v>
      </c>
      <c r="D178" s="86" t="n">
        <f aca="false">SUM(D168:D177)</f>
        <v>754665</v>
      </c>
      <c r="E178" s="66" t="n">
        <f aca="false">C178/D178*100</f>
        <v>94.9366937647831</v>
      </c>
      <c r="F178" s="86" t="n">
        <f aca="false">SUM(F168:F177)</f>
        <v>716454</v>
      </c>
      <c r="G178" s="86" t="n">
        <f aca="false">SUM(G168:G177)</f>
        <v>754665</v>
      </c>
      <c r="H178" s="66" t="n">
        <f aca="false">F178/G178*100</f>
        <v>94.9366937647831</v>
      </c>
      <c r="I178" s="86" t="n">
        <f aca="false">SUM(I168:I177)</f>
        <v>798971</v>
      </c>
      <c r="J178" s="86" t="n">
        <f aca="false">SUM(J168:J177)</f>
        <v>574540</v>
      </c>
      <c r="K178" s="66" t="n">
        <f aca="false">I178/J178*100</f>
        <v>139.062728443624</v>
      </c>
      <c r="L178" s="86" t="n">
        <f aca="false">SUM(L168:L177)</f>
        <v>791562</v>
      </c>
      <c r="M178" s="65" t="n">
        <f aca="false">SUM(M168:M177)</f>
        <v>570245</v>
      </c>
      <c r="N178" s="66" t="n">
        <f aca="false">L178/M178*100</f>
        <v>138.810861997913</v>
      </c>
      <c r="O178" s="86" t="n">
        <f aca="false">SUM(O168:O177)</f>
        <v>391</v>
      </c>
      <c r="P178" s="66" t="n">
        <f aca="false">R178/O178</f>
        <v>124.95652173913</v>
      </c>
      <c r="Q178" s="86" t="n">
        <f aca="false">SUM(Q168:Q177)</f>
        <v>452</v>
      </c>
      <c r="R178" s="81" t="n">
        <f aca="false">SUM(R168:R177)</f>
        <v>48858</v>
      </c>
    </row>
    <row r="179" customFormat="false" ht="13.8" hidden="false" customHeight="false" outlineLevel="0" collapsed="false">
      <c r="A179" s="104"/>
      <c r="B179" s="104"/>
      <c r="C179" s="136"/>
      <c r="D179" s="136"/>
      <c r="E179" s="132"/>
      <c r="F179" s="137"/>
      <c r="G179" s="137"/>
      <c r="H179" s="132"/>
      <c r="I179" s="52"/>
      <c r="J179" s="52"/>
      <c r="K179" s="138"/>
      <c r="L179" s="52"/>
      <c r="M179" s="52"/>
      <c r="N179" s="52"/>
      <c r="O179" s="52"/>
      <c r="P179" s="68"/>
      <c r="Q179" s="52"/>
      <c r="R179" s="38"/>
    </row>
    <row r="180" customFormat="false" ht="13.8" hidden="false" customHeight="false" outlineLevel="0" collapsed="false">
      <c r="A180" s="119" t="s">
        <v>171</v>
      </c>
      <c r="B180" s="119"/>
      <c r="C180" s="44" t="n">
        <v>3</v>
      </c>
      <c r="D180" s="44" t="n">
        <v>4</v>
      </c>
      <c r="E180" s="45" t="n">
        <v>5</v>
      </c>
      <c r="F180" s="44" t="n">
        <v>6</v>
      </c>
      <c r="G180" s="44" t="n">
        <v>7</v>
      </c>
      <c r="H180" s="44" t="n">
        <v>8</v>
      </c>
      <c r="I180" s="44" t="n">
        <v>9</v>
      </c>
      <c r="J180" s="44" t="n">
        <v>10</v>
      </c>
      <c r="K180" s="44" t="n">
        <v>11</v>
      </c>
      <c r="L180" s="44" t="n">
        <v>12</v>
      </c>
      <c r="M180" s="44" t="n">
        <v>13</v>
      </c>
      <c r="N180" s="44" t="n">
        <v>14</v>
      </c>
      <c r="O180" s="44" t="n">
        <v>15</v>
      </c>
      <c r="P180" s="45" t="n">
        <v>16</v>
      </c>
      <c r="Q180" s="44" t="n">
        <v>15</v>
      </c>
      <c r="R180" s="38"/>
    </row>
    <row r="181" customFormat="false" ht="13.8" hidden="false" customHeight="false" outlineLevel="0" collapsed="false">
      <c r="A181" s="137" t="n">
        <v>1</v>
      </c>
      <c r="B181" s="139" t="s">
        <v>172</v>
      </c>
      <c r="C181" s="111" t="n">
        <v>42061</v>
      </c>
      <c r="D181" s="111" t="n">
        <v>44085</v>
      </c>
      <c r="E181" s="134" t="n">
        <f aca="false">IF(OR(C181=0,D181=0),0,C181/D181*100)</f>
        <v>95.4088692298968</v>
      </c>
      <c r="F181" s="111" t="n">
        <v>42061</v>
      </c>
      <c r="G181" s="111" t="n">
        <v>44085</v>
      </c>
      <c r="H181" s="134" t="n">
        <f aca="false">IF(OR(F181=0,G181=0),0,F181/G181*100)</f>
        <v>95.4088692298968</v>
      </c>
      <c r="I181" s="111" t="n">
        <v>8069.6</v>
      </c>
      <c r="J181" s="111" t="n">
        <v>15211.7</v>
      </c>
      <c r="K181" s="134" t="n">
        <f aca="false">IF(OR(I181=0,J181=0),0,I181/J181*100)</f>
        <v>53.0486401914316</v>
      </c>
      <c r="L181" s="111" t="n">
        <v>0</v>
      </c>
      <c r="M181" s="111" t="n">
        <v>0</v>
      </c>
      <c r="N181" s="134" t="n">
        <v>0</v>
      </c>
      <c r="O181" s="85" t="n">
        <v>272</v>
      </c>
      <c r="P181" s="85" t="n">
        <v>218.2</v>
      </c>
      <c r="Q181" s="85" t="n">
        <v>327</v>
      </c>
      <c r="R181" s="83" t="n">
        <f aca="false">O181*P181</f>
        <v>59350.4</v>
      </c>
    </row>
    <row r="182" customFormat="false" ht="13.8" hidden="false" customHeight="false" outlineLevel="0" collapsed="false">
      <c r="A182" s="137" t="n">
        <v>2</v>
      </c>
      <c r="B182" s="139" t="s">
        <v>173</v>
      </c>
      <c r="C182" s="111" t="n">
        <v>0</v>
      </c>
      <c r="D182" s="111" t="n">
        <v>0</v>
      </c>
      <c r="E182" s="134" t="n">
        <f aca="false">IF(OR(C182=0,D182=0),0,C182/D182*100)</f>
        <v>0</v>
      </c>
      <c r="F182" s="111" t="n">
        <v>0</v>
      </c>
      <c r="G182" s="111" t="n">
        <v>0</v>
      </c>
      <c r="H182" s="134" t="n">
        <f aca="false">IF(OR(F182=0,G182=0),0,F182/G182*100)</f>
        <v>0</v>
      </c>
      <c r="I182" s="111" t="n">
        <v>0</v>
      </c>
      <c r="J182" s="111" t="n">
        <v>0</v>
      </c>
      <c r="K182" s="134" t="n">
        <f aca="false">IF(OR(I182=0,J182=0),0,I182/J182*100)</f>
        <v>0</v>
      </c>
      <c r="L182" s="111" t="n">
        <v>0</v>
      </c>
      <c r="M182" s="111" t="n">
        <v>0</v>
      </c>
      <c r="N182" s="134" t="n">
        <f aca="false">IF(OR(L182=0,M182=0),0,L182/M182*100)</f>
        <v>0</v>
      </c>
      <c r="O182" s="85" t="n">
        <v>45</v>
      </c>
      <c r="P182" s="85" t="n">
        <v>55.2</v>
      </c>
      <c r="Q182" s="85" t="n">
        <v>38</v>
      </c>
      <c r="R182" s="83" t="n">
        <f aca="false">O182*P182</f>
        <v>2484</v>
      </c>
    </row>
    <row r="183" s="144" customFormat="true" ht="27.75" hidden="false" customHeight="true" outlineLevel="0" collapsed="false">
      <c r="A183" s="140" t="n">
        <v>4</v>
      </c>
      <c r="B183" s="141" t="s">
        <v>174</v>
      </c>
      <c r="C183" s="135" t="n">
        <v>793</v>
      </c>
      <c r="D183" s="135" t="n">
        <v>1047</v>
      </c>
      <c r="E183" s="134" t="n">
        <f aca="false">IF(OR(C183=0,D183=0),0,C183/D183*100)</f>
        <v>75.7402101241643</v>
      </c>
      <c r="F183" s="135" t="n">
        <v>793</v>
      </c>
      <c r="G183" s="135" t="n">
        <v>1047</v>
      </c>
      <c r="H183" s="134" t="n">
        <f aca="false">IF(OR(F183=0,G183=0),0,F183/G183*100)</f>
        <v>75.7402101241643</v>
      </c>
      <c r="I183" s="135" t="n">
        <v>0</v>
      </c>
      <c r="J183" s="135" t="n">
        <v>0</v>
      </c>
      <c r="K183" s="134" t="n">
        <f aca="false">IF(OR(I183=0,J183=0),0,I183/J183*100)</f>
        <v>0</v>
      </c>
      <c r="L183" s="135" t="n">
        <v>0</v>
      </c>
      <c r="M183" s="135" t="n">
        <v>0</v>
      </c>
      <c r="N183" s="134" t="n">
        <f aca="false">IF(OR(L183=0,M183=0),0,L183/M183*100)</f>
        <v>0</v>
      </c>
      <c r="O183" s="142" t="n">
        <v>86</v>
      </c>
      <c r="P183" s="142" t="n">
        <v>97.7</v>
      </c>
      <c r="Q183" s="142" t="n">
        <v>85</v>
      </c>
      <c r="R183" s="143" t="n">
        <f aca="false">O183*P183</f>
        <v>8402.2</v>
      </c>
    </row>
    <row r="184" customFormat="false" ht="13.8" hidden="false" customHeight="false" outlineLevel="0" collapsed="false">
      <c r="A184" s="137" t="n">
        <v>5</v>
      </c>
      <c r="B184" s="145" t="s">
        <v>175</v>
      </c>
      <c r="C184" s="111" t="n">
        <v>125</v>
      </c>
      <c r="D184" s="111" t="n">
        <v>0</v>
      </c>
      <c r="E184" s="134" t="n">
        <f aca="false">IF(OR(C184=0,D184=0),0,C184/D184*100)</f>
        <v>0</v>
      </c>
      <c r="F184" s="111" t="n">
        <v>125</v>
      </c>
      <c r="G184" s="111" t="n">
        <v>0</v>
      </c>
      <c r="H184" s="134" t="n">
        <f aca="false">IF(OR(F184=0,G184=0),0,F184/G184*100)</f>
        <v>0</v>
      </c>
      <c r="I184" s="111" t="n">
        <v>125</v>
      </c>
      <c r="J184" s="111" t="n">
        <v>0</v>
      </c>
      <c r="K184" s="134" t="n">
        <f aca="false">IF(OR(I184=0,J184=0),0,I184/J184*100)</f>
        <v>0</v>
      </c>
      <c r="L184" s="111" t="n">
        <v>0</v>
      </c>
      <c r="M184" s="111" t="n">
        <v>0</v>
      </c>
      <c r="N184" s="134" t="n">
        <f aca="false">IF(OR(L184=0,M184=0),0,L184/M184*100)</f>
        <v>0</v>
      </c>
      <c r="O184" s="85" t="n">
        <v>29</v>
      </c>
      <c r="P184" s="85" t="n">
        <v>17.9</v>
      </c>
      <c r="Q184" s="85" t="n">
        <v>30</v>
      </c>
      <c r="R184" s="51" t="n">
        <f aca="false">O184*P184</f>
        <v>519.1</v>
      </c>
    </row>
    <row r="185" customFormat="false" ht="13.8" hidden="false" customHeight="false" outlineLevel="0" collapsed="false">
      <c r="A185" s="137" t="n">
        <v>6</v>
      </c>
      <c r="B185" s="139" t="s">
        <v>176</v>
      </c>
      <c r="C185" s="111" t="n">
        <v>1886</v>
      </c>
      <c r="D185" s="111" t="n">
        <v>212</v>
      </c>
      <c r="E185" s="134" t="n">
        <f aca="false">IF(OR(C185=0,D185=0),0,C185/D185*100)</f>
        <v>889.622641509434</v>
      </c>
      <c r="F185" s="111" t="n">
        <v>1886</v>
      </c>
      <c r="G185" s="111" t="n">
        <v>212</v>
      </c>
      <c r="H185" s="134" t="n">
        <f aca="false">IF(OR(F185=0,G185=0),0,F185/G185*100)</f>
        <v>889.622641509434</v>
      </c>
      <c r="I185" s="111" t="n">
        <v>0</v>
      </c>
      <c r="J185" s="111" t="n">
        <v>0</v>
      </c>
      <c r="K185" s="134" t="n">
        <f aca="false">IF(OR(I185=0,J185=0),0,I185/J185*100)</f>
        <v>0</v>
      </c>
      <c r="L185" s="111" t="n">
        <v>0</v>
      </c>
      <c r="M185" s="111" t="n">
        <v>0</v>
      </c>
      <c r="N185" s="134" t="n">
        <f aca="false">IF(OR(L185=0,M185=0),0,L185/M185*100)</f>
        <v>0</v>
      </c>
      <c r="O185" s="85" t="n">
        <v>18</v>
      </c>
      <c r="P185" s="85" t="n">
        <v>55.6</v>
      </c>
      <c r="Q185" s="85" t="n">
        <v>15</v>
      </c>
      <c r="R185" s="51" t="n">
        <f aca="false">O185*P185</f>
        <v>1000.8</v>
      </c>
    </row>
    <row r="186" customFormat="false" ht="13.8" hidden="false" customHeight="false" outlineLevel="0" collapsed="false">
      <c r="A186" s="137" t="n">
        <v>8</v>
      </c>
      <c r="B186" s="139" t="s">
        <v>177</v>
      </c>
      <c r="C186" s="111" t="n">
        <v>1245</v>
      </c>
      <c r="D186" s="111" t="n">
        <v>695</v>
      </c>
      <c r="E186" s="134" t="n">
        <f aca="false">IF(OR(C186=0,D186=0),0,C186/D186*100)</f>
        <v>179.136690647482</v>
      </c>
      <c r="F186" s="111" t="n">
        <v>1245</v>
      </c>
      <c r="G186" s="111" t="n">
        <v>695</v>
      </c>
      <c r="H186" s="134" t="n">
        <f aca="false">IF(OR(F186=0,G186=0),0,F186/G186*100)</f>
        <v>179.136690647482</v>
      </c>
      <c r="I186" s="111" t="n">
        <v>0</v>
      </c>
      <c r="J186" s="111" t="n">
        <v>0</v>
      </c>
      <c r="K186" s="134" t="n">
        <f aca="false">IF(OR(I186=0,J186=0),0,I186/J186*100)</f>
        <v>0</v>
      </c>
      <c r="L186" s="111" t="n">
        <v>0</v>
      </c>
      <c r="M186" s="111" t="n">
        <v>0</v>
      </c>
      <c r="N186" s="134" t="n">
        <f aca="false">IF(OR(L186=0,M186=0),0,L186/M186*100)</f>
        <v>0</v>
      </c>
      <c r="O186" s="85" t="n">
        <v>12</v>
      </c>
      <c r="P186" s="85" t="n">
        <v>58.4</v>
      </c>
      <c r="Q186" s="85" t="n">
        <v>12</v>
      </c>
      <c r="R186" s="51" t="n">
        <f aca="false">O186*P186</f>
        <v>700.8</v>
      </c>
    </row>
    <row r="187" customFormat="false" ht="13.8" hidden="false" customHeight="false" outlineLevel="0" collapsed="false">
      <c r="A187" s="137" t="n">
        <v>9</v>
      </c>
      <c r="B187" s="139" t="s">
        <v>178</v>
      </c>
      <c r="C187" s="111" t="n">
        <v>4800</v>
      </c>
      <c r="D187" s="111" t="n">
        <v>5600</v>
      </c>
      <c r="E187" s="134" t="n">
        <f aca="false">IF(OR(C187=0,D187=0),0,C187/D187*100)</f>
        <v>85.7142857142857</v>
      </c>
      <c r="F187" s="111" t="n">
        <v>4800</v>
      </c>
      <c r="G187" s="111" t="n">
        <v>5600</v>
      </c>
      <c r="H187" s="134" t="n">
        <f aca="false">IF(OR(F187=0,G187=0),0,F187/G187*100)</f>
        <v>85.7142857142857</v>
      </c>
      <c r="I187" s="111" t="n">
        <v>0</v>
      </c>
      <c r="J187" s="111" t="n">
        <v>0</v>
      </c>
      <c r="K187" s="134" t="n">
        <f aca="false">IF(OR(I187=0,J187=0),0,I187/J187*100)</f>
        <v>0</v>
      </c>
      <c r="L187" s="111" t="n">
        <v>0</v>
      </c>
      <c r="M187" s="111" t="n">
        <v>0</v>
      </c>
      <c r="N187" s="134" t="n">
        <f aca="false">IF(OR(L187=0,M187=0),0,L187/M187*100)</f>
        <v>0</v>
      </c>
      <c r="O187" s="85" t="n">
        <v>22</v>
      </c>
      <c r="P187" s="85" t="n">
        <v>101.4</v>
      </c>
      <c r="Q187" s="85" t="n">
        <v>23</v>
      </c>
      <c r="R187" s="51" t="n">
        <f aca="false">O187*P187</f>
        <v>2230.8</v>
      </c>
    </row>
    <row r="188" customFormat="false" ht="13.8" hidden="false" customHeight="false" outlineLevel="0" collapsed="false">
      <c r="A188" s="137" t="n">
        <v>10</v>
      </c>
      <c r="B188" s="139" t="s">
        <v>179</v>
      </c>
      <c r="C188" s="111" t="n">
        <v>1220</v>
      </c>
      <c r="D188" s="111" t="n">
        <v>1610</v>
      </c>
      <c r="E188" s="134" t="n">
        <f aca="false">IF(OR(C188=0,D188=0),0,C188/D188*100)</f>
        <v>75.776397515528</v>
      </c>
      <c r="F188" s="111" t="n">
        <v>1220</v>
      </c>
      <c r="G188" s="111" t="n">
        <v>1610</v>
      </c>
      <c r="H188" s="134" t="n">
        <f aca="false">IF(OR(F188=0,G188=0),0,F188/G188*100)</f>
        <v>75.776397515528</v>
      </c>
      <c r="I188" s="111" t="n">
        <v>1220</v>
      </c>
      <c r="J188" s="111" t="n">
        <v>1610</v>
      </c>
      <c r="K188" s="134" t="n">
        <f aca="false">IF(OR(I188=0,J188=0),0,I188/J188*100)</f>
        <v>75.776397515528</v>
      </c>
      <c r="L188" s="111" t="n">
        <v>0</v>
      </c>
      <c r="M188" s="111" t="n">
        <v>0</v>
      </c>
      <c r="N188" s="134" t="n">
        <f aca="false">IF(OR(L188=0,M188=0),0,L188/M188*100)</f>
        <v>0</v>
      </c>
      <c r="O188" s="85" t="n">
        <v>18</v>
      </c>
      <c r="P188" s="85" t="n">
        <v>65.6</v>
      </c>
      <c r="Q188" s="85" t="n">
        <v>23</v>
      </c>
      <c r="R188" s="83" t="n">
        <f aca="false">O188*P188</f>
        <v>1180.8</v>
      </c>
    </row>
    <row r="189" customFormat="false" ht="13.8" hidden="false" customHeight="false" outlineLevel="0" collapsed="false">
      <c r="A189" s="137" t="n">
        <v>11</v>
      </c>
      <c r="B189" s="146" t="s">
        <v>180</v>
      </c>
      <c r="C189" s="111" t="n">
        <v>0</v>
      </c>
      <c r="D189" s="111" t="n">
        <v>0</v>
      </c>
      <c r="E189" s="134" t="n">
        <f aca="false">IF(OR(C189=0,D189=0),0,C189/D189*100)</f>
        <v>0</v>
      </c>
      <c r="F189" s="111" t="n">
        <v>0</v>
      </c>
      <c r="G189" s="111" t="n">
        <v>0</v>
      </c>
      <c r="H189" s="134" t="n">
        <f aca="false">IF(OR(F189=0,G189=0),0,F189/G189*100)</f>
        <v>0</v>
      </c>
      <c r="I189" s="111" t="n">
        <v>501</v>
      </c>
      <c r="J189" s="111" t="n">
        <v>431</v>
      </c>
      <c r="K189" s="134" t="n">
        <f aca="false">IF(OR(I189=0,J189=0),0,I189/J189*100)</f>
        <v>116.241299303944</v>
      </c>
      <c r="L189" s="111" t="n">
        <v>0</v>
      </c>
      <c r="M189" s="111" t="n">
        <v>0</v>
      </c>
      <c r="N189" s="134" t="n">
        <f aca="false">IF(OR(L189=0,M189=0),0,L189/M189*100)</f>
        <v>0</v>
      </c>
      <c r="O189" s="85" t="n">
        <v>25</v>
      </c>
      <c r="P189" s="85" t="n">
        <v>53</v>
      </c>
      <c r="Q189" s="85" t="n">
        <v>26</v>
      </c>
      <c r="R189" s="51" t="n">
        <f aca="false">O189*P189</f>
        <v>1325</v>
      </c>
    </row>
    <row r="190" customFormat="false" ht="13.8" hidden="false" customHeight="false" outlineLevel="0" collapsed="false">
      <c r="A190" s="64" t="s">
        <v>170</v>
      </c>
      <c r="B190" s="64" t="s">
        <v>154</v>
      </c>
      <c r="C190" s="147" t="n">
        <f aca="false">SUM(C181:C189)</f>
        <v>52130</v>
      </c>
      <c r="D190" s="147" t="n">
        <f aca="false">SUM(D181:D189)</f>
        <v>53249</v>
      </c>
      <c r="E190" s="66" t="n">
        <f aca="false">C190/D190*100</f>
        <v>97.8985520854852</v>
      </c>
      <c r="F190" s="147" t="n">
        <f aca="false">SUM(F181:F189)</f>
        <v>52130</v>
      </c>
      <c r="G190" s="147" t="n">
        <f aca="false">SUM(G181:G189)</f>
        <v>53249</v>
      </c>
      <c r="H190" s="66" t="n">
        <f aca="false">F190/G190*100</f>
        <v>97.8985520854852</v>
      </c>
      <c r="I190" s="147" t="n">
        <f aca="false">SUM(I181:I189)</f>
        <v>9915.6</v>
      </c>
      <c r="J190" s="147" t="n">
        <f aca="false">SUM(J181:J189)</f>
        <v>17252.7</v>
      </c>
      <c r="K190" s="66" t="n">
        <f aca="false">I190/J190*100</f>
        <v>57.4727433966857</v>
      </c>
      <c r="L190" s="147" t="n">
        <f aca="false">SUM(L181:L189)</f>
        <v>0</v>
      </c>
      <c r="M190" s="147" t="n">
        <f aca="false">SUM(M181:M189)</f>
        <v>0</v>
      </c>
      <c r="N190" s="66" t="n">
        <v>0</v>
      </c>
      <c r="O190" s="147" t="n">
        <f aca="false">SUM(O181:O189)</f>
        <v>527</v>
      </c>
      <c r="P190" s="66" t="n">
        <f aca="false">R190/O190</f>
        <v>146.477988614801</v>
      </c>
      <c r="Q190" s="147" t="n">
        <f aca="false">SUM(Q181:Q189)</f>
        <v>579</v>
      </c>
      <c r="R190" s="81" t="n">
        <f aca="false">SUM(R181:R189)</f>
        <v>77193.9</v>
      </c>
    </row>
    <row r="191" customFormat="false" ht="13.8" hidden="false" customHeight="false" outlineLevel="0" collapsed="false">
      <c r="A191" s="148"/>
      <c r="B191" s="44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9"/>
    </row>
    <row r="192" customFormat="false" ht="13.8" hidden="false" customHeight="false" outlineLevel="0" collapsed="false">
      <c r="A192" s="150" t="s">
        <v>181</v>
      </c>
      <c r="B192" s="150"/>
      <c r="C192" s="44" t="n">
        <v>3</v>
      </c>
      <c r="D192" s="44" t="n">
        <v>4</v>
      </c>
      <c r="E192" s="45" t="n">
        <v>5</v>
      </c>
      <c r="F192" s="44" t="n">
        <v>6</v>
      </c>
      <c r="G192" s="44" t="n">
        <v>7</v>
      </c>
      <c r="H192" s="44" t="n">
        <v>8</v>
      </c>
      <c r="I192" s="44" t="n">
        <v>9</v>
      </c>
      <c r="J192" s="44" t="n">
        <v>10</v>
      </c>
      <c r="K192" s="44" t="n">
        <v>11</v>
      </c>
      <c r="L192" s="44" t="n">
        <v>12</v>
      </c>
      <c r="M192" s="44" t="n">
        <v>13</v>
      </c>
      <c r="N192" s="44" t="n">
        <v>14</v>
      </c>
      <c r="O192" s="44" t="n">
        <v>15</v>
      </c>
      <c r="P192" s="45" t="n">
        <v>16</v>
      </c>
      <c r="Q192" s="44" t="n">
        <v>15</v>
      </c>
      <c r="R192" s="28"/>
    </row>
    <row r="193" customFormat="false" ht="13.8" hidden="false" customHeight="false" outlineLevel="0" collapsed="false">
      <c r="A193" s="111" t="n">
        <v>1</v>
      </c>
      <c r="B193" s="151" t="s">
        <v>182</v>
      </c>
      <c r="C193" s="56" t="n">
        <v>3092</v>
      </c>
      <c r="D193" s="56" t="n">
        <v>1491</v>
      </c>
      <c r="E193" s="138" t="n">
        <f aca="false">C193/D193*100</f>
        <v>207.377598926895</v>
      </c>
      <c r="F193" s="56" t="n">
        <v>3092</v>
      </c>
      <c r="G193" s="56" t="n">
        <v>1491</v>
      </c>
      <c r="H193" s="138" t="n">
        <f aca="false">F193/G193*100</f>
        <v>207.377598926895</v>
      </c>
      <c r="I193" s="56" t="n">
        <v>3092</v>
      </c>
      <c r="J193" s="56" t="n">
        <v>1491</v>
      </c>
      <c r="K193" s="132" t="n">
        <f aca="false">IF(OR(I193=0,J193=0),0,I193/J193*100)</f>
        <v>207.377598926895</v>
      </c>
      <c r="L193" s="56" t="n">
        <v>3092</v>
      </c>
      <c r="M193" s="56" t="n">
        <v>1491</v>
      </c>
      <c r="N193" s="63" t="n">
        <f aca="false">L193/M193*100</f>
        <v>207.377598926895</v>
      </c>
      <c r="O193" s="41" t="n">
        <v>49</v>
      </c>
      <c r="P193" s="111" t="n">
        <v>62</v>
      </c>
      <c r="Q193" s="41"/>
      <c r="R193" s="83" t="n">
        <f aca="false">O193*P193</f>
        <v>3038</v>
      </c>
    </row>
    <row r="194" customFormat="false" ht="13.8" hidden="false" customHeight="false" outlineLevel="0" collapsed="false">
      <c r="A194" s="111" t="n">
        <v>2</v>
      </c>
      <c r="B194" s="151" t="s">
        <v>183</v>
      </c>
      <c r="C194" s="56" t="n">
        <v>0</v>
      </c>
      <c r="D194" s="56" t="n">
        <v>0</v>
      </c>
      <c r="E194" s="138" t="n">
        <v>0</v>
      </c>
      <c r="F194" s="56" t="n">
        <v>0</v>
      </c>
      <c r="G194" s="56" t="n">
        <v>0</v>
      </c>
      <c r="H194" s="138" t="n">
        <v>0</v>
      </c>
      <c r="I194" s="56" t="n">
        <v>0</v>
      </c>
      <c r="J194" s="56" t="n">
        <v>0</v>
      </c>
      <c r="K194" s="132" t="n">
        <v>0</v>
      </c>
      <c r="L194" s="56"/>
      <c r="M194" s="56" t="n">
        <v>0</v>
      </c>
      <c r="N194" s="63" t="n">
        <v>0</v>
      </c>
      <c r="O194" s="41"/>
      <c r="P194" s="111" t="n">
        <v>185</v>
      </c>
      <c r="Q194" s="41" t="n">
        <v>64</v>
      </c>
      <c r="R194" s="83" t="n">
        <f aca="false">O194*P194</f>
        <v>0</v>
      </c>
    </row>
    <row r="195" customFormat="false" ht="13.8" hidden="false" customHeight="false" outlineLevel="0" collapsed="false">
      <c r="A195" s="64" t="s">
        <v>170</v>
      </c>
      <c r="B195" s="64" t="s">
        <v>154</v>
      </c>
      <c r="C195" s="65" t="n">
        <f aca="false">SUM(C193:C194)</f>
        <v>3092</v>
      </c>
      <c r="D195" s="65" t="n">
        <f aca="false">SUM(D193:D194)</f>
        <v>1491</v>
      </c>
      <c r="E195" s="66" t="n">
        <f aca="false">C195/D195*100</f>
        <v>207.377598926895</v>
      </c>
      <c r="F195" s="65" t="n">
        <f aca="false">SUM(F193:F194)</f>
        <v>3092</v>
      </c>
      <c r="G195" s="65" t="n">
        <f aca="false">SUM(G193:G194)</f>
        <v>1491</v>
      </c>
      <c r="H195" s="66" t="n">
        <f aca="false">F195/G195*100</f>
        <v>207.377598926895</v>
      </c>
      <c r="I195" s="66" t="n">
        <f aca="false">SUM(I193:I194)</f>
        <v>3092</v>
      </c>
      <c r="J195" s="65" t="n">
        <f aca="false">SUM(J193:J194)</f>
        <v>1491</v>
      </c>
      <c r="K195" s="66" t="n">
        <f aca="false">I195/J195*100</f>
        <v>207.377598926895</v>
      </c>
      <c r="L195" s="86" t="n">
        <f aca="false">SUM(L193:L194)</f>
        <v>3092</v>
      </c>
      <c r="M195" s="65" t="n">
        <f aca="false">SUM(M193:M194)</f>
        <v>1491</v>
      </c>
      <c r="N195" s="66" t="n">
        <f aca="false">L195/M195*100</f>
        <v>207.377598926895</v>
      </c>
      <c r="O195" s="86" t="n">
        <f aca="false">SUM(O193:O194)</f>
        <v>49</v>
      </c>
      <c r="P195" s="86" t="n">
        <f aca="false">R195/O195</f>
        <v>62</v>
      </c>
      <c r="Q195" s="86" t="n">
        <f aca="false">SUM(Q193:Q194)</f>
        <v>64</v>
      </c>
      <c r="R195" s="81" t="n">
        <f aca="false">SUM(R193:R194)</f>
        <v>3038</v>
      </c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A161:B161"/>
    <mergeCell ref="A165:B165"/>
    <mergeCell ref="A167:B167"/>
    <mergeCell ref="A178:B178"/>
    <mergeCell ref="A180:B180"/>
    <mergeCell ref="A190:B190"/>
    <mergeCell ref="A192:B192"/>
    <mergeCell ref="A195:B195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0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16" activeCellId="0" sqref="A116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5.42"/>
    <col collapsed="false" customWidth="true" hidden="false" outlineLevel="0" max="3" min="3" style="0" width="11.71"/>
    <col collapsed="false" customWidth="false" hidden="false" outlineLevel="0" max="4" min="4" style="0" width="11.43"/>
    <col collapsed="false" customWidth="true" hidden="false" outlineLevel="0" max="5" min="5" style="0" width="6"/>
    <col collapsed="false" customWidth="true" hidden="false" outlineLevel="0" max="6" min="6" style="0" width="10.57"/>
    <col collapsed="false" customWidth="true" hidden="false" outlineLevel="0" max="7" min="7" style="0" width="10.28"/>
    <col collapsed="false" customWidth="true" hidden="false" outlineLevel="0" max="8" min="8" style="0" width="5.57"/>
    <col collapsed="false" customWidth="true" hidden="false" outlineLevel="0" max="9" min="9" style="0" width="11.28"/>
    <col collapsed="false" customWidth="true" hidden="false" outlineLevel="0" max="10" min="10" style="0" width="11.71"/>
    <col collapsed="false" customWidth="true" hidden="false" outlineLevel="0" max="11" min="11" style="0" width="5.71"/>
    <col collapsed="false" customWidth="true" hidden="false" outlineLevel="0" max="12" min="12" style="0" width="11.28"/>
    <col collapsed="false" customWidth="false" hidden="false" outlineLevel="0" max="13" min="13" style="0" width="11.43"/>
    <col collapsed="false" customWidth="true" hidden="false" outlineLevel="0" max="14" min="14" style="0" width="6.43"/>
    <col collapsed="false" customWidth="true" hidden="false" outlineLevel="0" max="15" min="15" style="0" width="7"/>
    <col collapsed="false" customWidth="true" hidden="false" outlineLevel="0" max="16" min="16" style="0" width="6.71"/>
    <col collapsed="false" customWidth="true" hidden="false" outlineLevel="0" max="17" min="17" style="0" width="7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259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189</v>
      </c>
      <c r="F4" s="155" t="s">
        <v>12</v>
      </c>
      <c r="G4" s="155" t="s">
        <v>10</v>
      </c>
      <c r="H4" s="160" t="s">
        <v>189</v>
      </c>
      <c r="I4" s="155" t="s">
        <v>13</v>
      </c>
      <c r="J4" s="155" t="s">
        <v>10</v>
      </c>
      <c r="K4" s="160" t="s">
        <v>189</v>
      </c>
      <c r="L4" s="155" t="s">
        <v>13</v>
      </c>
      <c r="M4" s="155" t="s">
        <v>10</v>
      </c>
      <c r="N4" s="160" t="s">
        <v>189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16.5" hidden="false" customHeight="false" outlineLevel="0" collapsed="false">
      <c r="A10" s="163" t="n">
        <v>1</v>
      </c>
      <c r="B10" s="164" t="s">
        <v>213</v>
      </c>
      <c r="C10" s="161" t="n">
        <f aca="false">C139</f>
        <v>150140632</v>
      </c>
      <c r="D10" s="161" t="n">
        <f aca="false">D139</f>
        <v>148485390</v>
      </c>
      <c r="E10" s="165" t="n">
        <f aca="false">E139</f>
        <v>1.11475075089879</v>
      </c>
      <c r="F10" s="161" t="n">
        <f aca="false">F139</f>
        <v>15504396</v>
      </c>
      <c r="G10" s="166" t="n">
        <f aca="false">G139</f>
        <v>15411777</v>
      </c>
      <c r="H10" s="167" t="n">
        <f aca="false">H139</f>
        <v>0.600962497705496</v>
      </c>
      <c r="I10" s="166" t="n">
        <f aca="false">I139</f>
        <v>136564596</v>
      </c>
      <c r="J10" s="166" t="n">
        <f aca="false">J139</f>
        <v>140920832</v>
      </c>
      <c r="K10" s="167" t="n">
        <f aca="false">K139</f>
        <v>-3.09126474643578</v>
      </c>
      <c r="L10" s="161" t="n">
        <f aca="false">L139</f>
        <v>94893262</v>
      </c>
      <c r="M10" s="161" t="n">
        <f aca="false">M139</f>
        <v>90348538</v>
      </c>
      <c r="N10" s="165" t="n">
        <f aca="false">N139</f>
        <v>5.0302131064921</v>
      </c>
      <c r="O10" s="161" t="n">
        <f aca="false">O139</f>
        <v>5929</v>
      </c>
      <c r="P10" s="165" t="n">
        <f aca="false">P139</f>
        <v>174.017709563164</v>
      </c>
      <c r="Q10" s="161" t="n">
        <f aca="false">Q139</f>
        <v>5935</v>
      </c>
      <c r="R10" s="161" t="n">
        <f aca="false">R139</f>
        <v>1031751</v>
      </c>
    </row>
    <row r="11" customFormat="false" ht="16.5" hidden="false" customHeight="false" outlineLevel="0" collapsed="false">
      <c r="A11" s="163"/>
      <c r="B11" s="164" t="s">
        <v>15</v>
      </c>
      <c r="C11" s="161" t="n">
        <f aca="false">C150</f>
        <v>134328094</v>
      </c>
      <c r="D11" s="161" t="n">
        <f aca="false">D150</f>
        <v>134829749</v>
      </c>
      <c r="E11" s="165" t="n">
        <f aca="false">E150</f>
        <v>-0.372065515007364</v>
      </c>
      <c r="F11" s="161" t="n">
        <f aca="false">F150</f>
        <v>13246997</v>
      </c>
      <c r="G11" s="161" t="n">
        <f aca="false">G150</f>
        <v>13160056</v>
      </c>
      <c r="H11" s="165" t="n">
        <f aca="false">H150</f>
        <v>0.660643085409362</v>
      </c>
      <c r="I11" s="161" t="n">
        <f aca="false">I150</f>
        <v>129203267</v>
      </c>
      <c r="J11" s="161" t="n">
        <f aca="false">J150</f>
        <v>133936593</v>
      </c>
      <c r="K11" s="165" t="n">
        <f aca="false">K150</f>
        <v>-3.53400507955283</v>
      </c>
      <c r="L11" s="161" t="n">
        <f aca="false">L150</f>
        <v>132004747</v>
      </c>
      <c r="M11" s="161" t="n">
        <f aca="false">M150</f>
        <v>138112341</v>
      </c>
      <c r="N11" s="165" t="n">
        <f aca="false">N150</f>
        <v>-4.42219280027987</v>
      </c>
      <c r="O11" s="161" t="n">
        <f aca="false">O150</f>
        <v>3712</v>
      </c>
      <c r="P11" s="161" t="n">
        <f aca="false">P150</f>
        <v>130.462015086207</v>
      </c>
      <c r="Q11" s="161" t="n">
        <f aca="false">Q150</f>
        <v>3710</v>
      </c>
      <c r="R11" s="168" t="n">
        <f aca="false">O11*P11</f>
        <v>484275</v>
      </c>
    </row>
    <row r="12" customFormat="false" ht="16.5" hidden="false" customHeight="false" outlineLevel="0" collapsed="false">
      <c r="A12" s="163" t="n">
        <v>2</v>
      </c>
      <c r="B12" s="164" t="s">
        <v>16</v>
      </c>
      <c r="C12" s="161" t="n">
        <f aca="false">C162</f>
        <v>13656568</v>
      </c>
      <c r="D12" s="161" t="n">
        <f aca="false">D162</f>
        <v>11426426</v>
      </c>
      <c r="E12" s="165" t="n">
        <f aca="false">E162</f>
        <v>19.5174064051174</v>
      </c>
      <c r="F12" s="161" t="n">
        <f aca="false">F162</f>
        <v>3309333</v>
      </c>
      <c r="G12" s="166" t="n">
        <f aca="false">G162</f>
        <v>3425173</v>
      </c>
      <c r="H12" s="167" t="n">
        <f aca="false">H162</f>
        <v>-3.38201895203541</v>
      </c>
      <c r="I12" s="166" t="n">
        <f aca="false">I162</f>
        <v>12431699</v>
      </c>
      <c r="J12" s="166" t="n">
        <f aca="false">J162</f>
        <v>11956883</v>
      </c>
      <c r="K12" s="167" t="n">
        <f aca="false">K162</f>
        <v>3.9710683796103</v>
      </c>
      <c r="L12" s="161" t="n">
        <f aca="false">L162</f>
        <v>5279056</v>
      </c>
      <c r="M12" s="161" t="n">
        <f aca="false">M162</f>
        <v>3317757</v>
      </c>
      <c r="N12" s="165" t="n">
        <f aca="false">N162</f>
        <v>59.1152094622963</v>
      </c>
      <c r="O12" s="161" t="n">
        <f aca="false">O162</f>
        <v>1497</v>
      </c>
      <c r="P12" s="165" t="n">
        <f aca="false">P162</f>
        <v>97.434869739479</v>
      </c>
      <c r="Q12" s="161" t="n">
        <f aca="false">Q162</f>
        <v>1498</v>
      </c>
      <c r="R12" s="168" t="n">
        <f aca="false">O12*P12</f>
        <v>145860</v>
      </c>
    </row>
    <row r="13" customFormat="false" ht="33" hidden="false" customHeight="false" outlineLevel="0" collapsed="false">
      <c r="A13" s="163" t="n">
        <v>3</v>
      </c>
      <c r="B13" s="164" t="s">
        <v>17</v>
      </c>
      <c r="C13" s="161" t="n">
        <f aca="false">C212</f>
        <v>9550721</v>
      </c>
      <c r="D13" s="161" t="n">
        <f aca="false">D212</f>
        <v>9535685</v>
      </c>
      <c r="E13" s="165" t="n">
        <f aca="false">E212</f>
        <v>0.157681383141323</v>
      </c>
      <c r="F13" s="161" t="n">
        <f aca="false">F212</f>
        <v>3931307</v>
      </c>
      <c r="G13" s="161" t="n">
        <f aca="false">G212</f>
        <v>3122234</v>
      </c>
      <c r="H13" s="161" t="n">
        <f aca="false">H212</f>
        <v>25.9132723556274</v>
      </c>
      <c r="I13" s="161" t="n">
        <f aca="false">I212</f>
        <v>12161159</v>
      </c>
      <c r="J13" s="161" t="n">
        <f aca="false">J212</f>
        <v>10870161</v>
      </c>
      <c r="K13" s="165" t="n">
        <f aca="false">K212</f>
        <v>11.8765306236035</v>
      </c>
      <c r="L13" s="161" t="n">
        <f aca="false">L212</f>
        <v>7237852</v>
      </c>
      <c r="M13" s="161" t="n">
        <f aca="false">M212</f>
        <v>5758721</v>
      </c>
      <c r="N13" s="165" t="n">
        <f aca="false">N212</f>
        <v>25.6850609710038</v>
      </c>
      <c r="O13" s="161" t="n">
        <f aca="false">O212</f>
        <v>583</v>
      </c>
      <c r="P13" s="161" t="n">
        <f aca="false">P212</f>
        <v>111.433962264151</v>
      </c>
      <c r="Q13" s="161" t="n">
        <f aca="false">Q212</f>
        <v>565</v>
      </c>
      <c r="R13" s="161" t="n">
        <f aca="false">R212</f>
        <v>64966</v>
      </c>
    </row>
    <row r="14" customFormat="false" ht="33" hidden="false" customHeight="false" outlineLevel="0" collapsed="false">
      <c r="A14" s="163" t="n">
        <v>4</v>
      </c>
      <c r="B14" s="164" t="s">
        <v>229</v>
      </c>
      <c r="C14" s="161" t="n">
        <f aca="false">C55</f>
        <v>2770668</v>
      </c>
      <c r="D14" s="166" t="n">
        <f aca="false">D55</f>
        <v>3367409</v>
      </c>
      <c r="E14" s="167" t="n">
        <f aca="false">E55</f>
        <v>-17.7210727891979</v>
      </c>
      <c r="F14" s="166" t="n">
        <f aca="false">F55</f>
        <v>271897</v>
      </c>
      <c r="G14" s="166" t="n">
        <f aca="false">G55</f>
        <v>310802</v>
      </c>
      <c r="H14" s="167" t="n">
        <f aca="false">H55</f>
        <v>-12.5176157167586</v>
      </c>
      <c r="I14" s="166" t="n">
        <f aca="false">I55</f>
        <v>2823059</v>
      </c>
      <c r="J14" s="166" t="n">
        <f aca="false">J55</f>
        <v>2778853</v>
      </c>
      <c r="K14" s="167" t="n">
        <f aca="false">K55</f>
        <v>1.59080023304578</v>
      </c>
      <c r="L14" s="166" t="n">
        <f aca="false">L55</f>
        <v>1634040</v>
      </c>
      <c r="M14" s="166" t="n">
        <f aca="false">M55</f>
        <v>1578989</v>
      </c>
      <c r="N14" s="167" t="n">
        <f aca="false">N55</f>
        <v>3.48647140670391</v>
      </c>
      <c r="O14" s="166" t="n">
        <f aca="false">O55</f>
        <v>949</v>
      </c>
      <c r="P14" s="167" t="n">
        <f aca="false">P55</f>
        <v>107.571127502634</v>
      </c>
      <c r="Q14" s="166" t="n">
        <f aca="false">Q55</f>
        <v>952</v>
      </c>
      <c r="R14" s="168" t="n">
        <f aca="false">O14*P14</f>
        <v>102085</v>
      </c>
    </row>
    <row r="15" customFormat="false" ht="16.5" hidden="false" customHeight="false" outlineLevel="0" collapsed="false">
      <c r="A15" s="163" t="n">
        <v>5</v>
      </c>
      <c r="B15" s="164" t="s">
        <v>19</v>
      </c>
      <c r="C15" s="161" t="n">
        <f aca="false">C67</f>
        <v>1303803</v>
      </c>
      <c r="D15" s="166" t="n">
        <f aca="false">D67</f>
        <v>1440580</v>
      </c>
      <c r="E15" s="167" t="n">
        <f aca="false">E67</f>
        <v>-9.4945785725194</v>
      </c>
      <c r="F15" s="166" t="n">
        <f aca="false">F67</f>
        <v>122792</v>
      </c>
      <c r="G15" s="166" t="n">
        <f aca="false">G67</f>
        <v>146680</v>
      </c>
      <c r="H15" s="167" t="n">
        <f aca="false">H67</f>
        <v>-16.285792200709</v>
      </c>
      <c r="I15" s="166" t="n">
        <f aca="false">I67</f>
        <v>1367660</v>
      </c>
      <c r="J15" s="166" t="n">
        <f aca="false">J67</f>
        <v>1564756</v>
      </c>
      <c r="K15" s="167" t="n">
        <f aca="false">K67</f>
        <v>-12.5959574527914</v>
      </c>
      <c r="L15" s="166" t="n">
        <f aca="false">L67</f>
        <v>819444</v>
      </c>
      <c r="M15" s="166" t="n">
        <f aca="false">M67</f>
        <v>1047750</v>
      </c>
      <c r="N15" s="167" t="n">
        <f aca="false">N67</f>
        <v>-21.7901216893343</v>
      </c>
      <c r="O15" s="166" t="n">
        <f aca="false">O67</f>
        <v>559</v>
      </c>
      <c r="P15" s="167" t="n">
        <f aca="false">P67</f>
        <v>109.008944543828</v>
      </c>
      <c r="Q15" s="166" t="n">
        <f aca="false">Q67</f>
        <v>556</v>
      </c>
      <c r="R15" s="168" t="n">
        <f aca="false">O15*P15</f>
        <v>60936</v>
      </c>
    </row>
    <row r="16" customFormat="false" ht="16.5" hidden="false" customHeight="false" outlineLevel="0" collapsed="false">
      <c r="A16" s="163" t="n">
        <v>6</v>
      </c>
      <c r="B16" s="164" t="s">
        <v>20</v>
      </c>
      <c r="C16" s="161" t="n">
        <f aca="false">C78</f>
        <v>1359994</v>
      </c>
      <c r="D16" s="166" t="n">
        <f aca="false">D78</f>
        <v>1580019</v>
      </c>
      <c r="E16" s="167" t="n">
        <f aca="false">E78</f>
        <v>-13.9254654532635</v>
      </c>
      <c r="F16" s="166" t="n">
        <f aca="false">F78</f>
        <v>207828</v>
      </c>
      <c r="G16" s="166" t="n">
        <f aca="false">G78</f>
        <v>287818</v>
      </c>
      <c r="H16" s="167" t="n">
        <f aca="false">H78</f>
        <v>-27.7918684724374</v>
      </c>
      <c r="I16" s="166" t="n">
        <f aca="false">I78</f>
        <v>1363223</v>
      </c>
      <c r="J16" s="166" t="n">
        <f aca="false">J78</f>
        <v>1603678</v>
      </c>
      <c r="K16" s="167" t="n">
        <f aca="false">K78</f>
        <v>-14.9939701112069</v>
      </c>
      <c r="L16" s="166" t="n">
        <f aca="false">L78</f>
        <v>713956</v>
      </c>
      <c r="M16" s="166" t="n">
        <f aca="false">M78</f>
        <v>831704</v>
      </c>
      <c r="N16" s="167" t="n">
        <f aca="false">N78</f>
        <v>-14.1574406279157</v>
      </c>
      <c r="O16" s="166" t="n">
        <f aca="false">O78</f>
        <v>519</v>
      </c>
      <c r="P16" s="167" t="n">
        <f aca="false">P78</f>
        <v>104.842003853565</v>
      </c>
      <c r="Q16" s="166" t="n">
        <f aca="false">Q78</f>
        <v>525</v>
      </c>
      <c r="R16" s="168" t="n">
        <f aca="false">O16*P16</f>
        <v>54413</v>
      </c>
    </row>
    <row r="17" customFormat="false" ht="16.5" hidden="false" customHeight="false" outlineLevel="0" collapsed="false">
      <c r="A17" s="163" t="n">
        <v>7</v>
      </c>
      <c r="B17" s="164" t="s">
        <v>21</v>
      </c>
      <c r="C17" s="161" t="n">
        <f aca="false">C93</f>
        <v>5919829</v>
      </c>
      <c r="D17" s="166" t="n">
        <f aca="false">D93</f>
        <v>5259879</v>
      </c>
      <c r="E17" s="167" t="n">
        <f aca="false">E93</f>
        <v>12.5468665724059</v>
      </c>
      <c r="F17" s="166" t="n">
        <f aca="false">F93</f>
        <v>692058</v>
      </c>
      <c r="G17" s="166" t="n">
        <f aca="false">G93</f>
        <v>689970</v>
      </c>
      <c r="H17" s="167" t="n">
        <f aca="false">H93</f>
        <v>0.302621853124037</v>
      </c>
      <c r="I17" s="166" t="n">
        <f aca="false">I93</f>
        <v>8816574</v>
      </c>
      <c r="J17" s="166" t="n">
        <f aca="false">J93</f>
        <v>8866694</v>
      </c>
      <c r="K17" s="167" t="n">
        <f aca="false">K93</f>
        <v>-0.565261415359544</v>
      </c>
      <c r="L17" s="166" t="n">
        <f aca="false">L93</f>
        <v>2817806</v>
      </c>
      <c r="M17" s="166" t="n">
        <f aca="false">M93</f>
        <v>2587495</v>
      </c>
      <c r="N17" s="167" t="n">
        <f aca="false">N93</f>
        <v>8.90092541241626</v>
      </c>
      <c r="O17" s="166" t="n">
        <f aca="false">O93</f>
        <v>3884</v>
      </c>
      <c r="P17" s="167" t="n">
        <f aca="false">P93</f>
        <v>113.851184346035</v>
      </c>
      <c r="Q17" s="166" t="n">
        <f aca="false">Q93</f>
        <v>3879</v>
      </c>
      <c r="R17" s="168" t="n">
        <f aca="false">O17*P17</f>
        <v>442198</v>
      </c>
    </row>
    <row r="18" customFormat="false" ht="33" hidden="false" customHeight="false" outlineLevel="0" collapsed="false">
      <c r="A18" s="163" t="n">
        <v>8</v>
      </c>
      <c r="B18" s="164" t="s">
        <v>22</v>
      </c>
      <c r="C18" s="161" t="n">
        <f aca="false">C190</f>
        <v>101361413</v>
      </c>
      <c r="D18" s="161" t="n">
        <f aca="false">D190</f>
        <v>78941745</v>
      </c>
      <c r="E18" s="165" t="n">
        <f aca="false">E190</f>
        <v>28.4002690845002</v>
      </c>
      <c r="F18" s="161" t="n">
        <f aca="false">F190</f>
        <v>15340802</v>
      </c>
      <c r="G18" s="161" t="n">
        <f aca="false">G190</f>
        <v>9729594</v>
      </c>
      <c r="H18" s="165" t="n">
        <f aca="false">H190</f>
        <v>57.6715534070589</v>
      </c>
      <c r="I18" s="161" t="n">
        <f aca="false">I190</f>
        <v>87587160</v>
      </c>
      <c r="J18" s="161" t="n">
        <f aca="false">J190</f>
        <v>74565105</v>
      </c>
      <c r="K18" s="165" t="n">
        <f aca="false">K190</f>
        <v>17.4640067897712</v>
      </c>
      <c r="L18" s="161" t="n">
        <f aca="false">L190</f>
        <v>41795523</v>
      </c>
      <c r="M18" s="161" t="n">
        <f aca="false">M190</f>
        <v>32552538</v>
      </c>
      <c r="N18" s="165" t="n">
        <f aca="false">N190</f>
        <v>28.3940533300353</v>
      </c>
      <c r="O18" s="161" t="n">
        <f aca="false">O190</f>
        <v>5781</v>
      </c>
      <c r="P18" s="165" t="n">
        <f aca="false">P190</f>
        <v>42.3750216225567</v>
      </c>
      <c r="Q18" s="161" t="n">
        <f aca="false">Q190</f>
        <v>5797</v>
      </c>
      <c r="R18" s="161" t="n">
        <f aca="false">R190</f>
        <v>244970</v>
      </c>
    </row>
    <row r="19" customFormat="false" ht="33" hidden="false" customHeight="false" outlineLevel="0" collapsed="false">
      <c r="A19" s="163" t="n">
        <v>9</v>
      </c>
      <c r="B19" s="164" t="s">
        <v>23</v>
      </c>
      <c r="C19" s="161" t="n">
        <f aca="false">C121</f>
        <v>2944291</v>
      </c>
      <c r="D19" s="166" t="n">
        <f aca="false">D121</f>
        <v>3160133</v>
      </c>
      <c r="E19" s="167" t="n">
        <f aca="false">E121</f>
        <v>-6.83015556623724</v>
      </c>
      <c r="F19" s="166" t="n">
        <f aca="false">F121</f>
        <v>242278</v>
      </c>
      <c r="G19" s="166" t="n">
        <f aca="false">G121</f>
        <v>480181</v>
      </c>
      <c r="H19" s="167" t="n">
        <f aca="false">H121</f>
        <v>-49.5444426164301</v>
      </c>
      <c r="I19" s="166" t="n">
        <f aca="false">I121</f>
        <v>2975121</v>
      </c>
      <c r="J19" s="166" t="n">
        <f aca="false">J121</f>
        <v>3148960</v>
      </c>
      <c r="K19" s="167" t="n">
        <f aca="false">K121</f>
        <v>-5.5205210609217</v>
      </c>
      <c r="L19" s="166" t="n">
        <f aca="false">L121</f>
        <v>1147566</v>
      </c>
      <c r="M19" s="166" t="n">
        <f aca="false">M121</f>
        <v>1431025</v>
      </c>
      <c r="N19" s="167" t="n">
        <f aca="false">N121</f>
        <v>-19.8081095718104</v>
      </c>
      <c r="O19" s="166" t="n">
        <f aca="false">O121</f>
        <v>1671</v>
      </c>
      <c r="P19" s="167" t="n">
        <f aca="false">P121</f>
        <v>81.4003590664273</v>
      </c>
      <c r="Q19" s="166" t="n">
        <f aca="false">Q121</f>
        <v>1882</v>
      </c>
      <c r="R19" s="168" t="n">
        <f aca="false">O19*P19</f>
        <v>136020</v>
      </c>
    </row>
    <row r="20" customFormat="false" ht="16.5" hidden="false" customHeight="false" outlineLevel="0" collapsed="false">
      <c r="A20" s="163" t="n">
        <v>10</v>
      </c>
      <c r="B20" s="164" t="s">
        <v>24</v>
      </c>
      <c r="C20" s="161" t="n">
        <f aca="false">C131</f>
        <v>140739</v>
      </c>
      <c r="D20" s="166" t="n">
        <f aca="false">D131</f>
        <v>220826</v>
      </c>
      <c r="E20" s="167" t="n">
        <f aca="false">E131</f>
        <v>-36.2670156593879</v>
      </c>
      <c r="F20" s="166" t="n">
        <f aca="false">F131</f>
        <v>3569</v>
      </c>
      <c r="G20" s="166" t="n">
        <f aca="false">G131</f>
        <v>7743</v>
      </c>
      <c r="H20" s="167" t="n">
        <f aca="false">H131</f>
        <v>-53.9067544879246</v>
      </c>
      <c r="I20" s="166" t="n">
        <f aca="false">I131</f>
        <v>120860</v>
      </c>
      <c r="J20" s="166" t="n">
        <f aca="false">J131</f>
        <v>254806</v>
      </c>
      <c r="K20" s="167" t="n">
        <f aca="false">K131</f>
        <v>-52.567835922231</v>
      </c>
      <c r="L20" s="166" t="n">
        <f aca="false">L131</f>
        <v>19451</v>
      </c>
      <c r="M20" s="166" t="n">
        <f aca="false">M131</f>
        <v>0</v>
      </c>
      <c r="N20" s="167" t="n">
        <f aca="false">N131</f>
        <v>0</v>
      </c>
      <c r="O20" s="166" t="n">
        <f aca="false">O131</f>
        <v>145</v>
      </c>
      <c r="P20" s="167" t="n">
        <f aca="false">P131</f>
        <v>79.8620689655172</v>
      </c>
      <c r="Q20" s="166" t="n">
        <f aca="false">Q131</f>
        <v>106</v>
      </c>
      <c r="R20" s="168" t="n">
        <f aca="false">O20*P20</f>
        <v>11580</v>
      </c>
    </row>
    <row r="21" customFormat="false" ht="33" hidden="false" customHeight="false" outlineLevel="0" collapsed="false">
      <c r="A21" s="163" t="n">
        <v>11</v>
      </c>
      <c r="B21" s="164" t="s">
        <v>25</v>
      </c>
      <c r="C21" s="161" t="n">
        <f aca="false">C225</f>
        <v>932555</v>
      </c>
      <c r="D21" s="166" t="n">
        <f aca="false">D225</f>
        <v>1010438</v>
      </c>
      <c r="E21" s="167" t="n">
        <f aca="false">E225</f>
        <v>-7.70784550858143</v>
      </c>
      <c r="F21" s="166" t="n">
        <f aca="false">F225</f>
        <v>134182.6</v>
      </c>
      <c r="G21" s="166" t="n">
        <f aca="false">G225</f>
        <v>89140</v>
      </c>
      <c r="H21" s="167" t="n">
        <f aca="false">H225</f>
        <v>50.5301772492708</v>
      </c>
      <c r="I21" s="166" t="n">
        <f aca="false">I225</f>
        <v>557444.2</v>
      </c>
      <c r="J21" s="166" t="n">
        <f aca="false">J225</f>
        <v>693548.1</v>
      </c>
      <c r="K21" s="167" t="n">
        <f aca="false">K225</f>
        <v>-19.6242913793578</v>
      </c>
      <c r="L21" s="166" t="n">
        <f aca="false">L225</f>
        <v>3595</v>
      </c>
      <c r="M21" s="166" t="n">
        <f aca="false">M225</f>
        <v>105629</v>
      </c>
      <c r="N21" s="167" t="n">
        <f aca="false">N225</f>
        <v>-96.5965785911066</v>
      </c>
      <c r="O21" s="166" t="n">
        <f aca="false">O225</f>
        <v>527</v>
      </c>
      <c r="P21" s="167" t="n">
        <f aca="false">P225</f>
        <v>170.702087286527</v>
      </c>
      <c r="Q21" s="166" t="n">
        <f aca="false">Q225</f>
        <v>538</v>
      </c>
      <c r="R21" s="168" t="n">
        <f aca="false">O21*P21</f>
        <v>89960</v>
      </c>
    </row>
    <row r="22" customFormat="false" ht="16.5" hidden="false" customHeight="false" outlineLevel="0" collapsed="false">
      <c r="A22" s="163" t="n">
        <v>12</v>
      </c>
      <c r="B22" s="164" t="s">
        <v>26</v>
      </c>
      <c r="C22" s="161" t="n">
        <f aca="false">C230</f>
        <v>263692</v>
      </c>
      <c r="D22" s="166" t="n">
        <f aca="false">D230</f>
        <v>352461</v>
      </c>
      <c r="E22" s="167" t="n">
        <f aca="false">E230</f>
        <v>-25.1854815142668</v>
      </c>
      <c r="F22" s="166" t="n">
        <f aca="false">F230</f>
        <v>53386</v>
      </c>
      <c r="G22" s="166" t="n">
        <f aca="false">G230</f>
        <v>88701</v>
      </c>
      <c r="H22" s="167" t="n">
        <f aca="false">H230</f>
        <v>-39.813530850836</v>
      </c>
      <c r="I22" s="166" t="n">
        <f aca="false">I230</f>
        <v>263864</v>
      </c>
      <c r="J22" s="166" t="n">
        <f aca="false">J230</f>
        <v>305112</v>
      </c>
      <c r="K22" s="167" t="n">
        <f aca="false">K230</f>
        <v>-13.518970083117</v>
      </c>
      <c r="L22" s="166" t="n">
        <f aca="false">L230</f>
        <v>75180</v>
      </c>
      <c r="M22" s="166" t="n">
        <f aca="false">M230</f>
        <v>90075</v>
      </c>
      <c r="N22" s="167" t="n">
        <f aca="false">N230</f>
        <v>-16.5362198168193</v>
      </c>
      <c r="O22" s="166" t="n">
        <f aca="false">O230</f>
        <v>218</v>
      </c>
      <c r="P22" s="167" t="n">
        <f aca="false">P230</f>
        <v>78.0779816513762</v>
      </c>
      <c r="Q22" s="166" t="n">
        <f aca="false">Q230</f>
        <v>216</v>
      </c>
      <c r="R22" s="168" t="n">
        <f aca="false">O22*P22</f>
        <v>17021</v>
      </c>
    </row>
    <row r="23" customFormat="false" ht="15" hidden="false" customHeight="false" outlineLevel="0" collapsed="false">
      <c r="A23" s="307"/>
      <c r="B23" s="308" t="s">
        <v>27</v>
      </c>
      <c r="C23" s="309" t="n">
        <f aca="false">SUM(C10:C22)</f>
        <v>424672999</v>
      </c>
      <c r="D23" s="309" t="n">
        <f aca="false">SUM(D10:D22)</f>
        <v>399610740</v>
      </c>
      <c r="E23" s="310" t="n">
        <f aca="false">C23/D23*100-100</f>
        <v>6.27166802373731</v>
      </c>
      <c r="F23" s="309" t="n">
        <f aca="false">SUM(F10:F22)</f>
        <v>53060825.6</v>
      </c>
      <c r="G23" s="309" t="n">
        <f aca="false">SUM(G10:G22)</f>
        <v>46949869</v>
      </c>
      <c r="H23" s="310" t="n">
        <f aca="false">F23/G23*100-100</f>
        <v>13.0159183191757</v>
      </c>
      <c r="I23" s="309" t="n">
        <f aca="false">SUM(I10:I22)</f>
        <v>396235686.2</v>
      </c>
      <c r="J23" s="309" t="n">
        <f aca="false">SUM(J10:J22)</f>
        <v>391465981.1</v>
      </c>
      <c r="K23" s="310" t="n">
        <f aca="false">I23/J23*100-100</f>
        <v>1.21842135211783</v>
      </c>
      <c r="L23" s="309" t="n">
        <f aca="false">SUM(L10:L22)</f>
        <v>288441478</v>
      </c>
      <c r="M23" s="309" t="n">
        <f aca="false">SUM(M10:M22)</f>
        <v>277762562</v>
      </c>
      <c r="N23" s="310" t="n">
        <f aca="false">L23/M23*100-100</f>
        <v>3.84462035600031</v>
      </c>
      <c r="O23" s="309" t="n">
        <f aca="false">SUM(O10:O22)</f>
        <v>25974</v>
      </c>
      <c r="P23" s="311" t="n">
        <f aca="false">R23/O23</f>
        <v>111.112458612459</v>
      </c>
      <c r="Q23" s="309" t="n">
        <f aca="false">SUM(Q10:Q22)</f>
        <v>26159</v>
      </c>
      <c r="R23" s="312" t="n">
        <f aca="false">SUM(R10:R22)</f>
        <v>2886035</v>
      </c>
    </row>
    <row r="24" customFormat="false" ht="15" hidden="false" customHeight="fals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15" hidden="false" customHeight="fals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5" hidden="false" customHeight="fals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15" hidden="false" customHeight="fals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fals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105.75" hidden="fals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15" hidden="false" customHeight="true" outlineLevel="0" collapsed="false">
      <c r="A30" s="399" t="s">
        <v>260</v>
      </c>
      <c r="B30" s="399"/>
      <c r="C30" s="399"/>
      <c r="D30" s="399"/>
      <c r="E30" s="399"/>
      <c r="F30" s="399"/>
      <c r="G30" s="399"/>
      <c r="H30" s="399"/>
      <c r="I30" s="399"/>
      <c r="J30" s="399"/>
      <c r="K30" s="399"/>
      <c r="L30" s="399"/>
      <c r="M30" s="399"/>
      <c r="N30" s="399"/>
      <c r="O30" s="399"/>
      <c r="P30" s="399"/>
      <c r="Q30" s="399"/>
      <c r="R30" s="179"/>
    </row>
    <row r="31" customFormat="false" ht="15" hidden="false" customHeight="false" outlineLevel="0" collapsed="false">
      <c r="A31" s="399"/>
      <c r="B31" s="399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399"/>
      <c r="P31" s="399"/>
      <c r="Q31" s="399"/>
      <c r="R31" s="179"/>
    </row>
    <row r="32" customFormat="false" ht="12" hidden="false" customHeight="true" outlineLevel="0" collapsed="false">
      <c r="A32" s="399"/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180"/>
    </row>
    <row r="33" customFormat="false" ht="1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11.25" hidden="false" customHeight="true" outlineLevel="0" collapsed="false">
      <c r="A34" s="181"/>
      <c r="B34" s="182"/>
      <c r="C34" s="186" t="s">
        <v>9</v>
      </c>
      <c r="D34" s="186" t="s">
        <v>33</v>
      </c>
      <c r="E34" s="188" t="s">
        <v>189</v>
      </c>
      <c r="F34" s="186" t="s">
        <v>12</v>
      </c>
      <c r="G34" s="186" t="s">
        <v>35</v>
      </c>
      <c r="H34" s="188" t="s">
        <v>189</v>
      </c>
      <c r="I34" s="186" t="s">
        <v>13</v>
      </c>
      <c r="J34" s="186" t="s">
        <v>33</v>
      </c>
      <c r="K34" s="188" t="s">
        <v>189</v>
      </c>
      <c r="L34" s="186" t="s">
        <v>13</v>
      </c>
      <c r="M34" s="186" t="s">
        <v>33</v>
      </c>
      <c r="N34" s="188" t="s">
        <v>189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101946</v>
      </c>
      <c r="D37" s="200" t="n">
        <v>135238</v>
      </c>
      <c r="E37" s="201" t="n">
        <f aca="false">C37/D37*100-100</f>
        <v>-24.6173412798178</v>
      </c>
      <c r="F37" s="200" t="n">
        <v>8848</v>
      </c>
      <c r="G37" s="200" t="n">
        <v>14812</v>
      </c>
      <c r="H37" s="201" t="n">
        <f aca="false">F37/G37*100-100</f>
        <v>-40.2646502835539</v>
      </c>
      <c r="I37" s="200" t="n">
        <v>101946</v>
      </c>
      <c r="J37" s="200" t="n">
        <v>135238</v>
      </c>
      <c r="K37" s="201" t="n">
        <f aca="false">I37/J37*100-100</f>
        <v>-24.6173412798178</v>
      </c>
      <c r="L37" s="200" t="n">
        <v>1672</v>
      </c>
      <c r="M37" s="200" t="n">
        <v>7391</v>
      </c>
      <c r="N37" s="201" t="n">
        <f aca="false">L37/M37*100-100</f>
        <v>-77.3778920308483</v>
      </c>
      <c r="O37" s="200" t="n">
        <v>75</v>
      </c>
      <c r="P37" s="200" t="n">
        <v>112</v>
      </c>
      <c r="Q37" s="200" t="n">
        <v>78</v>
      </c>
      <c r="R37" s="202" t="n">
        <f aca="false">O37*P37</f>
        <v>8400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282336</v>
      </c>
      <c r="D38" s="200" t="n">
        <v>329594</v>
      </c>
      <c r="E38" s="201" t="n">
        <f aca="false">C38/D38*100-100</f>
        <v>-14.3382464486611</v>
      </c>
      <c r="F38" s="200" t="n">
        <v>62926</v>
      </c>
      <c r="G38" s="200" t="n">
        <v>54682</v>
      </c>
      <c r="H38" s="201" t="n">
        <v>0</v>
      </c>
      <c r="I38" s="200" t="n">
        <v>282336</v>
      </c>
      <c r="J38" s="200" t="n">
        <v>329594</v>
      </c>
      <c r="K38" s="201" t="n">
        <f aca="false">I38/J38*100-100</f>
        <v>-14.3382464486611</v>
      </c>
      <c r="L38" s="200" t="n">
        <v>170662</v>
      </c>
      <c r="M38" s="200" t="n">
        <v>190068</v>
      </c>
      <c r="N38" s="201" t="n">
        <v>0</v>
      </c>
      <c r="O38" s="203" t="n">
        <v>93</v>
      </c>
      <c r="P38" s="204" t="n">
        <v>182</v>
      </c>
      <c r="Q38" s="203" t="n">
        <v>95</v>
      </c>
      <c r="R38" s="202" t="n">
        <f aca="false">O38*P38</f>
        <v>16926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61223</v>
      </c>
      <c r="D39" s="200" t="n">
        <v>79110</v>
      </c>
      <c r="E39" s="201" t="n">
        <f aca="false">C39/D39*100-100</f>
        <v>-22.6102894703577</v>
      </c>
      <c r="F39" s="200" t="n">
        <v>3856</v>
      </c>
      <c r="G39" s="200" t="n">
        <v>12652</v>
      </c>
      <c r="H39" s="201" t="n">
        <f aca="false">F39/G39*100-100</f>
        <v>-69.5226051217199</v>
      </c>
      <c r="I39" s="200" t="n">
        <v>96933</v>
      </c>
      <c r="J39" s="200" t="n">
        <v>114623</v>
      </c>
      <c r="K39" s="201" t="n">
        <f aca="false">I39/J39*100-100</f>
        <v>-15.4332027603535</v>
      </c>
      <c r="L39" s="200" t="n">
        <v>0</v>
      </c>
      <c r="M39" s="200" t="n">
        <v>0</v>
      </c>
      <c r="N39" s="201" t="n">
        <v>0</v>
      </c>
      <c r="O39" s="203" t="n">
        <v>33</v>
      </c>
      <c r="P39" s="204" t="n">
        <v>90</v>
      </c>
      <c r="Q39" s="203" t="n">
        <v>34</v>
      </c>
      <c r="R39" s="202" t="n">
        <f aca="false">O39*P39</f>
        <v>2970</v>
      </c>
    </row>
    <row r="40" customFormat="false" ht="15" hidden="false" customHeight="false" outlineLevel="0" collapsed="false">
      <c r="A40" s="198" t="n">
        <v>4</v>
      </c>
      <c r="B40" s="199" t="s">
        <v>215</v>
      </c>
      <c r="C40" s="200" t="n">
        <v>21830</v>
      </c>
      <c r="D40" s="200" t="n">
        <v>17250</v>
      </c>
      <c r="E40" s="201" t="n">
        <f aca="false">C40/D40*100-100</f>
        <v>26.5507246376812</v>
      </c>
      <c r="F40" s="200" t="n">
        <v>3200</v>
      </c>
      <c r="G40" s="200" t="n">
        <v>4550</v>
      </c>
      <c r="H40" s="201" t="n">
        <f aca="false">F40/G40*100-100</f>
        <v>-29.6703296703297</v>
      </c>
      <c r="I40" s="200" t="n">
        <v>23697</v>
      </c>
      <c r="J40" s="200" t="n">
        <v>16541</v>
      </c>
      <c r="K40" s="201" t="n">
        <f aca="false">I40/J40*100-100</f>
        <v>43.262196965117</v>
      </c>
      <c r="L40" s="200" t="n">
        <v>23697</v>
      </c>
      <c r="M40" s="200" t="n">
        <v>16541</v>
      </c>
      <c r="N40" s="201" t="n">
        <v>0</v>
      </c>
      <c r="O40" s="203" t="n">
        <v>14</v>
      </c>
      <c r="P40" s="204" t="n">
        <v>60</v>
      </c>
      <c r="Q40" s="203" t="n">
        <v>14</v>
      </c>
      <c r="R40" s="202" t="n">
        <f aca="false">O40*P40</f>
        <v>840</v>
      </c>
    </row>
    <row r="41" customFormat="false" ht="15" hidden="false" customHeight="false" outlineLevel="0" collapsed="false">
      <c r="A41" s="198" t="n">
        <v>5</v>
      </c>
      <c r="B41" s="199" t="s">
        <v>248</v>
      </c>
      <c r="C41" s="206" t="n">
        <v>34520</v>
      </c>
      <c r="D41" s="206" t="n">
        <v>44595</v>
      </c>
      <c r="E41" s="201" t="n">
        <f aca="false">C41/D41*100-100</f>
        <v>-22.5922188586164</v>
      </c>
      <c r="F41" s="206" t="n">
        <v>3189</v>
      </c>
      <c r="G41" s="206" t="n">
        <v>4653</v>
      </c>
      <c r="H41" s="201" t="n">
        <f aca="false">F41/G41*100-100</f>
        <v>-31.4635718891038</v>
      </c>
      <c r="I41" s="206" t="n">
        <v>51167</v>
      </c>
      <c r="J41" s="206" t="n">
        <v>48765</v>
      </c>
      <c r="K41" s="201" t="n">
        <f aca="false">I41/J41*100-100</f>
        <v>4.9256638982877</v>
      </c>
      <c r="L41" s="206" t="n">
        <v>5695</v>
      </c>
      <c r="M41" s="206" t="n">
        <f aca="false">7464+3044</f>
        <v>10508</v>
      </c>
      <c r="N41" s="201" t="n">
        <f aca="false">L41/M41*100-100</f>
        <v>-45.8031975637609</v>
      </c>
      <c r="O41" s="203" t="n">
        <v>58</v>
      </c>
      <c r="P41" s="204" t="n">
        <v>68</v>
      </c>
      <c r="Q41" s="203" t="n">
        <v>58</v>
      </c>
      <c r="R41" s="202" t="n">
        <f aca="false">O41*P41</f>
        <v>3944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119014</v>
      </c>
      <c r="D42" s="200" t="n">
        <v>83832</v>
      </c>
      <c r="E42" s="201" t="n">
        <f aca="false">C42/D42*100-100</f>
        <v>41.9672678690715</v>
      </c>
      <c r="F42" s="200" t="n">
        <v>13745</v>
      </c>
      <c r="G42" s="200" t="n">
        <v>9394</v>
      </c>
      <c r="H42" s="201" t="n">
        <f aca="false">F42/G42*100-100</f>
        <v>46.3167979561422</v>
      </c>
      <c r="I42" s="200" t="n">
        <v>109912</v>
      </c>
      <c r="J42" s="200" t="n">
        <v>84554</v>
      </c>
      <c r="K42" s="201" t="n">
        <f aca="false">I42/J42*100-100</f>
        <v>29.9903020554912</v>
      </c>
      <c r="L42" s="200" t="n">
        <v>0</v>
      </c>
      <c r="M42" s="200" t="n">
        <v>1888</v>
      </c>
      <c r="N42" s="201" t="n">
        <v>0</v>
      </c>
      <c r="O42" s="203" t="n">
        <v>67</v>
      </c>
      <c r="P42" s="204" t="n">
        <v>85</v>
      </c>
      <c r="Q42" s="203" t="n">
        <v>66</v>
      </c>
      <c r="R42" s="202" t="n">
        <f aca="false">O42*P42</f>
        <v>5695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0</v>
      </c>
      <c r="D43" s="200" t="n">
        <v>0</v>
      </c>
      <c r="E43" s="201" t="n">
        <v>0</v>
      </c>
      <c r="F43" s="200" t="n">
        <v>0</v>
      </c>
      <c r="G43" s="200" t="n">
        <v>0</v>
      </c>
      <c r="H43" s="201" t="n">
        <v>0</v>
      </c>
      <c r="I43" s="200" t="n">
        <v>0</v>
      </c>
      <c r="J43" s="200" t="n">
        <v>0</v>
      </c>
      <c r="K43" s="201" t="n">
        <v>0</v>
      </c>
      <c r="L43" s="200" t="n">
        <v>0</v>
      </c>
      <c r="M43" s="200" t="n">
        <v>0</v>
      </c>
      <c r="N43" s="201" t="n">
        <v>0</v>
      </c>
      <c r="O43" s="203" t="n">
        <v>0</v>
      </c>
      <c r="P43" s="204" t="n">
        <v>0</v>
      </c>
      <c r="Q43" s="203" t="n">
        <v>0</v>
      </c>
      <c r="R43" s="202" t="n">
        <f aca="false">O43*P43</f>
        <v>0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6" t="n">
        <v>109259</v>
      </c>
      <c r="D44" s="206" t="n">
        <v>87007</v>
      </c>
      <c r="E44" s="201" t="n">
        <f aca="false">C44/D44*100-100</f>
        <v>25.5749537393543</v>
      </c>
      <c r="F44" s="206" t="n">
        <v>4865</v>
      </c>
      <c r="G44" s="206" t="n">
        <v>10959</v>
      </c>
      <c r="H44" s="201" t="n">
        <f aca="false">F44/G44*100-100</f>
        <v>-55.6072634364449</v>
      </c>
      <c r="I44" s="206" t="n">
        <v>109259</v>
      </c>
      <c r="J44" s="206" t="n">
        <v>89402</v>
      </c>
      <c r="K44" s="201" t="n">
        <f aca="false">I44/J44*100-100</f>
        <v>22.2109125075502</v>
      </c>
      <c r="L44" s="200" t="n">
        <v>0</v>
      </c>
      <c r="M44" s="200" t="n">
        <v>0</v>
      </c>
      <c r="N44" s="201" t="n">
        <v>0</v>
      </c>
      <c r="O44" s="203" t="n">
        <v>43</v>
      </c>
      <c r="P44" s="204" t="n">
        <v>110</v>
      </c>
      <c r="Q44" s="203" t="n">
        <v>46</v>
      </c>
      <c r="R44" s="202" t="n">
        <f aca="false">O44*P44</f>
        <v>4730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242045</v>
      </c>
      <c r="D45" s="200" t="n">
        <v>251761</v>
      </c>
      <c r="E45" s="201" t="n">
        <f aca="false">C45/D45*100-100</f>
        <v>-3.85921568471686</v>
      </c>
      <c r="F45" s="208" t="n">
        <v>15755</v>
      </c>
      <c r="G45" s="200" t="n">
        <v>38002</v>
      </c>
      <c r="H45" s="201" t="n">
        <f aca="false">F45/G45*100-100</f>
        <v>-58.5416557023315</v>
      </c>
      <c r="I45" s="200" t="n">
        <v>216840</v>
      </c>
      <c r="J45" s="200" t="n">
        <v>203006</v>
      </c>
      <c r="K45" s="201" t="n">
        <f aca="false">I45/J45*100-100</f>
        <v>6.81457690905687</v>
      </c>
      <c r="L45" s="200" t="n">
        <v>0</v>
      </c>
      <c r="M45" s="200" t="n">
        <v>0</v>
      </c>
      <c r="N45" s="201" t="n">
        <v>0</v>
      </c>
      <c r="O45" s="203" t="n">
        <v>68</v>
      </c>
      <c r="P45" s="204" t="n">
        <v>140</v>
      </c>
      <c r="Q45" s="203" t="n">
        <v>69</v>
      </c>
      <c r="R45" s="202" t="n">
        <f aca="false">O45*P45</f>
        <v>9520</v>
      </c>
    </row>
    <row r="46" customFormat="false" ht="15" hidden="false" customHeight="false" outlineLevel="0" collapsed="false">
      <c r="A46" s="210" t="n">
        <v>10</v>
      </c>
      <c r="B46" s="199" t="s">
        <v>47</v>
      </c>
      <c r="C46" s="208" t="n">
        <v>615082</v>
      </c>
      <c r="D46" s="200" t="n">
        <v>905649</v>
      </c>
      <c r="E46" s="201" t="n">
        <f aca="false">C46/D46*100-100</f>
        <v>-32.0838426366064</v>
      </c>
      <c r="F46" s="208" t="n">
        <v>74704</v>
      </c>
      <c r="G46" s="200" t="n">
        <v>98829</v>
      </c>
      <c r="H46" s="201" t="n">
        <f aca="false">F46/G46*100-100</f>
        <v>-24.4108510659827</v>
      </c>
      <c r="I46" s="200" t="n">
        <v>618999</v>
      </c>
      <c r="J46" s="200" t="n">
        <v>821088</v>
      </c>
      <c r="K46" s="201" t="n">
        <f aca="false">I46/J46*100-100</f>
        <v>-24.6123436221209</v>
      </c>
      <c r="L46" s="200" t="n">
        <v>616398</v>
      </c>
      <c r="M46" s="200" t="n">
        <v>815732</v>
      </c>
      <c r="N46" s="201" t="n">
        <f aca="false">L46/M46*100-100</f>
        <v>-24.4362118931218</v>
      </c>
      <c r="O46" s="203" t="n">
        <v>180</v>
      </c>
      <c r="P46" s="204" t="n">
        <v>84</v>
      </c>
      <c r="Q46" s="203" t="n">
        <v>180</v>
      </c>
      <c r="R46" s="202" t="n">
        <f aca="false">O46*P46</f>
        <v>15120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14488</v>
      </c>
      <c r="D47" s="200" t="n">
        <v>23882</v>
      </c>
      <c r="E47" s="201" t="n">
        <f aca="false">C47/D47*100-100</f>
        <v>-39.3350640649862</v>
      </c>
      <c r="F47" s="200" t="n">
        <v>12717</v>
      </c>
      <c r="G47" s="200" t="n">
        <v>167</v>
      </c>
      <c r="H47" s="201" t="n">
        <v>0</v>
      </c>
      <c r="I47" s="200" t="n">
        <v>20509</v>
      </c>
      <c r="J47" s="200" t="n">
        <v>30807</v>
      </c>
      <c r="K47" s="201" t="n">
        <v>0</v>
      </c>
      <c r="L47" s="208" t="n">
        <v>20509</v>
      </c>
      <c r="M47" s="200" t="n">
        <v>30807</v>
      </c>
      <c r="N47" s="201" t="n">
        <v>0</v>
      </c>
      <c r="O47" s="203" t="n">
        <v>24</v>
      </c>
      <c r="P47" s="204" t="n">
        <v>80</v>
      </c>
      <c r="Q47" s="203" t="n">
        <v>25</v>
      </c>
      <c r="R47" s="202" t="n">
        <f aca="false">O47*P47</f>
        <v>1920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67552</v>
      </c>
      <c r="D48" s="200" t="n">
        <v>85499</v>
      </c>
      <c r="E48" s="201" t="n">
        <f aca="false">C48/D48*100-100</f>
        <v>-20.9908887823249</v>
      </c>
      <c r="F48" s="212" t="n">
        <v>2581</v>
      </c>
      <c r="G48" s="212" t="n">
        <v>9972</v>
      </c>
      <c r="H48" s="201" t="n">
        <f aca="false">F48/G48*100-100</f>
        <v>-74.117529081428</v>
      </c>
      <c r="I48" s="212" t="n">
        <v>78290</v>
      </c>
      <c r="J48" s="212" t="n">
        <v>85516</v>
      </c>
      <c r="K48" s="201" t="n">
        <f aca="false">I48/J48*100-100</f>
        <v>-8.44988072407503</v>
      </c>
      <c r="L48" s="213" t="n">
        <v>69431</v>
      </c>
      <c r="M48" s="212" t="n">
        <v>79955</v>
      </c>
      <c r="N48" s="201" t="n">
        <f aca="false">L48/M48*100-100</f>
        <v>-13.1624038521668</v>
      </c>
      <c r="O48" s="203" t="n">
        <v>27</v>
      </c>
      <c r="P48" s="204" t="n">
        <v>138</v>
      </c>
      <c r="Q48" s="203" t="n">
        <v>27</v>
      </c>
      <c r="R48" s="202" t="n">
        <f aca="false">O48*P48</f>
        <v>3726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275736</v>
      </c>
      <c r="D49" s="207" t="n">
        <v>299668</v>
      </c>
      <c r="E49" s="201" t="n">
        <f aca="false">C49/D49*100-100</f>
        <v>-7.98617136297503</v>
      </c>
      <c r="F49" s="207" t="n">
        <v>39357</v>
      </c>
      <c r="G49" s="207" t="n">
        <v>14532</v>
      </c>
      <c r="H49" s="201" t="n">
        <f aca="false">F49/G49*100-100</f>
        <v>170.829892650702</v>
      </c>
      <c r="I49" s="200" t="n">
        <v>269779</v>
      </c>
      <c r="J49" s="200" t="n">
        <v>290841</v>
      </c>
      <c r="K49" s="201" t="n">
        <f aca="false">I49/J49*100-100</f>
        <v>-7.24175752387043</v>
      </c>
      <c r="L49" s="207" t="n">
        <v>0</v>
      </c>
      <c r="M49" s="207" t="n">
        <v>3429</v>
      </c>
      <c r="N49" s="201" t="n">
        <v>0</v>
      </c>
      <c r="O49" s="203" t="n">
        <v>65</v>
      </c>
      <c r="P49" s="204" t="n">
        <v>150</v>
      </c>
      <c r="Q49" s="203" t="n">
        <v>65</v>
      </c>
      <c r="R49" s="202" t="n">
        <f aca="false">O49*P49</f>
        <v>9750</v>
      </c>
    </row>
    <row r="50" customFormat="false" ht="15" hidden="false" customHeight="false" outlineLevel="0" collapsed="false">
      <c r="A50" s="198" t="n">
        <v>14</v>
      </c>
      <c r="B50" s="199" t="s">
        <v>216</v>
      </c>
      <c r="C50" s="203" t="n">
        <v>17268</v>
      </c>
      <c r="D50" s="203" t="n">
        <v>14415</v>
      </c>
      <c r="E50" s="201" t="n">
        <f aca="false">C50/D50*100-100</f>
        <v>19.7918834547347</v>
      </c>
      <c r="F50" s="203" t="n">
        <v>2484</v>
      </c>
      <c r="G50" s="203" t="n">
        <v>988</v>
      </c>
      <c r="H50" s="201" t="n">
        <v>0</v>
      </c>
      <c r="I50" s="203" t="n">
        <v>17327</v>
      </c>
      <c r="J50" s="203" t="n">
        <v>16367</v>
      </c>
      <c r="K50" s="201" t="n">
        <f aca="false">I50/J50*100-100</f>
        <v>5.86546098857457</v>
      </c>
      <c r="L50" s="203" t="n">
        <v>1576</v>
      </c>
      <c r="M50" s="203" t="n">
        <v>0</v>
      </c>
      <c r="N50" s="201" t="n">
        <v>0</v>
      </c>
      <c r="O50" s="203" t="n">
        <v>14</v>
      </c>
      <c r="P50" s="204" t="n">
        <v>80</v>
      </c>
      <c r="Q50" s="203" t="n">
        <v>14</v>
      </c>
      <c r="R50" s="202" t="n">
        <f aca="false">O50*P50</f>
        <v>1120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199015</v>
      </c>
      <c r="D51" s="203" t="n">
        <v>306053</v>
      </c>
      <c r="E51" s="203" t="n">
        <f aca="false">C51/D51*100-100</f>
        <v>-34.9736810291028</v>
      </c>
      <c r="F51" s="203" t="n">
        <v>23420</v>
      </c>
      <c r="G51" s="203" t="n">
        <v>30110</v>
      </c>
      <c r="H51" s="203" t="n">
        <f aca="false">F51/G51*100-100</f>
        <v>-22.2185320491531</v>
      </c>
      <c r="I51" s="203" t="n">
        <v>173032</v>
      </c>
      <c r="J51" s="203" t="n">
        <v>448305</v>
      </c>
      <c r="K51" s="203" t="n">
        <f aca="false">I51/J51*100-100</f>
        <v>-61.4030626470818</v>
      </c>
      <c r="L51" s="203" t="n">
        <v>166156</v>
      </c>
      <c r="M51" s="203" t="n">
        <v>422670</v>
      </c>
      <c r="N51" s="201" t="n">
        <f aca="false">L51/M51*100-100</f>
        <v>-60.6889535571486</v>
      </c>
      <c r="O51" s="203" t="n">
        <v>56</v>
      </c>
      <c r="P51" s="204" t="n">
        <v>114</v>
      </c>
      <c r="Q51" s="203" t="n">
        <v>57</v>
      </c>
      <c r="R51" s="202" t="n">
        <f aca="false">O51*P51</f>
        <v>6384</v>
      </c>
    </row>
    <row r="52" customFormat="false" ht="15" hidden="false" customHeight="false" outlineLevel="0" collapsed="false">
      <c r="A52" s="198" t="n">
        <v>16</v>
      </c>
      <c r="B52" s="199" t="s">
        <v>53</v>
      </c>
      <c r="C52" s="200" t="n">
        <v>2744</v>
      </c>
      <c r="D52" s="209" t="n">
        <v>3106</v>
      </c>
      <c r="E52" s="201" t="n">
        <f aca="false">C52/D52*100-100</f>
        <v>-11.6548615582743</v>
      </c>
      <c r="F52" s="200" t="n">
        <v>250</v>
      </c>
      <c r="G52" s="200" t="n">
        <v>0</v>
      </c>
      <c r="H52" s="201" t="n">
        <v>0</v>
      </c>
      <c r="I52" s="200" t="n">
        <v>2744</v>
      </c>
      <c r="J52" s="200" t="n">
        <v>3106</v>
      </c>
      <c r="K52" s="201" t="n">
        <f aca="false">I52/J52*100-100</f>
        <v>-11.6548615582743</v>
      </c>
      <c r="L52" s="200" t="n">
        <v>0</v>
      </c>
      <c r="M52" s="200" t="n">
        <v>0</v>
      </c>
      <c r="N52" s="201" t="n">
        <v>0</v>
      </c>
      <c r="O52" s="203" t="n">
        <v>3</v>
      </c>
      <c r="P52" s="204" t="n">
        <v>45</v>
      </c>
      <c r="Q52" s="203" t="n">
        <v>3</v>
      </c>
      <c r="R52" s="202" t="n">
        <f aca="false">O52*P52</f>
        <v>135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17421</v>
      </c>
      <c r="D53" s="203" t="n">
        <v>700750</v>
      </c>
      <c r="E53" s="201" t="n">
        <f aca="false">C53/D53*100-100</f>
        <v>-97.5139493399929</v>
      </c>
      <c r="F53" s="203" t="n">
        <v>0</v>
      </c>
      <c r="G53" s="203" t="n">
        <v>6500</v>
      </c>
      <c r="H53" s="201" t="n">
        <f aca="false">F53/G53*100-100</f>
        <v>-100</v>
      </c>
      <c r="I53" s="203" t="n">
        <v>61100</v>
      </c>
      <c r="J53" s="203" t="n">
        <v>61100</v>
      </c>
      <c r="K53" s="223" t="n">
        <f aca="false">I53/J53*100-100</f>
        <v>0</v>
      </c>
      <c r="L53" s="203" t="n">
        <v>0</v>
      </c>
      <c r="M53" s="203" t="n">
        <v>0</v>
      </c>
      <c r="N53" s="201" t="n">
        <v>0</v>
      </c>
      <c r="O53" s="203" t="n">
        <v>4</v>
      </c>
      <c r="P53" s="204" t="n">
        <v>70</v>
      </c>
      <c r="Q53" s="203" t="n">
        <v>4</v>
      </c>
      <c r="R53" s="202" t="n">
        <f aca="false">O53*P53</f>
        <v>280</v>
      </c>
    </row>
    <row r="54" customFormat="false" ht="15" hidden="false" customHeight="false" outlineLevel="0" collapsed="false">
      <c r="A54" s="198" t="n">
        <v>18</v>
      </c>
      <c r="B54" s="220" t="s">
        <v>231</v>
      </c>
      <c r="C54" s="203" t="n">
        <v>589189</v>
      </c>
      <c r="D54" s="203" t="n">
        <v>0</v>
      </c>
      <c r="E54" s="201" t="n">
        <v>0</v>
      </c>
      <c r="F54" s="203" t="n">
        <v>0</v>
      </c>
      <c r="G54" s="203" t="n">
        <v>0</v>
      </c>
      <c r="H54" s="201" t="n">
        <v>0</v>
      </c>
      <c r="I54" s="203" t="n">
        <v>589189</v>
      </c>
      <c r="J54" s="203" t="n">
        <v>0</v>
      </c>
      <c r="K54" s="201" t="n">
        <v>0</v>
      </c>
      <c r="L54" s="203" t="n">
        <f aca="false">553369+4875</f>
        <v>558244</v>
      </c>
      <c r="M54" s="203" t="n">
        <v>0</v>
      </c>
      <c r="N54" s="201" t="n">
        <v>0</v>
      </c>
      <c r="O54" s="203" t="n">
        <v>125</v>
      </c>
      <c r="P54" s="204" t="n">
        <v>85</v>
      </c>
      <c r="Q54" s="203" t="n">
        <v>117</v>
      </c>
      <c r="R54" s="202" t="n">
        <f aca="false">O54*P54</f>
        <v>10625</v>
      </c>
    </row>
    <row r="55" customFormat="false" ht="15" hidden="false" customHeight="false" outlineLevel="0" collapsed="false">
      <c r="A55" s="215" t="s">
        <v>55</v>
      </c>
      <c r="B55" s="215"/>
      <c r="C55" s="216" t="n">
        <f aca="false">SUM(C37:C54)</f>
        <v>2770668</v>
      </c>
      <c r="D55" s="216" t="n">
        <f aca="false">SUM(D37:D54)</f>
        <v>3367409</v>
      </c>
      <c r="E55" s="313" t="n">
        <f aca="false">C55/D55*100-100</f>
        <v>-17.7210727891979</v>
      </c>
      <c r="F55" s="216" t="n">
        <f aca="false">SUM(F37:F54)</f>
        <v>271897</v>
      </c>
      <c r="G55" s="216" t="n">
        <f aca="false">SUM(G37:G54)</f>
        <v>310802</v>
      </c>
      <c r="H55" s="313" t="n">
        <f aca="false">F55/G55*100-100</f>
        <v>-12.5176157167586</v>
      </c>
      <c r="I55" s="216" t="n">
        <f aca="false">SUM(I37:I54)</f>
        <v>2823059</v>
      </c>
      <c r="J55" s="216" t="n">
        <f aca="false">SUM(J37:J54)</f>
        <v>2778853</v>
      </c>
      <c r="K55" s="313" t="n">
        <f aca="false">I55/J55*100-100</f>
        <v>1.59080023304578</v>
      </c>
      <c r="L55" s="216" t="n">
        <f aca="false">SUM(L37:L54)</f>
        <v>1634040</v>
      </c>
      <c r="M55" s="216" t="n">
        <f aca="false">SUM(M37:M54)</f>
        <v>1578989</v>
      </c>
      <c r="N55" s="313" t="n">
        <f aca="false">L55/M55*100-100</f>
        <v>3.48647140670391</v>
      </c>
      <c r="O55" s="216" t="n">
        <f aca="false">SUM(O37:O54)</f>
        <v>949</v>
      </c>
      <c r="P55" s="217" t="n">
        <f aca="false">R55/O55</f>
        <v>107.571127502634</v>
      </c>
      <c r="Q55" s="216" t="n">
        <f aca="false">SUM(Q37:Q54)</f>
        <v>952</v>
      </c>
      <c r="R55" s="216" t="n">
        <f aca="false">SUM(R37:R54)</f>
        <v>102085</v>
      </c>
    </row>
    <row r="56" customFormat="false" ht="15" hidden="false" customHeight="false" outlineLevel="0" collapsed="false">
      <c r="A56" s="203"/>
      <c r="B56" s="218"/>
      <c r="C56" s="203"/>
      <c r="D56" s="203"/>
      <c r="E56" s="203"/>
      <c r="F56" s="203"/>
      <c r="G56" s="203"/>
      <c r="H56" s="203"/>
      <c r="I56" s="203"/>
      <c r="J56" s="203"/>
      <c r="K56" s="192"/>
      <c r="L56" s="203"/>
      <c r="M56" s="203"/>
      <c r="N56" s="203"/>
      <c r="O56" s="203"/>
      <c r="P56" s="219"/>
      <c r="Q56" s="203"/>
      <c r="R56" s="197"/>
    </row>
    <row r="57" customFormat="false" ht="15" hidden="false" customHeight="false" outlineLevel="0" collapsed="false">
      <c r="A57" s="195" t="s">
        <v>56</v>
      </c>
      <c r="B57" s="195"/>
      <c r="C57" s="195" t="n">
        <v>3</v>
      </c>
      <c r="D57" s="195" t="n">
        <v>4</v>
      </c>
      <c r="E57" s="196" t="n">
        <v>5</v>
      </c>
      <c r="F57" s="195" t="n">
        <v>6</v>
      </c>
      <c r="G57" s="195" t="n">
        <v>7</v>
      </c>
      <c r="H57" s="195" t="n">
        <v>8</v>
      </c>
      <c r="I57" s="195" t="n">
        <v>9</v>
      </c>
      <c r="J57" s="195" t="n">
        <v>10</v>
      </c>
      <c r="K57" s="195" t="n">
        <v>11</v>
      </c>
      <c r="L57" s="195" t="n">
        <v>12</v>
      </c>
      <c r="M57" s="195" t="n">
        <v>13</v>
      </c>
      <c r="N57" s="195" t="n">
        <v>14</v>
      </c>
      <c r="O57" s="195" t="n">
        <v>15</v>
      </c>
      <c r="P57" s="196" t="n">
        <v>16</v>
      </c>
      <c r="Q57" s="195" t="n">
        <v>17</v>
      </c>
      <c r="R57" s="197"/>
    </row>
    <row r="58" customFormat="false" ht="15" hidden="false" customHeight="false" outlineLevel="0" collapsed="false">
      <c r="A58" s="204" t="n">
        <v>1</v>
      </c>
      <c r="B58" s="220" t="s">
        <v>57</v>
      </c>
      <c r="C58" s="221" t="n">
        <v>421687</v>
      </c>
      <c r="D58" s="222" t="n">
        <v>455322</v>
      </c>
      <c r="E58" s="201" t="n">
        <f aca="false">C58/D58*100-100</f>
        <v>-7.38707991267718</v>
      </c>
      <c r="F58" s="222" t="n">
        <v>52166</v>
      </c>
      <c r="G58" s="223" t="n">
        <v>31439</v>
      </c>
      <c r="H58" s="223" t="n">
        <f aca="false">F58/G58*100-100</f>
        <v>65.9276694551353</v>
      </c>
      <c r="I58" s="222" t="n">
        <v>436253</v>
      </c>
      <c r="J58" s="222" t="n">
        <v>430356</v>
      </c>
      <c r="K58" s="201" t="n">
        <f aca="false">I58/J58*100-100</f>
        <v>1.37026090027791</v>
      </c>
      <c r="L58" s="222" t="n">
        <v>432803</v>
      </c>
      <c r="M58" s="222" t="n">
        <v>429113</v>
      </c>
      <c r="N58" s="201" t="n">
        <f aca="false">L58/M58*100-100</f>
        <v>0.859913356155602</v>
      </c>
      <c r="O58" s="223" t="n">
        <v>158</v>
      </c>
      <c r="P58" s="222" t="n">
        <v>90</v>
      </c>
      <c r="Q58" s="223" t="n">
        <v>158</v>
      </c>
      <c r="R58" s="202" t="n">
        <f aca="false">O58*P58</f>
        <v>14220</v>
      </c>
    </row>
    <row r="59" customFormat="false" ht="15" hidden="false" customHeight="false" outlineLevel="0" collapsed="false">
      <c r="A59" s="224" t="n">
        <v>2</v>
      </c>
      <c r="B59" s="220" t="s">
        <v>58</v>
      </c>
      <c r="C59" s="200" t="n">
        <v>76801</v>
      </c>
      <c r="D59" s="200" t="n">
        <v>127769</v>
      </c>
      <c r="E59" s="201" t="n">
        <f aca="false">C59/D59*100-100</f>
        <v>-39.890740320422</v>
      </c>
      <c r="F59" s="223" t="n">
        <v>6793</v>
      </c>
      <c r="G59" s="223" t="n">
        <v>5868</v>
      </c>
      <c r="H59" s="223" t="n">
        <f aca="false">F59/G59*100-100</f>
        <v>15.7634628493524</v>
      </c>
      <c r="I59" s="223" t="n">
        <v>57223</v>
      </c>
      <c r="J59" s="223" t="n">
        <v>137158</v>
      </c>
      <c r="K59" s="201" t="n">
        <f aca="false">I59/J59*100-100</f>
        <v>-58.2795024716021</v>
      </c>
      <c r="L59" s="223" t="n">
        <v>0</v>
      </c>
      <c r="M59" s="223" t="n">
        <v>0</v>
      </c>
      <c r="N59" s="201" t="n">
        <v>0</v>
      </c>
      <c r="O59" s="223" t="n">
        <v>103</v>
      </c>
      <c r="P59" s="223" t="n">
        <v>105</v>
      </c>
      <c r="Q59" s="223" t="n">
        <v>103</v>
      </c>
      <c r="R59" s="202" t="n">
        <f aca="false">O59*P59</f>
        <v>10815</v>
      </c>
    </row>
    <row r="60" customFormat="false" ht="15" hidden="false" customHeight="false" outlineLevel="0" collapsed="false">
      <c r="A60" s="224" t="n">
        <v>3</v>
      </c>
      <c r="B60" s="220" t="s">
        <v>59</v>
      </c>
      <c r="C60" s="223" t="n">
        <v>286963</v>
      </c>
      <c r="D60" s="223" t="n">
        <v>239967</v>
      </c>
      <c r="E60" s="201" t="n">
        <f aca="false">C60/D60*100-100</f>
        <v>19.5843595161001</v>
      </c>
      <c r="F60" s="223" t="n">
        <v>33138</v>
      </c>
      <c r="G60" s="223" t="n">
        <v>39821</v>
      </c>
      <c r="H60" s="201" t="n">
        <f aca="false">F60/G60*100-100</f>
        <v>-16.7826021445971</v>
      </c>
      <c r="I60" s="223" t="n">
        <v>286963</v>
      </c>
      <c r="J60" s="223" t="n">
        <v>239967</v>
      </c>
      <c r="K60" s="201" t="n">
        <v>0</v>
      </c>
      <c r="L60" s="223" t="n">
        <v>0</v>
      </c>
      <c r="M60" s="223" t="n">
        <v>0</v>
      </c>
      <c r="N60" s="201" t="n">
        <v>0</v>
      </c>
      <c r="O60" s="223" t="n">
        <v>114</v>
      </c>
      <c r="P60" s="223" t="n">
        <v>170</v>
      </c>
      <c r="Q60" s="223" t="n">
        <v>111</v>
      </c>
      <c r="R60" s="202" t="n">
        <f aca="false">O60*P60</f>
        <v>19380</v>
      </c>
    </row>
    <row r="61" customFormat="false" ht="15" hidden="false" customHeight="false" outlineLevel="0" collapsed="false">
      <c r="A61" s="204" t="n">
        <v>4</v>
      </c>
      <c r="B61" s="220" t="s">
        <v>60</v>
      </c>
      <c r="C61" s="223" t="n">
        <v>284749</v>
      </c>
      <c r="D61" s="223" t="n">
        <v>242716</v>
      </c>
      <c r="E61" s="201" t="n">
        <f aca="false">C61/D61*100-100</f>
        <v>17.3177705631273</v>
      </c>
      <c r="F61" s="223" t="n">
        <v>20418</v>
      </c>
      <c r="G61" s="223" t="n">
        <v>33161</v>
      </c>
      <c r="H61" s="201" t="n">
        <f aca="false">F61/G61*100-100</f>
        <v>-38.427671059377</v>
      </c>
      <c r="I61" s="206" t="n">
        <v>285646</v>
      </c>
      <c r="J61" s="206" t="n">
        <v>257078</v>
      </c>
      <c r="K61" s="201" t="n">
        <f aca="false">I61/J61*100-100</f>
        <v>11.1125806175558</v>
      </c>
      <c r="L61" s="223" t="n">
        <f aca="false">82485+2620</f>
        <v>85105</v>
      </c>
      <c r="M61" s="223" t="n">
        <f aca="false">113191+5538</f>
        <v>118729</v>
      </c>
      <c r="N61" s="201" t="n">
        <v>0</v>
      </c>
      <c r="O61" s="223" t="n">
        <v>70</v>
      </c>
      <c r="P61" s="223" t="n">
        <v>124</v>
      </c>
      <c r="Q61" s="223" t="n">
        <v>70</v>
      </c>
      <c r="R61" s="202" t="n">
        <f aca="false">O61*P61</f>
        <v>8680</v>
      </c>
    </row>
    <row r="62" customFormat="false" ht="15" hidden="false" customHeight="false" outlineLevel="0" collapsed="false">
      <c r="A62" s="224" t="n">
        <v>5</v>
      </c>
      <c r="B62" s="220" t="s">
        <v>61</v>
      </c>
      <c r="C62" s="200" t="n">
        <v>0</v>
      </c>
      <c r="D62" s="200" t="n">
        <v>0</v>
      </c>
      <c r="E62" s="201" t="n">
        <v>0</v>
      </c>
      <c r="F62" s="200" t="n">
        <v>0</v>
      </c>
      <c r="G62" s="200" t="n">
        <v>0</v>
      </c>
      <c r="H62" s="201" t="n">
        <v>0</v>
      </c>
      <c r="I62" s="200" t="n">
        <v>0</v>
      </c>
      <c r="J62" s="200" t="n">
        <v>0</v>
      </c>
      <c r="K62" s="201" t="n">
        <v>0</v>
      </c>
      <c r="L62" s="200" t="n">
        <v>0</v>
      </c>
      <c r="M62" s="200" t="n">
        <v>0</v>
      </c>
      <c r="N62" s="201" t="n">
        <v>0</v>
      </c>
      <c r="O62" s="203" t="n">
        <v>0</v>
      </c>
      <c r="P62" s="204" t="n">
        <v>0</v>
      </c>
      <c r="Q62" s="203" t="n">
        <v>0</v>
      </c>
      <c r="R62" s="202" t="n">
        <f aca="false">O62*P62</f>
        <v>0</v>
      </c>
    </row>
    <row r="63" customFormat="false" ht="15" hidden="false" customHeight="false" outlineLevel="0" collapsed="false">
      <c r="A63" s="224" t="n">
        <v>6</v>
      </c>
      <c r="B63" s="220" t="s">
        <v>217</v>
      </c>
      <c r="C63" s="223" t="n">
        <v>45550</v>
      </c>
      <c r="D63" s="223" t="n">
        <v>45693</v>
      </c>
      <c r="E63" s="201" t="n">
        <f aca="false">C63/D63*100-100</f>
        <v>-0.312958221171726</v>
      </c>
      <c r="F63" s="223" t="n">
        <v>6262</v>
      </c>
      <c r="G63" s="223" t="n">
        <v>5524</v>
      </c>
      <c r="H63" s="201" t="n">
        <f aca="false">F63/G63*100-100</f>
        <v>13.3598841419261</v>
      </c>
      <c r="I63" s="223" t="n">
        <v>45041</v>
      </c>
      <c r="J63" s="223" t="n">
        <v>47493</v>
      </c>
      <c r="K63" s="201" t="n">
        <f aca="false">I63/J63*100-100</f>
        <v>-5.16286610658413</v>
      </c>
      <c r="L63" s="223" t="n">
        <v>45041</v>
      </c>
      <c r="M63" s="223" t="n">
        <v>47358</v>
      </c>
      <c r="N63" s="201" t="n">
        <f aca="false">L63/M63*100-100</f>
        <v>-4.89252079902023</v>
      </c>
      <c r="O63" s="223" t="n">
        <v>42</v>
      </c>
      <c r="P63" s="223" t="n">
        <v>63</v>
      </c>
      <c r="Q63" s="223" t="n">
        <v>42</v>
      </c>
      <c r="R63" s="202" t="n">
        <f aca="false">O63*P63</f>
        <v>2646</v>
      </c>
    </row>
    <row r="64" customFormat="false" ht="15" hidden="false" customHeight="false" outlineLevel="0" collapsed="false">
      <c r="A64" s="204" t="n">
        <v>7</v>
      </c>
      <c r="B64" s="220" t="s">
        <v>63</v>
      </c>
      <c r="C64" s="200" t="n">
        <v>40153</v>
      </c>
      <c r="D64" s="200" t="n">
        <v>45713</v>
      </c>
      <c r="E64" s="201" t="n">
        <f aca="false">C64/D64*100-100</f>
        <v>-12.1628420799335</v>
      </c>
      <c r="F64" s="200" t="n">
        <v>4015</v>
      </c>
      <c r="G64" s="200" t="n">
        <v>2867</v>
      </c>
      <c r="H64" s="201" t="n">
        <v>0</v>
      </c>
      <c r="I64" s="200" t="n">
        <v>57676</v>
      </c>
      <c r="J64" s="200" t="n">
        <v>59980</v>
      </c>
      <c r="K64" s="201" t="n">
        <f aca="false">I64/J64*100-100</f>
        <v>-3.84128042680894</v>
      </c>
      <c r="L64" s="225" t="n">
        <v>57637</v>
      </c>
      <c r="M64" s="200" t="n">
        <v>59826</v>
      </c>
      <c r="N64" s="201" t="n">
        <f aca="false">L64/M64*100-100</f>
        <v>-3.65894427172132</v>
      </c>
      <c r="O64" s="223" t="n">
        <v>37</v>
      </c>
      <c r="P64" s="223" t="n">
        <v>60</v>
      </c>
      <c r="Q64" s="223" t="n">
        <v>37</v>
      </c>
      <c r="R64" s="202" t="n">
        <f aca="false">O64*P64</f>
        <v>2220</v>
      </c>
    </row>
    <row r="65" customFormat="false" ht="15" hidden="false" customHeight="false" outlineLevel="0" collapsed="false">
      <c r="A65" s="224" t="n">
        <v>8</v>
      </c>
      <c r="B65" s="220" t="s">
        <v>64</v>
      </c>
      <c r="C65" s="226" t="n">
        <v>147900</v>
      </c>
      <c r="D65" s="200" t="n">
        <v>283400</v>
      </c>
      <c r="E65" s="201" t="n">
        <f aca="false">C65/D65*100-100</f>
        <v>-47.8122794636556</v>
      </c>
      <c r="F65" s="200" t="n">
        <v>0</v>
      </c>
      <c r="G65" s="227" t="n">
        <v>28000</v>
      </c>
      <c r="H65" s="201" t="n">
        <v>0</v>
      </c>
      <c r="I65" s="200" t="n">
        <v>198858</v>
      </c>
      <c r="J65" s="227" t="n">
        <v>392724</v>
      </c>
      <c r="K65" s="201" t="n">
        <f aca="false">I65/J65*100-100</f>
        <v>-49.364439148104</v>
      </c>
      <c r="L65" s="200" t="n">
        <v>198858</v>
      </c>
      <c r="M65" s="227" t="n">
        <v>392724</v>
      </c>
      <c r="N65" s="201" t="n">
        <f aca="false">L65/M65*100-100</f>
        <v>-49.364439148104</v>
      </c>
      <c r="O65" s="223" t="n">
        <v>35</v>
      </c>
      <c r="P65" s="222" t="n">
        <v>85</v>
      </c>
      <c r="Q65" s="223" t="n">
        <v>35</v>
      </c>
      <c r="R65" s="202" t="n">
        <f aca="false">O65*P65</f>
        <v>2975</v>
      </c>
    </row>
    <row r="66" customFormat="false" ht="15" hidden="false" customHeight="false" outlineLevel="0" collapsed="false">
      <c r="A66" s="224" t="n">
        <v>9</v>
      </c>
      <c r="B66" s="220" t="s">
        <v>65</v>
      </c>
      <c r="C66" s="200" t="n">
        <v>0</v>
      </c>
      <c r="D66" s="200" t="n">
        <v>0</v>
      </c>
      <c r="E66" s="201" t="n">
        <v>0</v>
      </c>
      <c r="F66" s="200" t="n">
        <v>0</v>
      </c>
      <c r="G66" s="200" t="n">
        <v>0</v>
      </c>
      <c r="H66" s="201" t="n">
        <v>0</v>
      </c>
      <c r="I66" s="200" t="n">
        <v>0</v>
      </c>
      <c r="J66" s="200" t="n">
        <v>0</v>
      </c>
      <c r="K66" s="201" t="n">
        <v>0</v>
      </c>
      <c r="L66" s="200" t="n">
        <v>0</v>
      </c>
      <c r="M66" s="200" t="n">
        <v>0</v>
      </c>
      <c r="N66" s="201" t="n">
        <v>0</v>
      </c>
      <c r="O66" s="203" t="n">
        <v>0</v>
      </c>
      <c r="P66" s="204" t="n">
        <v>0</v>
      </c>
      <c r="Q66" s="203" t="n">
        <v>0</v>
      </c>
      <c r="R66" s="202" t="n">
        <f aca="false">O66*P66</f>
        <v>0</v>
      </c>
    </row>
    <row r="67" customFormat="false" ht="15" hidden="false" customHeight="false" outlineLevel="0" collapsed="false">
      <c r="A67" s="228" t="s">
        <v>66</v>
      </c>
      <c r="B67" s="228"/>
      <c r="C67" s="229" t="n">
        <f aca="false">SUM(C58:C66)</f>
        <v>1303803</v>
      </c>
      <c r="D67" s="229" t="n">
        <f aca="false">SUM(D58:D66)</f>
        <v>1440580</v>
      </c>
      <c r="E67" s="313" t="n">
        <f aca="false">C67/D67*100-100</f>
        <v>-9.4945785725194</v>
      </c>
      <c r="F67" s="229" t="n">
        <f aca="false">SUM(F58:F66)</f>
        <v>122792</v>
      </c>
      <c r="G67" s="229" t="n">
        <f aca="false">SUM(G58:G66)</f>
        <v>146680</v>
      </c>
      <c r="H67" s="313" t="n">
        <f aca="false">F67/G67*100-100</f>
        <v>-16.285792200709</v>
      </c>
      <c r="I67" s="231" t="n">
        <f aca="false">SUM(I58:I66)</f>
        <v>1367660</v>
      </c>
      <c r="J67" s="229" t="n">
        <f aca="false">SUM(J58:J66)</f>
        <v>1564756</v>
      </c>
      <c r="K67" s="313" t="n">
        <f aca="false">I67/J67*100-100</f>
        <v>-12.5959574527914</v>
      </c>
      <c r="L67" s="229" t="n">
        <f aca="false">SUM(L58:L66)</f>
        <v>819444</v>
      </c>
      <c r="M67" s="229" t="n">
        <f aca="false">SUM(M58:M66)</f>
        <v>1047750</v>
      </c>
      <c r="N67" s="313" t="n">
        <f aca="false">L67/M67*100-100</f>
        <v>-21.7901216893343</v>
      </c>
      <c r="O67" s="231" t="n">
        <f aca="false">SUM(O58:O66)</f>
        <v>559</v>
      </c>
      <c r="P67" s="230" t="n">
        <f aca="false">R67/O67</f>
        <v>109.008944543828</v>
      </c>
      <c r="Q67" s="231" t="n">
        <f aca="false">SUM(Q58:Q66)</f>
        <v>556</v>
      </c>
      <c r="R67" s="232" t="n">
        <f aca="false">SUM(R58:R66)</f>
        <v>60936</v>
      </c>
    </row>
    <row r="68" customFormat="false" ht="15" hidden="false" customHeight="false" outlineLevel="0" collapsed="false">
      <c r="A68" s="197"/>
      <c r="B68" s="233"/>
      <c r="C68" s="197"/>
      <c r="D68" s="197"/>
      <c r="E68" s="197"/>
      <c r="F68" s="197"/>
      <c r="G68" s="197"/>
      <c r="H68" s="197"/>
      <c r="I68" s="197"/>
      <c r="J68" s="197"/>
      <c r="K68" s="234"/>
      <c r="L68" s="197"/>
      <c r="M68" s="197"/>
      <c r="N68" s="197"/>
      <c r="O68" s="197"/>
      <c r="P68" s="235"/>
      <c r="Q68" s="197"/>
      <c r="R68" s="197"/>
    </row>
    <row r="69" customFormat="false" ht="15" hidden="false" customHeight="false" outlineLevel="0" collapsed="false">
      <c r="A69" s="195" t="s">
        <v>67</v>
      </c>
      <c r="B69" s="195"/>
      <c r="C69" s="195" t="n">
        <v>3</v>
      </c>
      <c r="D69" s="195" t="n">
        <v>4</v>
      </c>
      <c r="E69" s="196" t="n">
        <v>5</v>
      </c>
      <c r="F69" s="195" t="n">
        <v>6</v>
      </c>
      <c r="G69" s="195" t="n">
        <v>7</v>
      </c>
      <c r="H69" s="195" t="n">
        <v>8</v>
      </c>
      <c r="I69" s="195" t="n">
        <v>9</v>
      </c>
      <c r="J69" s="195" t="n">
        <v>10</v>
      </c>
      <c r="K69" s="195" t="n">
        <v>11</v>
      </c>
      <c r="L69" s="195" t="n">
        <v>12</v>
      </c>
      <c r="M69" s="195" t="n">
        <v>13</v>
      </c>
      <c r="N69" s="195" t="n">
        <v>14</v>
      </c>
      <c r="O69" s="195" t="n">
        <v>15</v>
      </c>
      <c r="P69" s="196" t="n">
        <v>16</v>
      </c>
      <c r="Q69" s="195" t="n">
        <v>17</v>
      </c>
      <c r="R69" s="197"/>
    </row>
    <row r="70" customFormat="false" ht="15" hidden="false" customHeight="false" outlineLevel="0" collapsed="false">
      <c r="A70" s="198" t="n">
        <v>1</v>
      </c>
      <c r="B70" s="199" t="s">
        <v>68</v>
      </c>
      <c r="C70" s="203" t="n">
        <v>9800</v>
      </c>
      <c r="D70" s="203" t="n">
        <v>56243</v>
      </c>
      <c r="E70" s="201" t="n">
        <f aca="false">C70/D70*100-100</f>
        <v>-82.5756094091709</v>
      </c>
      <c r="F70" s="203" t="n">
        <v>37</v>
      </c>
      <c r="G70" s="203" t="n">
        <v>407</v>
      </c>
      <c r="H70" s="223" t="n">
        <f aca="false">F70/G70*100-100</f>
        <v>-90.9090909090909</v>
      </c>
      <c r="I70" s="203" t="n">
        <v>17895</v>
      </c>
      <c r="J70" s="203" t="n">
        <v>141694</v>
      </c>
      <c r="K70" s="214" t="n">
        <f aca="false">I70/J70*100</f>
        <v>12.6293279884822</v>
      </c>
      <c r="L70" s="203" t="n">
        <v>14671</v>
      </c>
      <c r="M70" s="203" t="n">
        <v>53172</v>
      </c>
      <c r="N70" s="201" t="n">
        <f aca="false">L70/M70*100-100</f>
        <v>-72.4084104415858</v>
      </c>
      <c r="O70" s="203" t="n">
        <v>147</v>
      </c>
      <c r="P70" s="219" t="n">
        <v>55</v>
      </c>
      <c r="Q70" s="203" t="n">
        <v>147</v>
      </c>
      <c r="R70" s="202" t="n">
        <f aca="false">O70*P70</f>
        <v>8085</v>
      </c>
    </row>
    <row r="71" customFormat="false" ht="15" hidden="false" customHeight="false" outlineLevel="0" collapsed="false">
      <c r="A71" s="198" t="n">
        <v>2</v>
      </c>
      <c r="B71" s="199" t="s">
        <v>69</v>
      </c>
      <c r="C71" s="208" t="n">
        <v>476858</v>
      </c>
      <c r="D71" s="208" t="n">
        <v>489675</v>
      </c>
      <c r="E71" s="201" t="n">
        <f aca="false">C71/D71*100-100</f>
        <v>-2.61745034972175</v>
      </c>
      <c r="F71" s="208" t="n">
        <v>48743</v>
      </c>
      <c r="G71" s="208" t="n">
        <v>79888</v>
      </c>
      <c r="H71" s="201" t="n">
        <f aca="false">F71/G71*100-100</f>
        <v>-38.9858301622271</v>
      </c>
      <c r="I71" s="208" t="n">
        <v>476739</v>
      </c>
      <c r="J71" s="208" t="n">
        <v>451002</v>
      </c>
      <c r="K71" s="201" t="n">
        <f aca="false">I71/J71*100-100</f>
        <v>5.70662657815264</v>
      </c>
      <c r="L71" s="208" t="n">
        <v>476739</v>
      </c>
      <c r="M71" s="208" t="n">
        <v>451002</v>
      </c>
      <c r="N71" s="201" t="n">
        <f aca="false">L71/M71*100-100</f>
        <v>5.70662657815264</v>
      </c>
      <c r="O71" s="203" t="n">
        <v>23</v>
      </c>
      <c r="P71" s="204" t="n">
        <v>89</v>
      </c>
      <c r="Q71" s="203" t="n">
        <v>23</v>
      </c>
      <c r="R71" s="202" t="n">
        <f aca="false">O71*P71</f>
        <v>2047</v>
      </c>
    </row>
    <row r="72" customFormat="false" ht="15" hidden="false" customHeight="false" outlineLevel="0" collapsed="false">
      <c r="A72" s="198" t="n">
        <v>3</v>
      </c>
      <c r="B72" s="199" t="s">
        <v>70</v>
      </c>
      <c r="C72" s="203" t="n">
        <v>22405</v>
      </c>
      <c r="D72" s="203" t="n">
        <v>32582</v>
      </c>
      <c r="E72" s="201" t="n">
        <f aca="false">C72/D72*100-100</f>
        <v>-31.2350377509054</v>
      </c>
      <c r="F72" s="203" t="n">
        <v>745</v>
      </c>
      <c r="G72" s="203" t="n">
        <v>1501</v>
      </c>
      <c r="H72" s="201" t="n">
        <f aca="false">F72/G72*100-100</f>
        <v>-50.3664223850766</v>
      </c>
      <c r="I72" s="203" t="n">
        <v>21271</v>
      </c>
      <c r="J72" s="203" t="n">
        <v>32440</v>
      </c>
      <c r="K72" s="201" t="n">
        <f aca="false">I72/J72*100-100</f>
        <v>-34.4297163995068</v>
      </c>
      <c r="L72" s="203" t="n">
        <v>7659</v>
      </c>
      <c r="M72" s="203" t="n">
        <v>4160</v>
      </c>
      <c r="N72" s="201" t="n">
        <f aca="false">L72/M72*100-100</f>
        <v>84.1105769230769</v>
      </c>
      <c r="O72" s="203" t="n">
        <v>43</v>
      </c>
      <c r="P72" s="219" t="n">
        <v>71</v>
      </c>
      <c r="Q72" s="203" t="n">
        <v>43</v>
      </c>
      <c r="R72" s="202" t="n">
        <f aca="false">O72*P72</f>
        <v>3053</v>
      </c>
    </row>
    <row r="73" customFormat="false" ht="15" hidden="false" customHeight="false" outlineLevel="0" collapsed="false">
      <c r="A73" s="198" t="n">
        <v>4</v>
      </c>
      <c r="B73" s="199" t="s">
        <v>218</v>
      </c>
      <c r="C73" s="203" t="n">
        <v>54727</v>
      </c>
      <c r="D73" s="203" t="n">
        <v>32730</v>
      </c>
      <c r="E73" s="201" t="n">
        <f aca="false">C73/D73*100-100</f>
        <v>67.2074549343111</v>
      </c>
      <c r="F73" s="203" t="n">
        <v>5890</v>
      </c>
      <c r="G73" s="203" t="n">
        <v>2515</v>
      </c>
      <c r="H73" s="201" t="n">
        <f aca="false">F73/G73*100-100</f>
        <v>134.194831013917</v>
      </c>
      <c r="I73" s="203" t="n">
        <v>48976</v>
      </c>
      <c r="J73" s="203" t="n">
        <v>42118</v>
      </c>
      <c r="K73" s="201" t="n">
        <f aca="false">I73/J73*100-100</f>
        <v>16.2828244456052</v>
      </c>
      <c r="L73" s="203" t="n">
        <v>34491</v>
      </c>
      <c r="M73" s="203" t="n">
        <v>23341</v>
      </c>
      <c r="N73" s="201" t="n">
        <f aca="false">L73/M73*100-100</f>
        <v>47.7700184225183</v>
      </c>
      <c r="O73" s="203" t="n">
        <v>65</v>
      </c>
      <c r="P73" s="236" t="n">
        <v>50</v>
      </c>
      <c r="Q73" s="203" t="n">
        <v>65</v>
      </c>
      <c r="R73" s="202" t="n">
        <f aca="false">O73*P73</f>
        <v>3250</v>
      </c>
    </row>
    <row r="74" customFormat="false" ht="15" hidden="false" customHeight="false" outlineLevel="0" collapsed="false">
      <c r="A74" s="198" t="n">
        <v>5</v>
      </c>
      <c r="B74" s="199" t="s">
        <v>72</v>
      </c>
      <c r="C74" s="203" t="n">
        <v>60485</v>
      </c>
      <c r="D74" s="203" t="n">
        <v>111086</v>
      </c>
      <c r="E74" s="201" t="n">
        <f aca="false">C74/D74*100-100</f>
        <v>-45.5511945699728</v>
      </c>
      <c r="F74" s="203" t="n">
        <v>623</v>
      </c>
      <c r="G74" s="203" t="n">
        <v>55314</v>
      </c>
      <c r="H74" s="201" t="n">
        <f aca="false">F74/G74*100-100</f>
        <v>-98.8737028600354</v>
      </c>
      <c r="I74" s="203" t="n">
        <v>60485</v>
      </c>
      <c r="J74" s="203" t="n">
        <v>111868</v>
      </c>
      <c r="K74" s="201" t="n">
        <f aca="false">I74/J74*100-100</f>
        <v>-45.9318124932957</v>
      </c>
      <c r="L74" s="203" t="n">
        <v>47792</v>
      </c>
      <c r="M74" s="203" t="n">
        <f aca="false">97149+2033</f>
        <v>99182</v>
      </c>
      <c r="N74" s="201" t="n">
        <f aca="false">L74/M74*100-100</f>
        <v>-51.8138371881995</v>
      </c>
      <c r="O74" s="203" t="n">
        <v>68</v>
      </c>
      <c r="P74" s="219" t="n">
        <v>138</v>
      </c>
      <c r="Q74" s="203" t="n">
        <v>75</v>
      </c>
      <c r="R74" s="202" t="n">
        <f aca="false">O74*P74</f>
        <v>9384</v>
      </c>
    </row>
    <row r="75" customFormat="false" ht="15" hidden="false" customHeight="false" outlineLevel="0" collapsed="false">
      <c r="A75" s="210" t="n">
        <v>6</v>
      </c>
      <c r="B75" s="199" t="s">
        <v>232</v>
      </c>
      <c r="C75" s="203" t="n">
        <v>36131</v>
      </c>
      <c r="D75" s="203" t="n">
        <v>2696</v>
      </c>
      <c r="E75" s="223" t="n">
        <f aca="false">C75/D75*100-100</f>
        <v>1240.1706231454</v>
      </c>
      <c r="F75" s="203" t="n">
        <v>43</v>
      </c>
      <c r="G75" s="203" t="n">
        <v>0</v>
      </c>
      <c r="H75" s="201" t="n">
        <v>0</v>
      </c>
      <c r="I75" s="203" t="n">
        <v>55383</v>
      </c>
      <c r="J75" s="203" t="n">
        <v>2884</v>
      </c>
      <c r="K75" s="223" t="n">
        <f aca="false">I75/J75*100-100</f>
        <v>1820.35367545076</v>
      </c>
      <c r="L75" s="203" t="n">
        <v>33961</v>
      </c>
      <c r="M75" s="203" t="n">
        <v>48</v>
      </c>
      <c r="N75" s="223" t="n">
        <f aca="false">L75/M75*100-100</f>
        <v>70652.0833333333</v>
      </c>
      <c r="O75" s="203" t="n">
        <v>9</v>
      </c>
      <c r="P75" s="219" t="n">
        <v>66</v>
      </c>
      <c r="Q75" s="203" t="n">
        <v>8</v>
      </c>
      <c r="R75" s="202" t="n">
        <f aca="false">O75*P75</f>
        <v>594</v>
      </c>
    </row>
    <row r="76" customFormat="false" ht="15" hidden="false" customHeight="false" outlineLevel="0" collapsed="false">
      <c r="A76" s="198" t="n">
        <v>7</v>
      </c>
      <c r="B76" s="199" t="s">
        <v>74</v>
      </c>
      <c r="C76" s="203" t="n">
        <v>594579</v>
      </c>
      <c r="D76" s="203" t="n">
        <v>851078</v>
      </c>
      <c r="E76" s="201" t="n">
        <f aca="false">C76/D76*100-100</f>
        <v>-30.1381307001238</v>
      </c>
      <c r="F76" s="203" t="n">
        <v>131380</v>
      </c>
      <c r="G76" s="203" t="n">
        <v>147056</v>
      </c>
      <c r="H76" s="201" t="n">
        <f aca="false">F76/G76*100-100</f>
        <v>-10.6598846697857</v>
      </c>
      <c r="I76" s="203" t="n">
        <v>577465</v>
      </c>
      <c r="J76" s="203" t="n">
        <v>811663</v>
      </c>
      <c r="K76" s="201" t="n">
        <f aca="false">I76/J76*100-100</f>
        <v>-28.8540933860481</v>
      </c>
      <c r="L76" s="203" t="n">
        <f aca="false">21475+76123</f>
        <v>97598</v>
      </c>
      <c r="M76" s="203" t="n">
        <f aca="false">17865+182934</f>
        <v>200799</v>
      </c>
      <c r="N76" s="201" t="n">
        <f aca="false">L76/M76*100-100</f>
        <v>-51.3951762707982</v>
      </c>
      <c r="O76" s="203" t="n">
        <v>134</v>
      </c>
      <c r="P76" s="204" t="n">
        <v>200</v>
      </c>
      <c r="Q76" s="203" t="n">
        <v>134</v>
      </c>
      <c r="R76" s="202" t="n">
        <f aca="false">O76*P76</f>
        <v>26800</v>
      </c>
    </row>
    <row r="77" customFormat="false" ht="15" hidden="false" customHeight="false" outlineLevel="0" collapsed="false">
      <c r="A77" s="198" t="n">
        <v>8</v>
      </c>
      <c r="B77" s="199" t="s">
        <v>75</v>
      </c>
      <c r="C77" s="203" t="n">
        <v>105009</v>
      </c>
      <c r="D77" s="203" t="n">
        <v>3929</v>
      </c>
      <c r="E77" s="223" t="n">
        <f aca="false">C77/D77*100-100</f>
        <v>2572.66480020361</v>
      </c>
      <c r="F77" s="203" t="n">
        <v>20367</v>
      </c>
      <c r="G77" s="203" t="n">
        <v>1137</v>
      </c>
      <c r="H77" s="201" t="n">
        <v>0</v>
      </c>
      <c r="I77" s="203" t="n">
        <v>105009</v>
      </c>
      <c r="J77" s="203" t="n">
        <v>10009</v>
      </c>
      <c r="K77" s="223" t="n">
        <f aca="false">I77/J77*100-100</f>
        <v>949.145768808073</v>
      </c>
      <c r="L77" s="203" t="n">
        <v>1045</v>
      </c>
      <c r="M77" s="203" t="n">
        <v>0</v>
      </c>
      <c r="N77" s="201" t="n">
        <v>0</v>
      </c>
      <c r="O77" s="203" t="n">
        <v>30</v>
      </c>
      <c r="P77" s="219" t="n">
        <v>40</v>
      </c>
      <c r="Q77" s="203" t="n">
        <v>30</v>
      </c>
      <c r="R77" s="202" t="n">
        <f aca="false">O77*P77</f>
        <v>1200</v>
      </c>
    </row>
    <row r="78" customFormat="false" ht="15" hidden="false" customHeight="false" outlineLevel="0" collapsed="false">
      <c r="A78" s="215" t="s">
        <v>76</v>
      </c>
      <c r="B78" s="215" t="s">
        <v>77</v>
      </c>
      <c r="C78" s="216" t="n">
        <f aca="false">SUM(C70:C77)</f>
        <v>1359994</v>
      </c>
      <c r="D78" s="216" t="n">
        <f aca="false">SUM(D70:D77)</f>
        <v>1580019</v>
      </c>
      <c r="E78" s="313" t="n">
        <f aca="false">C78/D78*100-100</f>
        <v>-13.9254654532635</v>
      </c>
      <c r="F78" s="216" t="n">
        <f aca="false">SUM(F70:F77)</f>
        <v>207828</v>
      </c>
      <c r="G78" s="216" t="n">
        <f aca="false">SUM(G70:G77)</f>
        <v>287818</v>
      </c>
      <c r="H78" s="313" t="n">
        <f aca="false">F78/G78*100-100</f>
        <v>-27.7918684724374</v>
      </c>
      <c r="I78" s="216" t="n">
        <f aca="false">SUM(I70:I77)</f>
        <v>1363223</v>
      </c>
      <c r="J78" s="216" t="n">
        <f aca="false">SUM(J70:J77)</f>
        <v>1603678</v>
      </c>
      <c r="K78" s="313" t="n">
        <f aca="false">I78/J78*100-100</f>
        <v>-14.9939701112069</v>
      </c>
      <c r="L78" s="216" t="n">
        <f aca="false">SUM(L70:L77)</f>
        <v>713956</v>
      </c>
      <c r="M78" s="216" t="n">
        <f aca="false">SUM(M70:M77)</f>
        <v>831704</v>
      </c>
      <c r="N78" s="313" t="n">
        <f aca="false">L78/M78*100-100</f>
        <v>-14.1574406279157</v>
      </c>
      <c r="O78" s="216" t="n">
        <f aca="false">SUM(O70:O77)</f>
        <v>519</v>
      </c>
      <c r="P78" s="217" t="n">
        <f aca="false">R78/O78</f>
        <v>104.842003853565</v>
      </c>
      <c r="Q78" s="216" t="n">
        <f aca="false">SUM(Q70:Q77)</f>
        <v>525</v>
      </c>
      <c r="R78" s="232" t="n">
        <f aca="false">SUM(R70:R77)</f>
        <v>54413</v>
      </c>
    </row>
    <row r="79" customFormat="false" ht="15" hidden="false" customHeight="false" outlineLevel="0" collapsed="false">
      <c r="A79" s="314" t="s">
        <v>78</v>
      </c>
      <c r="B79" s="314" t="s">
        <v>78</v>
      </c>
      <c r="C79" s="315" t="n">
        <f aca="false">C55+C67+C78</f>
        <v>5434465</v>
      </c>
      <c r="D79" s="315" t="n">
        <f aca="false">D55+D67+D78</f>
        <v>6388008</v>
      </c>
      <c r="E79" s="316" t="n">
        <f aca="false">C79/D79*100-100</f>
        <v>-14.9270789892561</v>
      </c>
      <c r="F79" s="315" t="n">
        <f aca="false">F55+F67+F78</f>
        <v>602517</v>
      </c>
      <c r="G79" s="315" t="n">
        <f aca="false">G55+G67+G78</f>
        <v>745300</v>
      </c>
      <c r="H79" s="316" t="n">
        <f aca="false">F79/G79*100-100</f>
        <v>-19.1577888098752</v>
      </c>
      <c r="I79" s="315" t="n">
        <f aca="false">I55+I67+I78</f>
        <v>5553942</v>
      </c>
      <c r="J79" s="315" t="n">
        <f aca="false">J55+J67+J78</f>
        <v>5947287</v>
      </c>
      <c r="K79" s="316" t="n">
        <f aca="false">I79/J79*100-100</f>
        <v>-6.61385603217065</v>
      </c>
      <c r="L79" s="315" t="n">
        <f aca="false">L55+L67+L78</f>
        <v>3167440</v>
      </c>
      <c r="M79" s="315" t="n">
        <f aca="false">M55+M67+M78</f>
        <v>3458443</v>
      </c>
      <c r="N79" s="316" t="n">
        <f aca="false">L79/M79*100-100</f>
        <v>-8.41427775446928</v>
      </c>
      <c r="O79" s="315" t="n">
        <f aca="false">O55+O67+O78</f>
        <v>2027</v>
      </c>
      <c r="P79" s="317" t="n">
        <f aca="false">R79/O79</f>
        <v>107.268870251603</v>
      </c>
      <c r="Q79" s="315" t="n">
        <f aca="false">Q55+Q67+Q78</f>
        <v>2033</v>
      </c>
      <c r="R79" s="318" t="n">
        <f aca="false">R55+R67+R78</f>
        <v>217434</v>
      </c>
    </row>
    <row r="80" customFormat="false" ht="15" hidden="false" customHeight="false" outlineLevel="0" collapsed="false">
      <c r="A80" s="203"/>
      <c r="B80" s="218"/>
      <c r="C80" s="203"/>
      <c r="D80" s="203"/>
      <c r="E80" s="203"/>
      <c r="F80" s="203"/>
      <c r="G80" s="203"/>
      <c r="H80" s="203"/>
      <c r="I80" s="203"/>
      <c r="J80" s="203"/>
      <c r="K80" s="192"/>
      <c r="L80" s="203"/>
      <c r="M80" s="203"/>
      <c r="N80" s="203"/>
      <c r="O80" s="203"/>
      <c r="P80" s="219"/>
      <c r="Q80" s="203"/>
      <c r="R80" s="197"/>
    </row>
    <row r="81" customFormat="false" ht="15" hidden="false" customHeight="false" outlineLevel="0" collapsed="false">
      <c r="A81" s="190" t="s">
        <v>79</v>
      </c>
      <c r="B81" s="190"/>
      <c r="C81" s="195" t="n">
        <v>3</v>
      </c>
      <c r="D81" s="195" t="n">
        <v>4</v>
      </c>
      <c r="E81" s="196" t="n">
        <v>5</v>
      </c>
      <c r="F81" s="195" t="n">
        <v>6</v>
      </c>
      <c r="G81" s="195" t="n">
        <v>7</v>
      </c>
      <c r="H81" s="195" t="n">
        <v>8</v>
      </c>
      <c r="I81" s="195" t="n">
        <v>9</v>
      </c>
      <c r="J81" s="195" t="n">
        <v>10</v>
      </c>
      <c r="K81" s="195" t="n">
        <v>11</v>
      </c>
      <c r="L81" s="195" t="n">
        <v>12</v>
      </c>
      <c r="M81" s="195" t="n">
        <v>13</v>
      </c>
      <c r="N81" s="195" t="n">
        <v>14</v>
      </c>
      <c r="O81" s="195" t="n">
        <v>15</v>
      </c>
      <c r="P81" s="196" t="n">
        <v>16</v>
      </c>
      <c r="Q81" s="195" t="n">
        <v>17</v>
      </c>
      <c r="R81" s="197"/>
    </row>
    <row r="82" customFormat="false" ht="15" hidden="false" customHeight="false" outlineLevel="0" collapsed="false">
      <c r="A82" s="242" t="n">
        <v>1</v>
      </c>
      <c r="B82" s="243" t="s">
        <v>80</v>
      </c>
      <c r="C82" s="208" t="n">
        <v>3316</v>
      </c>
      <c r="D82" s="208" t="n">
        <v>11708</v>
      </c>
      <c r="E82" s="201" t="n">
        <f aca="false">C82/D82*100-100</f>
        <v>-71.6774854800137</v>
      </c>
      <c r="F82" s="208" t="n">
        <v>172</v>
      </c>
      <c r="G82" s="208" t="n">
        <v>264</v>
      </c>
      <c r="H82" s="201" t="n">
        <f aca="false">F82/G82*100-100</f>
        <v>-34.8484848484848</v>
      </c>
      <c r="I82" s="208" t="n">
        <v>3316</v>
      </c>
      <c r="J82" s="208" t="n">
        <v>9135</v>
      </c>
      <c r="K82" s="201" t="n">
        <v>0</v>
      </c>
      <c r="L82" s="203" t="n">
        <v>0</v>
      </c>
      <c r="M82" s="208" t="n">
        <v>0</v>
      </c>
      <c r="N82" s="201" t="n">
        <v>0</v>
      </c>
      <c r="O82" s="203" t="n">
        <v>2504</v>
      </c>
      <c r="P82" s="208" t="n">
        <v>113</v>
      </c>
      <c r="Q82" s="203" t="n">
        <v>2504</v>
      </c>
      <c r="R82" s="202" t="n">
        <f aca="false">O82*P82</f>
        <v>282952</v>
      </c>
    </row>
    <row r="83" customFormat="false" ht="15" hidden="false" customHeight="false" outlineLevel="0" collapsed="false">
      <c r="A83" s="244" t="n">
        <v>2</v>
      </c>
      <c r="B83" s="243" t="s">
        <v>81</v>
      </c>
      <c r="C83" s="208" t="n">
        <v>323903</v>
      </c>
      <c r="D83" s="208" t="n">
        <v>527740</v>
      </c>
      <c r="E83" s="201" t="n">
        <f aca="false">C83/D83*100-100</f>
        <v>-38.6245120703377</v>
      </c>
      <c r="F83" s="208" t="n">
        <v>289</v>
      </c>
      <c r="G83" s="208" t="n">
        <v>62057</v>
      </c>
      <c r="H83" s="201" t="n">
        <f aca="false">F83/G83*100-100</f>
        <v>-99.5342991121066</v>
      </c>
      <c r="I83" s="208" t="n">
        <v>374391</v>
      </c>
      <c r="J83" s="208" t="n">
        <v>568356</v>
      </c>
      <c r="K83" s="201" t="n">
        <f aca="false">I83/J83*100-100</f>
        <v>-34.1273779110276</v>
      </c>
      <c r="L83" s="208" t="n">
        <v>361588</v>
      </c>
      <c r="M83" s="208" t="n">
        <v>560210</v>
      </c>
      <c r="N83" s="201" t="n">
        <f aca="false">L83/M83*100-100</f>
        <v>-35.4549186912051</v>
      </c>
      <c r="O83" s="203" t="n">
        <v>729</v>
      </c>
      <c r="P83" s="208" t="n">
        <v>110</v>
      </c>
      <c r="Q83" s="203" t="n">
        <v>729</v>
      </c>
      <c r="R83" s="202" t="n">
        <f aca="false">O83*P83</f>
        <v>80190</v>
      </c>
    </row>
    <row r="84" customFormat="false" ht="15" hidden="false" customHeight="false" outlineLevel="0" collapsed="false">
      <c r="A84" s="242" t="n">
        <v>3</v>
      </c>
      <c r="B84" s="243" t="s">
        <v>82</v>
      </c>
      <c r="C84" s="208" t="n">
        <v>1204019</v>
      </c>
      <c r="D84" s="208" t="n">
        <v>921685</v>
      </c>
      <c r="E84" s="201" t="n">
        <f aca="false">C84/D84*100-100</f>
        <v>30.6323744012325</v>
      </c>
      <c r="F84" s="208" t="n">
        <v>222835</v>
      </c>
      <c r="G84" s="208" t="n">
        <v>171488</v>
      </c>
      <c r="H84" s="201" t="n">
        <f aca="false">F84/G84*100-100</f>
        <v>29.9420367605897</v>
      </c>
      <c r="I84" s="208" t="n">
        <v>1229249</v>
      </c>
      <c r="J84" s="208" t="n">
        <v>1830310</v>
      </c>
      <c r="K84" s="201" t="n">
        <f aca="false">I84/J84*100-100</f>
        <v>-32.8393004463725</v>
      </c>
      <c r="L84" s="208" t="n">
        <v>282359</v>
      </c>
      <c r="M84" s="208" t="n">
        <v>403229</v>
      </c>
      <c r="N84" s="201" t="n">
        <f aca="false">L84/M84*100-100</f>
        <v>-29.9755225938611</v>
      </c>
      <c r="O84" s="203" t="n">
        <v>30</v>
      </c>
      <c r="P84" s="208" t="n">
        <v>306</v>
      </c>
      <c r="Q84" s="203" t="n">
        <v>30</v>
      </c>
      <c r="R84" s="202" t="n">
        <f aca="false">O84*P84</f>
        <v>9180</v>
      </c>
    </row>
    <row r="85" customFormat="false" ht="15" hidden="false" customHeight="false" outlineLevel="0" collapsed="false">
      <c r="A85" s="244" t="n">
        <v>4</v>
      </c>
      <c r="B85" s="243" t="s">
        <v>83</v>
      </c>
      <c r="C85" s="208" t="n">
        <v>896240</v>
      </c>
      <c r="D85" s="208" t="n">
        <v>749730</v>
      </c>
      <c r="E85" s="201" t="n">
        <f aca="false">C85/D85*100-100</f>
        <v>19.5417016792712</v>
      </c>
      <c r="F85" s="208" t="n">
        <v>97537</v>
      </c>
      <c r="G85" s="208" t="n">
        <v>96558</v>
      </c>
      <c r="H85" s="201" t="n">
        <f aca="false">F85/G85*100-100</f>
        <v>1.01389838231944</v>
      </c>
      <c r="I85" s="208" t="n">
        <v>851586</v>
      </c>
      <c r="J85" s="208" t="n">
        <v>733205</v>
      </c>
      <c r="K85" s="201" t="n">
        <f aca="false">I85/J85*100-100</f>
        <v>16.1456891319617</v>
      </c>
      <c r="L85" s="203" t="n">
        <v>598981</v>
      </c>
      <c r="M85" s="208" t="n">
        <v>519825</v>
      </c>
      <c r="N85" s="201" t="n">
        <f aca="false">L85/M85*100-100</f>
        <v>15.2274323089501</v>
      </c>
      <c r="O85" s="203" t="n">
        <v>180</v>
      </c>
      <c r="P85" s="208" t="n">
        <v>40</v>
      </c>
      <c r="Q85" s="203" t="n">
        <v>180</v>
      </c>
      <c r="R85" s="202" t="n">
        <f aca="false">O85*P85</f>
        <v>7200</v>
      </c>
    </row>
    <row r="86" customFormat="false" ht="15" hidden="false" customHeight="false" outlineLevel="0" collapsed="false">
      <c r="A86" s="242" t="n">
        <v>5</v>
      </c>
      <c r="B86" s="243" t="s">
        <v>84</v>
      </c>
      <c r="C86" s="219" t="n">
        <v>308040</v>
      </c>
      <c r="D86" s="219" t="n">
        <v>290521</v>
      </c>
      <c r="E86" s="201" t="n">
        <f aca="false">C86/D86*100-100</f>
        <v>6.03020091490805</v>
      </c>
      <c r="F86" s="219" t="n">
        <v>33509</v>
      </c>
      <c r="G86" s="219" t="n">
        <v>31752</v>
      </c>
      <c r="H86" s="201" t="n">
        <f aca="false">F86/G86*100-100</f>
        <v>5.53350970017637</v>
      </c>
      <c r="I86" s="219" t="n">
        <v>312990</v>
      </c>
      <c r="J86" s="219" t="n">
        <v>293150</v>
      </c>
      <c r="K86" s="201" t="n">
        <f aca="false">I86/J86*100-100</f>
        <v>6.76786628006141</v>
      </c>
      <c r="L86" s="203" t="n">
        <v>175475</v>
      </c>
      <c r="M86" s="219" t="n">
        <v>125744</v>
      </c>
      <c r="N86" s="201" t="n">
        <f aca="false">L86/M86*100-100</f>
        <v>39.5494019595368</v>
      </c>
      <c r="O86" s="203" t="n">
        <v>92</v>
      </c>
      <c r="P86" s="219" t="n">
        <v>71</v>
      </c>
      <c r="Q86" s="203" t="n">
        <v>91</v>
      </c>
      <c r="R86" s="202" t="n">
        <f aca="false">O86*P86</f>
        <v>6532</v>
      </c>
    </row>
    <row r="87" customFormat="false" ht="15" hidden="false" customHeight="false" outlineLevel="0" collapsed="false">
      <c r="A87" s="244" t="n">
        <v>6</v>
      </c>
      <c r="B87" s="243" t="s">
        <v>85</v>
      </c>
      <c r="C87" s="200" t="n">
        <v>0</v>
      </c>
      <c r="D87" s="200" t="n">
        <v>0</v>
      </c>
      <c r="E87" s="201" t="n">
        <v>0</v>
      </c>
      <c r="F87" s="200" t="n">
        <v>0</v>
      </c>
      <c r="G87" s="200" t="n">
        <v>0</v>
      </c>
      <c r="H87" s="201" t="n">
        <v>0</v>
      </c>
      <c r="I87" s="200" t="n">
        <v>0</v>
      </c>
      <c r="J87" s="200" t="n">
        <v>0</v>
      </c>
      <c r="K87" s="201" t="n">
        <v>0</v>
      </c>
      <c r="L87" s="200" t="n">
        <v>0</v>
      </c>
      <c r="M87" s="200" t="n">
        <v>0</v>
      </c>
      <c r="N87" s="201" t="n">
        <v>0</v>
      </c>
      <c r="O87" s="203" t="n">
        <v>0</v>
      </c>
      <c r="P87" s="204" t="n">
        <v>0</v>
      </c>
      <c r="Q87" s="203" t="n">
        <v>0</v>
      </c>
      <c r="R87" s="202" t="n">
        <f aca="false">O87*P87</f>
        <v>0</v>
      </c>
    </row>
    <row r="88" customFormat="false" ht="15" hidden="false" customHeight="false" outlineLevel="0" collapsed="false">
      <c r="A88" s="244" t="n">
        <v>7</v>
      </c>
      <c r="B88" s="245" t="s">
        <v>87</v>
      </c>
      <c r="C88" s="219" t="n">
        <v>594181</v>
      </c>
      <c r="D88" s="219" t="n">
        <v>837266</v>
      </c>
      <c r="E88" s="201" t="n">
        <f aca="false">C88/D88*100-100</f>
        <v>-29.033186585864</v>
      </c>
      <c r="F88" s="219" t="n">
        <v>69732</v>
      </c>
      <c r="G88" s="219" t="n">
        <v>100459</v>
      </c>
      <c r="H88" s="201" t="n">
        <f aca="false">F88/G88*100-100</f>
        <v>-30.5866074717049</v>
      </c>
      <c r="I88" s="219" t="n">
        <v>938304</v>
      </c>
      <c r="J88" s="219" t="n">
        <v>975263</v>
      </c>
      <c r="K88" s="201" t="n">
        <f aca="false">I88/J88*100-100</f>
        <v>-3.78964443437309</v>
      </c>
      <c r="L88" s="203" t="n">
        <v>269546</v>
      </c>
      <c r="M88" s="219" t="n">
        <v>176584</v>
      </c>
      <c r="N88" s="201" t="n">
        <f aca="false">L88/M88*100-100</f>
        <v>52.6446337153989</v>
      </c>
      <c r="O88" s="203" t="n">
        <v>65</v>
      </c>
      <c r="P88" s="208" t="n">
        <v>128</v>
      </c>
      <c r="Q88" s="203" t="n">
        <v>65</v>
      </c>
      <c r="R88" s="202" t="n">
        <f aca="false">O88*P88</f>
        <v>8320</v>
      </c>
    </row>
    <row r="89" customFormat="false" ht="15" hidden="false" customHeight="false" outlineLevel="0" collapsed="false">
      <c r="A89" s="242" t="n">
        <v>8</v>
      </c>
      <c r="B89" s="243" t="s">
        <v>89</v>
      </c>
      <c r="C89" s="208" t="n">
        <v>1307383</v>
      </c>
      <c r="D89" s="208" t="n">
        <v>1050882</v>
      </c>
      <c r="E89" s="201" t="n">
        <f aca="false">C89/D89*100-100</f>
        <v>24.408163809067</v>
      </c>
      <c r="F89" s="208" t="n">
        <v>129834</v>
      </c>
      <c r="G89" s="208" t="n">
        <v>113428</v>
      </c>
      <c r="H89" s="201" t="n">
        <f aca="false">F89/G89*100-100</f>
        <v>14.4638008251931</v>
      </c>
      <c r="I89" s="208" t="n">
        <v>1309422</v>
      </c>
      <c r="J89" s="208" t="n">
        <v>1070475</v>
      </c>
      <c r="K89" s="201" t="n">
        <f aca="false">I89/J89*100-100</f>
        <v>22.3215862117284</v>
      </c>
      <c r="L89" s="203" t="n">
        <f aca="false">354573+456533</f>
        <v>811106</v>
      </c>
      <c r="M89" s="208" t="n">
        <f aca="false">246190+314664</f>
        <v>560854</v>
      </c>
      <c r="N89" s="201" t="n">
        <f aca="false">L89/M89*100-100</f>
        <v>44.6198119296644</v>
      </c>
      <c r="O89" s="203" t="n">
        <v>104</v>
      </c>
      <c r="P89" s="208" t="n">
        <v>221</v>
      </c>
      <c r="Q89" s="203" t="n">
        <v>103</v>
      </c>
      <c r="R89" s="202" t="n">
        <f aca="false">O89*P89</f>
        <v>22984</v>
      </c>
    </row>
    <row r="90" customFormat="false" ht="15" hidden="false" customHeight="false" outlineLevel="0" collapsed="false">
      <c r="A90" s="242" t="n">
        <v>9</v>
      </c>
      <c r="B90" s="243" t="s">
        <v>233</v>
      </c>
      <c r="C90" s="208" t="n">
        <v>832369</v>
      </c>
      <c r="D90" s="208" t="n">
        <v>520392</v>
      </c>
      <c r="E90" s="201" t="n">
        <f aca="false">C90/D90*100-100</f>
        <v>59.9503835570109</v>
      </c>
      <c r="F90" s="208" t="n">
        <v>97917</v>
      </c>
      <c r="G90" s="208" t="n">
        <v>55373</v>
      </c>
      <c r="H90" s="201" t="n">
        <f aca="false">F90/G90*100-100</f>
        <v>76.8316688638867</v>
      </c>
      <c r="I90" s="208" t="n">
        <v>711845</v>
      </c>
      <c r="J90" s="208" t="n">
        <v>551490</v>
      </c>
      <c r="K90" s="201" t="n">
        <f aca="false">I90/J90*100-100</f>
        <v>29.0766831674192</v>
      </c>
      <c r="L90" s="203" t="n">
        <f aca="false">163128+45492</f>
        <v>208620</v>
      </c>
      <c r="M90" s="208" t="n">
        <f aca="false">163216+20892</f>
        <v>184108</v>
      </c>
      <c r="N90" s="201" t="n">
        <f aca="false">L90/M90*100-100</f>
        <v>13.3139244356573</v>
      </c>
      <c r="O90" s="203" t="n">
        <v>78</v>
      </c>
      <c r="P90" s="208" t="n">
        <v>155</v>
      </c>
      <c r="Q90" s="203" t="n">
        <v>74</v>
      </c>
      <c r="R90" s="202" t="n">
        <f aca="false">O90*P90</f>
        <v>12090</v>
      </c>
    </row>
    <row r="91" customFormat="false" ht="15" hidden="false" customHeight="false" outlineLevel="0" collapsed="false">
      <c r="A91" s="242" t="n">
        <v>10</v>
      </c>
      <c r="B91" s="243" t="s">
        <v>234</v>
      </c>
      <c r="C91" s="208" t="n">
        <v>174440</v>
      </c>
      <c r="D91" s="208" t="n">
        <v>90639</v>
      </c>
      <c r="E91" s="201" t="n">
        <f aca="false">C91/D91*100-100</f>
        <v>92.4557861406238</v>
      </c>
      <c r="F91" s="208" t="n">
        <v>11392</v>
      </c>
      <c r="G91" s="208" t="n">
        <v>15132</v>
      </c>
      <c r="H91" s="201" t="n">
        <f aca="false">F91/G91*100-100</f>
        <v>-24.7158339941845</v>
      </c>
      <c r="I91" s="208" t="n">
        <v>174440</v>
      </c>
      <c r="J91" s="208" t="n">
        <v>90639</v>
      </c>
      <c r="K91" s="201" t="n">
        <f aca="false">I91/J91*100-100</f>
        <v>92.4557861406238</v>
      </c>
      <c r="L91" s="203" t="n">
        <f aca="false">21747+70011</f>
        <v>91758</v>
      </c>
      <c r="M91" s="208" t="n">
        <f aca="false">22715+9469</f>
        <v>32184</v>
      </c>
      <c r="N91" s="201" t="n">
        <f aca="false">L91/M91*100-100</f>
        <v>185.104399701715</v>
      </c>
      <c r="O91" s="203" t="n">
        <v>51</v>
      </c>
      <c r="P91" s="208"/>
      <c r="Q91" s="203" t="n">
        <v>51</v>
      </c>
      <c r="R91" s="202"/>
    </row>
    <row r="92" customFormat="false" ht="15" hidden="false" customHeight="false" outlineLevel="0" collapsed="false">
      <c r="A92" s="244" t="n">
        <v>11</v>
      </c>
      <c r="B92" s="243" t="s">
        <v>90</v>
      </c>
      <c r="C92" s="242" t="n">
        <v>275938</v>
      </c>
      <c r="D92" s="364" t="n">
        <v>259316</v>
      </c>
      <c r="E92" s="201" t="n">
        <f aca="false">C92/D92*100-100</f>
        <v>6.40993999598945</v>
      </c>
      <c r="F92" s="208" t="n">
        <v>28841</v>
      </c>
      <c r="G92" s="208" t="n">
        <v>43459</v>
      </c>
      <c r="H92" s="201" t="n">
        <f aca="false">F92/G92*100-100</f>
        <v>-33.6363008812904</v>
      </c>
      <c r="I92" s="247" t="n">
        <v>2911031</v>
      </c>
      <c r="J92" s="248" t="n">
        <v>2744671</v>
      </c>
      <c r="K92" s="201" t="n">
        <f aca="false">I92/J92*100-100</f>
        <v>6.06120004911335</v>
      </c>
      <c r="L92" s="247" t="n">
        <v>18373</v>
      </c>
      <c r="M92" s="248" t="n">
        <v>24757</v>
      </c>
      <c r="N92" s="201" t="n">
        <f aca="false">L92/M92*100-100</f>
        <v>-25.7866462010744</v>
      </c>
      <c r="O92" s="203" t="n">
        <v>51</v>
      </c>
      <c r="P92" s="208" t="n">
        <v>250</v>
      </c>
      <c r="Q92" s="203" t="n">
        <v>52</v>
      </c>
      <c r="R92" s="202" t="n">
        <f aca="false">O92*P92</f>
        <v>12750</v>
      </c>
    </row>
    <row r="93" customFormat="false" ht="15" hidden="false" customHeight="false" outlineLevel="0" collapsed="false">
      <c r="A93" s="215" t="s">
        <v>91</v>
      </c>
      <c r="B93" s="215" t="s">
        <v>92</v>
      </c>
      <c r="C93" s="237" t="n">
        <f aca="false">SUM(C82:C92)</f>
        <v>5919829</v>
      </c>
      <c r="D93" s="237" t="n">
        <f aca="false">SUM(D82:D92)</f>
        <v>5259879</v>
      </c>
      <c r="E93" s="313" t="n">
        <f aca="false">C93/D93*100-100</f>
        <v>12.5468665724059</v>
      </c>
      <c r="F93" s="237" t="n">
        <f aca="false">SUM(F82:F92)</f>
        <v>692058</v>
      </c>
      <c r="G93" s="237" t="n">
        <f aca="false">SUM(G82:G92)</f>
        <v>689970</v>
      </c>
      <c r="H93" s="313" t="n">
        <f aca="false">F93/G93*100-100</f>
        <v>0.302621853124037</v>
      </c>
      <c r="I93" s="237" t="n">
        <f aca="false">SUM(I82:I92)</f>
        <v>8816574</v>
      </c>
      <c r="J93" s="237" t="n">
        <f aca="false">SUM(J82:J92)</f>
        <v>8866694</v>
      </c>
      <c r="K93" s="313" t="n">
        <f aca="false">I93/J93*100-100</f>
        <v>-0.565261415359544</v>
      </c>
      <c r="L93" s="237" t="n">
        <f aca="false">SUM(L82:L92)</f>
        <v>2817806</v>
      </c>
      <c r="M93" s="237" t="n">
        <f aca="false">SUM(M82:M92)</f>
        <v>2587495</v>
      </c>
      <c r="N93" s="313" t="n">
        <f aca="false">L93/M93*100-100</f>
        <v>8.90092541241626</v>
      </c>
      <c r="O93" s="216" t="n">
        <f aca="false">SUM(O82:O92)</f>
        <v>3884</v>
      </c>
      <c r="P93" s="217" t="n">
        <f aca="false">R93/O93</f>
        <v>113.851184346035</v>
      </c>
      <c r="Q93" s="216" t="n">
        <f aca="false">SUM(Q82:Q92)</f>
        <v>3879</v>
      </c>
      <c r="R93" s="232" t="n">
        <f aca="false">SUM(R82:R92)</f>
        <v>442198</v>
      </c>
    </row>
    <row r="94" customFormat="false" ht="15" hidden="false" customHeight="false" outlineLevel="0" collapsed="false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192"/>
      <c r="L94" s="203"/>
      <c r="M94" s="203"/>
      <c r="N94" s="203"/>
      <c r="O94" s="203"/>
      <c r="P94" s="219"/>
      <c r="Q94" s="203"/>
      <c r="R94" s="197"/>
    </row>
    <row r="95" customFormat="false" ht="15" hidden="false" customHeight="false" outlineLevel="0" collapsed="false">
      <c r="A95" s="190" t="s">
        <v>93</v>
      </c>
      <c r="B95" s="190"/>
      <c r="C95" s="195" t="n">
        <v>3</v>
      </c>
      <c r="D95" s="195" t="n">
        <v>4</v>
      </c>
      <c r="E95" s="196" t="n">
        <v>5</v>
      </c>
      <c r="F95" s="195" t="n">
        <v>6</v>
      </c>
      <c r="G95" s="195" t="n">
        <v>7</v>
      </c>
      <c r="H95" s="195" t="n">
        <v>8</v>
      </c>
      <c r="I95" s="195" t="n">
        <v>9</v>
      </c>
      <c r="J95" s="195" t="n">
        <v>10</v>
      </c>
      <c r="K95" s="195" t="n">
        <v>11</v>
      </c>
      <c r="L95" s="195" t="n">
        <v>12</v>
      </c>
      <c r="M95" s="195" t="n">
        <v>13</v>
      </c>
      <c r="N95" s="195" t="n">
        <v>14</v>
      </c>
      <c r="O95" s="195" t="n">
        <v>15</v>
      </c>
      <c r="P95" s="196" t="n">
        <v>16</v>
      </c>
      <c r="Q95" s="195" t="n">
        <v>17</v>
      </c>
      <c r="R95" s="197"/>
    </row>
    <row r="96" customFormat="false" ht="15" hidden="false" customHeight="false" outlineLevel="0" collapsed="false">
      <c r="A96" s="249" t="n">
        <v>1</v>
      </c>
      <c r="B96" s="245" t="s">
        <v>94</v>
      </c>
      <c r="C96" s="250" t="n">
        <v>323692</v>
      </c>
      <c r="D96" s="250" t="n">
        <v>249013</v>
      </c>
      <c r="E96" s="201" t="n">
        <f aca="false">C96/D96*100-100</f>
        <v>29.9900005220611</v>
      </c>
      <c r="F96" s="250" t="n">
        <v>47105</v>
      </c>
      <c r="G96" s="250" t="n">
        <v>40010</v>
      </c>
      <c r="H96" s="201" t="n">
        <f aca="false">F96/G96*100-100</f>
        <v>17.7330667333167</v>
      </c>
      <c r="I96" s="250" t="n">
        <v>306525</v>
      </c>
      <c r="J96" s="251" t="n">
        <v>220428</v>
      </c>
      <c r="K96" s="201" t="n">
        <f aca="false">I96/J96*100-100</f>
        <v>39.0590124666558</v>
      </c>
      <c r="L96" s="250" t="n">
        <v>306505</v>
      </c>
      <c r="M96" s="250" t="n">
        <v>220383</v>
      </c>
      <c r="N96" s="201" t="n">
        <f aca="false">L96/M96*100-100</f>
        <v>39.0783318132524</v>
      </c>
      <c r="O96" s="250" t="n">
        <v>317</v>
      </c>
      <c r="P96" s="250" t="n">
        <v>105</v>
      </c>
      <c r="Q96" s="250" t="n">
        <v>269</v>
      </c>
      <c r="R96" s="202" t="n">
        <f aca="false">O96*P96</f>
        <v>33285</v>
      </c>
    </row>
    <row r="97" customFormat="false" ht="15" hidden="false" customHeight="false" outlineLevel="0" collapsed="false">
      <c r="A97" s="249" t="n">
        <v>2</v>
      </c>
      <c r="B97" s="245" t="s">
        <v>95</v>
      </c>
      <c r="C97" s="200" t="n">
        <v>0</v>
      </c>
      <c r="D97" s="200" t="n">
        <v>0</v>
      </c>
      <c r="E97" s="201" t="n">
        <v>0</v>
      </c>
      <c r="F97" s="200" t="n">
        <v>0</v>
      </c>
      <c r="G97" s="200" t="n">
        <v>0</v>
      </c>
      <c r="H97" s="201" t="n">
        <v>0</v>
      </c>
      <c r="I97" s="200" t="n">
        <v>0</v>
      </c>
      <c r="J97" s="200" t="n">
        <v>0</v>
      </c>
      <c r="K97" s="201" t="n">
        <v>0</v>
      </c>
      <c r="L97" s="200" t="n">
        <v>0</v>
      </c>
      <c r="M97" s="200" t="n">
        <v>0</v>
      </c>
      <c r="N97" s="201" t="n">
        <v>0</v>
      </c>
      <c r="O97" s="250" t="n">
        <v>0</v>
      </c>
      <c r="P97" s="250" t="n">
        <v>0</v>
      </c>
      <c r="Q97" s="250" t="n">
        <v>0</v>
      </c>
      <c r="R97" s="202" t="n">
        <f aca="false">O97*P97</f>
        <v>0</v>
      </c>
    </row>
    <row r="98" customFormat="false" ht="15" hidden="false" customHeight="false" outlineLevel="0" collapsed="false">
      <c r="A98" s="249" t="n">
        <v>3</v>
      </c>
      <c r="B98" s="243" t="s">
        <v>96</v>
      </c>
      <c r="C98" s="200" t="n">
        <v>0</v>
      </c>
      <c r="D98" s="200" t="n">
        <v>0</v>
      </c>
      <c r="E98" s="201" t="n">
        <v>0</v>
      </c>
      <c r="F98" s="200" t="n">
        <v>0</v>
      </c>
      <c r="G98" s="200" t="n">
        <v>0</v>
      </c>
      <c r="H98" s="201" t="n">
        <v>0</v>
      </c>
      <c r="I98" s="200" t="n">
        <v>0</v>
      </c>
      <c r="J98" s="200" t="n">
        <v>0</v>
      </c>
      <c r="K98" s="201" t="n">
        <v>0</v>
      </c>
      <c r="L98" s="200" t="n">
        <v>0</v>
      </c>
      <c r="M98" s="200" t="n">
        <v>0</v>
      </c>
      <c r="N98" s="201" t="n">
        <v>0</v>
      </c>
      <c r="O98" s="250" t="n">
        <v>0</v>
      </c>
      <c r="P98" s="250" t="n">
        <v>0</v>
      </c>
      <c r="Q98" s="250" t="n">
        <v>0</v>
      </c>
      <c r="R98" s="202" t="n">
        <v>0</v>
      </c>
      <c r="S98" s="347"/>
    </row>
    <row r="99" customFormat="false" ht="15" hidden="false" customHeight="false" outlineLevel="0" collapsed="false">
      <c r="A99" s="249" t="n">
        <v>4</v>
      </c>
      <c r="B99" s="243" t="s">
        <v>97</v>
      </c>
      <c r="C99" s="200" t="n">
        <v>28600</v>
      </c>
      <c r="D99" s="200" t="n">
        <v>0</v>
      </c>
      <c r="E99" s="201" t="n">
        <v>0</v>
      </c>
      <c r="F99" s="200" t="n">
        <v>5775</v>
      </c>
      <c r="G99" s="200" t="n">
        <v>0</v>
      </c>
      <c r="H99" s="201" t="n">
        <v>0</v>
      </c>
      <c r="I99" s="200" t="n">
        <v>17322</v>
      </c>
      <c r="J99" s="200" t="n">
        <v>9964</v>
      </c>
      <c r="K99" s="201" t="n">
        <v>0</v>
      </c>
      <c r="L99" s="200" t="n">
        <v>0</v>
      </c>
      <c r="M99" s="200" t="n">
        <v>0</v>
      </c>
      <c r="N99" s="201" t="n">
        <v>0</v>
      </c>
      <c r="O99" s="250" t="n">
        <v>34</v>
      </c>
      <c r="P99" s="250" t="n">
        <v>150</v>
      </c>
      <c r="Q99" s="250" t="n">
        <v>34</v>
      </c>
      <c r="R99" s="202" t="n">
        <f aca="false">O99*P99</f>
        <v>5100</v>
      </c>
    </row>
    <row r="100" customFormat="false" ht="15" hidden="false" customHeight="false" outlineLevel="0" collapsed="false">
      <c r="A100" s="249" t="n">
        <v>5</v>
      </c>
      <c r="B100" s="245" t="s">
        <v>98</v>
      </c>
      <c r="C100" s="250" t="n">
        <v>428614</v>
      </c>
      <c r="D100" s="250" t="n">
        <v>605475</v>
      </c>
      <c r="E100" s="201" t="n">
        <f aca="false">C100/D100*100-100</f>
        <v>-29.2102894421735</v>
      </c>
      <c r="F100" s="250" t="n">
        <v>26366</v>
      </c>
      <c r="G100" s="250" t="n">
        <v>169424</v>
      </c>
      <c r="H100" s="201" t="n">
        <f aca="false">F100/G100*100-100</f>
        <v>-84.4378600434413</v>
      </c>
      <c r="I100" s="250" t="n">
        <v>433932</v>
      </c>
      <c r="J100" s="250" t="n">
        <v>542340</v>
      </c>
      <c r="K100" s="201" t="n">
        <f aca="false">I100/J100*100-100</f>
        <v>-19.9889368292953</v>
      </c>
      <c r="L100" s="250" t="n">
        <f aca="false">9126+424806</f>
        <v>433932</v>
      </c>
      <c r="M100" s="250" t="n">
        <v>542340</v>
      </c>
      <c r="N100" s="201" t="n">
        <f aca="false">L100/M100*100-100</f>
        <v>-19.9889368292953</v>
      </c>
      <c r="O100" s="250" t="n">
        <v>408</v>
      </c>
      <c r="P100" s="250" t="n">
        <v>52</v>
      </c>
      <c r="Q100" s="250" t="n">
        <v>408</v>
      </c>
      <c r="R100" s="202" t="n">
        <f aca="false">O100*P100</f>
        <v>21216</v>
      </c>
    </row>
    <row r="101" customFormat="false" ht="15" hidden="false" customHeight="false" outlineLevel="0" collapsed="false">
      <c r="A101" s="249" t="n">
        <v>6</v>
      </c>
      <c r="B101" s="245" t="s">
        <v>99</v>
      </c>
      <c r="C101" s="200" t="n">
        <v>0</v>
      </c>
      <c r="D101" s="200" t="n">
        <v>0</v>
      </c>
      <c r="E101" s="201" t="n">
        <v>0</v>
      </c>
      <c r="F101" s="200" t="n">
        <v>0</v>
      </c>
      <c r="G101" s="200" t="n">
        <v>0</v>
      </c>
      <c r="H101" s="201" t="n">
        <v>0</v>
      </c>
      <c r="I101" s="200" t="n">
        <v>0</v>
      </c>
      <c r="J101" s="200" t="n">
        <v>0</v>
      </c>
      <c r="K101" s="201" t="n">
        <v>0</v>
      </c>
      <c r="L101" s="200" t="n">
        <v>0</v>
      </c>
      <c r="M101" s="200" t="n">
        <v>0</v>
      </c>
      <c r="N101" s="201" t="n">
        <v>0</v>
      </c>
      <c r="O101" s="250" t="n">
        <v>0</v>
      </c>
      <c r="P101" s="250" t="n">
        <v>0</v>
      </c>
      <c r="Q101" s="250" t="n">
        <v>0</v>
      </c>
      <c r="R101" s="202" t="n">
        <f aca="false">O101*P101</f>
        <v>0</v>
      </c>
    </row>
    <row r="102" customFormat="false" ht="15" hidden="false" customHeight="false" outlineLevel="0" collapsed="false">
      <c r="A102" s="249" t="n">
        <v>7</v>
      </c>
      <c r="B102" s="243" t="s">
        <v>100</v>
      </c>
      <c r="C102" s="200" t="n">
        <v>0</v>
      </c>
      <c r="D102" s="200" t="n">
        <v>0</v>
      </c>
      <c r="E102" s="201" t="n">
        <v>0</v>
      </c>
      <c r="F102" s="200" t="n">
        <v>0</v>
      </c>
      <c r="G102" s="200" t="n">
        <v>0</v>
      </c>
      <c r="H102" s="201" t="n">
        <v>0</v>
      </c>
      <c r="I102" s="200" t="n">
        <v>0</v>
      </c>
      <c r="J102" s="200" t="n">
        <v>0</v>
      </c>
      <c r="K102" s="201" t="n">
        <v>0</v>
      </c>
      <c r="L102" s="200" t="n">
        <v>0</v>
      </c>
      <c r="M102" s="200" t="n">
        <v>0</v>
      </c>
      <c r="N102" s="201" t="n">
        <v>0</v>
      </c>
      <c r="O102" s="250" t="n">
        <v>0</v>
      </c>
      <c r="P102" s="250" t="n">
        <v>0</v>
      </c>
      <c r="Q102" s="250" t="n">
        <v>0</v>
      </c>
      <c r="R102" s="202" t="n">
        <f aca="false">O102*P102</f>
        <v>0</v>
      </c>
    </row>
    <row r="103" customFormat="false" ht="15" hidden="false" customHeight="false" outlineLevel="0" collapsed="false">
      <c r="A103" s="249" t="n">
        <v>8</v>
      </c>
      <c r="B103" s="245" t="s">
        <v>101</v>
      </c>
      <c r="C103" s="208" t="n">
        <v>318719</v>
      </c>
      <c r="D103" s="208" t="n">
        <v>299361</v>
      </c>
      <c r="E103" s="201" t="n">
        <f aca="false">C103/D103*100-100</f>
        <v>6.46644018425914</v>
      </c>
      <c r="F103" s="208" t="n">
        <v>21742</v>
      </c>
      <c r="G103" s="208" t="n">
        <v>48950</v>
      </c>
      <c r="H103" s="201" t="n">
        <f aca="false">F103/G103*100-100</f>
        <v>-55.5832482124617</v>
      </c>
      <c r="I103" s="208" t="n">
        <v>352760</v>
      </c>
      <c r="J103" s="208" t="n">
        <v>240401</v>
      </c>
      <c r="K103" s="201" t="n">
        <f aca="false">I103/J103*100-100</f>
        <v>46.7381583271284</v>
      </c>
      <c r="L103" s="208" t="n">
        <f aca="false">38543+69157</f>
        <v>107700</v>
      </c>
      <c r="M103" s="208" t="n">
        <f aca="false">8691+64143</f>
        <v>72834</v>
      </c>
      <c r="N103" s="223" t="n">
        <f aca="false">L103/M103*100-100</f>
        <v>47.8705000411896</v>
      </c>
      <c r="O103" s="250" t="n">
        <v>127</v>
      </c>
      <c r="P103" s="250" t="n">
        <v>146</v>
      </c>
      <c r="Q103" s="250" t="n">
        <v>127</v>
      </c>
      <c r="R103" s="202" t="n">
        <f aca="false">O103*P103</f>
        <v>18542</v>
      </c>
    </row>
    <row r="104" customFormat="false" ht="15" hidden="false" customHeight="false" outlineLevel="0" collapsed="false">
      <c r="A104" s="249" t="n">
        <v>9</v>
      </c>
      <c r="B104" s="245" t="s">
        <v>102</v>
      </c>
      <c r="C104" s="200" t="n">
        <v>0</v>
      </c>
      <c r="D104" s="200" t="n">
        <v>0</v>
      </c>
      <c r="E104" s="201" t="n">
        <v>0</v>
      </c>
      <c r="F104" s="200" t="n">
        <v>0</v>
      </c>
      <c r="G104" s="200" t="n">
        <v>0</v>
      </c>
      <c r="H104" s="201" t="n">
        <v>0</v>
      </c>
      <c r="I104" s="200" t="n">
        <v>0</v>
      </c>
      <c r="J104" s="200" t="n">
        <v>0</v>
      </c>
      <c r="K104" s="201" t="n">
        <v>0</v>
      </c>
      <c r="L104" s="200" t="n">
        <v>0</v>
      </c>
      <c r="M104" s="200" t="n">
        <v>0</v>
      </c>
      <c r="N104" s="201" t="n">
        <v>0</v>
      </c>
      <c r="O104" s="250" t="n">
        <v>0</v>
      </c>
      <c r="P104" s="250" t="n">
        <v>0</v>
      </c>
      <c r="Q104" s="250" t="n">
        <v>0</v>
      </c>
      <c r="R104" s="202" t="n">
        <f aca="false">O104*P104</f>
        <v>0</v>
      </c>
    </row>
    <row r="105" customFormat="false" ht="15" hidden="false" customHeight="false" outlineLevel="0" collapsed="false">
      <c r="A105" s="249" t="n">
        <v>10</v>
      </c>
      <c r="B105" s="243" t="s">
        <v>220</v>
      </c>
      <c r="C105" s="203" t="n">
        <v>131674</v>
      </c>
      <c r="D105" s="203" t="n">
        <v>96827</v>
      </c>
      <c r="E105" s="201" t="n">
        <f aca="false">C105/D105*100-100</f>
        <v>35.9889287079017</v>
      </c>
      <c r="F105" s="203" t="n">
        <v>0</v>
      </c>
      <c r="G105" s="203" t="n">
        <v>6237</v>
      </c>
      <c r="H105" s="201" t="n">
        <v>0</v>
      </c>
      <c r="I105" s="203" t="n">
        <v>131674</v>
      </c>
      <c r="J105" s="203" t="n">
        <v>96827</v>
      </c>
      <c r="K105" s="201" t="n">
        <f aca="false">I105/J105*100-100</f>
        <v>35.9889287079017</v>
      </c>
      <c r="L105" s="203" t="n">
        <v>131674</v>
      </c>
      <c r="M105" s="203" t="n">
        <v>96827</v>
      </c>
      <c r="N105" s="201" t="n">
        <f aca="false">L105/M105*100-100</f>
        <v>35.9889287079017</v>
      </c>
      <c r="O105" s="250" t="n">
        <v>91</v>
      </c>
      <c r="P105" s="250" t="n">
        <v>63</v>
      </c>
      <c r="Q105" s="250" t="n">
        <v>86</v>
      </c>
      <c r="R105" s="202" t="n">
        <f aca="false">O105*P105</f>
        <v>5733</v>
      </c>
    </row>
    <row r="106" customFormat="false" ht="15" hidden="false" customHeight="false" outlineLevel="0" collapsed="false">
      <c r="A106" s="249" t="n">
        <v>11</v>
      </c>
      <c r="B106" s="245" t="s">
        <v>104</v>
      </c>
      <c r="C106" s="200" t="n">
        <v>0</v>
      </c>
      <c r="D106" s="200" t="n">
        <v>0</v>
      </c>
      <c r="E106" s="201" t="n">
        <v>0</v>
      </c>
      <c r="F106" s="200" t="n">
        <v>0</v>
      </c>
      <c r="G106" s="200" t="n">
        <v>0</v>
      </c>
      <c r="H106" s="201" t="n">
        <v>0</v>
      </c>
      <c r="I106" s="200" t="n">
        <v>0</v>
      </c>
      <c r="J106" s="200" t="n">
        <v>0</v>
      </c>
      <c r="K106" s="201" t="n">
        <v>0</v>
      </c>
      <c r="L106" s="200" t="n">
        <v>0</v>
      </c>
      <c r="M106" s="200" t="n">
        <v>0</v>
      </c>
      <c r="N106" s="201" t="n">
        <v>0</v>
      </c>
      <c r="O106" s="250" t="n">
        <v>0</v>
      </c>
      <c r="P106" s="250" t="n">
        <v>0</v>
      </c>
      <c r="Q106" s="250" t="n">
        <v>0</v>
      </c>
      <c r="R106" s="202" t="n">
        <f aca="false">O106*P106</f>
        <v>0</v>
      </c>
    </row>
    <row r="107" customFormat="false" ht="15" hidden="false" customHeight="false" outlineLevel="0" collapsed="false">
      <c r="A107" s="249" t="n">
        <v>12</v>
      </c>
      <c r="B107" s="245" t="s">
        <v>221</v>
      </c>
      <c r="C107" s="251" t="n">
        <v>70815</v>
      </c>
      <c r="D107" s="250" t="n">
        <v>79024</v>
      </c>
      <c r="E107" s="201" t="n">
        <f aca="false">C107/D107*100-100</f>
        <v>-10.3879833974489</v>
      </c>
      <c r="F107" s="251" t="n">
        <v>7085</v>
      </c>
      <c r="G107" s="250" t="n">
        <v>10930</v>
      </c>
      <c r="H107" s="201" t="n">
        <f aca="false">F107/G107*100-100</f>
        <v>-35.1784080512351</v>
      </c>
      <c r="I107" s="251" t="n">
        <v>67500</v>
      </c>
      <c r="J107" s="251" t="n">
        <v>87580</v>
      </c>
      <c r="K107" s="201" t="n">
        <f aca="false">I107/J107*100-100</f>
        <v>-22.9276090431605</v>
      </c>
      <c r="L107" s="250" t="n">
        <v>0</v>
      </c>
      <c r="M107" s="250" t="n">
        <v>0</v>
      </c>
      <c r="N107" s="201" t="n">
        <v>0</v>
      </c>
      <c r="O107" s="250" t="n">
        <v>12</v>
      </c>
      <c r="P107" s="250" t="n">
        <v>58</v>
      </c>
      <c r="Q107" s="250" t="n">
        <v>12</v>
      </c>
      <c r="R107" s="202" t="n">
        <f aca="false">O107*P107</f>
        <v>696</v>
      </c>
    </row>
    <row r="108" customFormat="false" ht="15" hidden="false" customHeight="false" outlineLevel="0" collapsed="false">
      <c r="A108" s="249" t="n">
        <v>13</v>
      </c>
      <c r="B108" s="245" t="s">
        <v>222</v>
      </c>
      <c r="C108" s="251" t="n">
        <v>12601</v>
      </c>
      <c r="D108" s="251" t="n">
        <v>39798</v>
      </c>
      <c r="E108" s="251" t="n">
        <f aca="false">C108/D108*100-100</f>
        <v>-68.3376049047691</v>
      </c>
      <c r="F108" s="251" t="n">
        <v>2342</v>
      </c>
      <c r="G108" s="251" t="n">
        <v>2394</v>
      </c>
      <c r="H108" s="251" t="n">
        <f aca="false">F108/G108*100-100</f>
        <v>-2.17209690893901</v>
      </c>
      <c r="I108" s="251" t="n">
        <v>9730</v>
      </c>
      <c r="J108" s="251" t="n">
        <v>81113</v>
      </c>
      <c r="K108" s="260" t="n">
        <f aca="false">I108/J108*100-100</f>
        <v>-88.0043889388877</v>
      </c>
      <c r="L108" s="251" t="n">
        <v>1529</v>
      </c>
      <c r="M108" s="251" t="n">
        <v>70528</v>
      </c>
      <c r="N108" s="260" t="n">
        <f aca="false">L108/M108*100-100</f>
        <v>-97.8320666969147</v>
      </c>
      <c r="O108" s="251" t="n">
        <v>57</v>
      </c>
      <c r="P108" s="251" t="n">
        <v>69</v>
      </c>
      <c r="Q108" s="250" t="n">
        <v>58</v>
      </c>
      <c r="R108" s="202" t="n">
        <f aca="false">O108*P108</f>
        <v>3933</v>
      </c>
    </row>
    <row r="109" customFormat="false" ht="15" hidden="false" customHeight="false" outlineLevel="0" collapsed="false">
      <c r="A109" s="249" t="n">
        <v>14</v>
      </c>
      <c r="B109" s="245" t="s">
        <v>223</v>
      </c>
      <c r="C109" s="200" t="n">
        <v>0</v>
      </c>
      <c r="D109" s="200" t="n">
        <v>0</v>
      </c>
      <c r="E109" s="201" t="n">
        <v>0</v>
      </c>
      <c r="F109" s="200" t="n">
        <v>0</v>
      </c>
      <c r="G109" s="200" t="n">
        <v>0</v>
      </c>
      <c r="H109" s="201" t="n">
        <v>0</v>
      </c>
      <c r="I109" s="200" t="n">
        <v>0</v>
      </c>
      <c r="J109" s="200" t="n">
        <v>0</v>
      </c>
      <c r="K109" s="201" t="n">
        <v>0</v>
      </c>
      <c r="L109" s="200" t="n">
        <v>0</v>
      </c>
      <c r="M109" s="200" t="n">
        <v>0</v>
      </c>
      <c r="N109" s="201" t="n">
        <v>0</v>
      </c>
      <c r="O109" s="250" t="n">
        <v>0</v>
      </c>
      <c r="P109" s="250" t="n">
        <v>0</v>
      </c>
      <c r="Q109" s="250" t="n">
        <v>0</v>
      </c>
      <c r="R109" s="202" t="n">
        <f aca="false">O109*P109</f>
        <v>0</v>
      </c>
    </row>
    <row r="110" customFormat="false" ht="15" hidden="false" customHeight="false" outlineLevel="0" collapsed="false">
      <c r="A110" s="249" t="n">
        <v>15</v>
      </c>
      <c r="B110" s="245" t="s">
        <v>224</v>
      </c>
      <c r="C110" s="208" t="n">
        <v>105981</v>
      </c>
      <c r="D110" s="208" t="n">
        <v>58411</v>
      </c>
      <c r="E110" s="201" t="n">
        <f aca="false">C110/D110*100-100</f>
        <v>81.4401396997141</v>
      </c>
      <c r="F110" s="208" t="n">
        <v>2752</v>
      </c>
      <c r="G110" s="208" t="n">
        <v>14490</v>
      </c>
      <c r="H110" s="201" t="n">
        <f aca="false">F110/G110*100-100</f>
        <v>-81.007591442374</v>
      </c>
      <c r="I110" s="208" t="n">
        <v>105981</v>
      </c>
      <c r="J110" s="208" t="n">
        <v>58411</v>
      </c>
      <c r="K110" s="201" t="n">
        <f aca="false">I110/J110*100-100</f>
        <v>81.4401396997141</v>
      </c>
      <c r="L110" s="208" t="n">
        <v>105981</v>
      </c>
      <c r="M110" s="208" t="n">
        <v>58411</v>
      </c>
      <c r="N110" s="201" t="n">
        <f aca="false">L110/M110*100-100</f>
        <v>81.4401396997141</v>
      </c>
      <c r="O110" s="250" t="n">
        <v>94</v>
      </c>
      <c r="P110" s="250" t="n">
        <v>85</v>
      </c>
      <c r="Q110" s="250" t="n">
        <v>95</v>
      </c>
      <c r="R110" s="202" t="n">
        <f aca="false">O110*P110</f>
        <v>7990</v>
      </c>
    </row>
    <row r="111" customFormat="false" ht="15" hidden="false" customHeight="false" outlineLevel="0" collapsed="false">
      <c r="A111" s="249" t="n">
        <v>16</v>
      </c>
      <c r="B111" s="245" t="s">
        <v>109</v>
      </c>
      <c r="C111" s="208" t="n">
        <v>185335</v>
      </c>
      <c r="D111" s="208" t="n">
        <v>417227</v>
      </c>
      <c r="E111" s="201" t="n">
        <f aca="false">C111/D111*100-100</f>
        <v>-55.5793369077265</v>
      </c>
      <c r="F111" s="208" t="n">
        <v>16945</v>
      </c>
      <c r="G111" s="208" t="n">
        <v>31769</v>
      </c>
      <c r="H111" s="201" t="n">
        <f aca="false">F111/G111*100-100</f>
        <v>-46.6618401586452</v>
      </c>
      <c r="I111" s="208" t="n">
        <v>183392</v>
      </c>
      <c r="J111" s="208" t="n">
        <v>408017</v>
      </c>
      <c r="K111" s="201" t="n">
        <f aca="false">I111/J111*100-100</f>
        <v>-55.0528531899406</v>
      </c>
      <c r="L111" s="208" t="n">
        <v>0</v>
      </c>
      <c r="M111" s="208" t="n">
        <v>0</v>
      </c>
      <c r="N111" s="201" t="n">
        <v>0</v>
      </c>
      <c r="O111" s="250" t="n">
        <v>100</v>
      </c>
      <c r="P111" s="250" t="n">
        <v>68</v>
      </c>
      <c r="Q111" s="250" t="n">
        <v>98</v>
      </c>
      <c r="R111" s="202" t="n">
        <f aca="false">O111*P111</f>
        <v>6800</v>
      </c>
    </row>
    <row r="112" customFormat="false" ht="15" hidden="false" customHeight="false" outlineLevel="0" collapsed="false">
      <c r="A112" s="249" t="n">
        <v>17</v>
      </c>
      <c r="B112" s="245" t="s">
        <v>110</v>
      </c>
      <c r="C112" s="251" t="n">
        <v>541040</v>
      </c>
      <c r="D112" s="250" t="n">
        <v>760476</v>
      </c>
      <c r="E112" s="201" t="n">
        <f aca="false">C112/D112*100-100</f>
        <v>-28.8550854990822</v>
      </c>
      <c r="F112" s="251" t="n">
        <v>73123</v>
      </c>
      <c r="G112" s="251" t="n">
        <v>89586</v>
      </c>
      <c r="H112" s="201" t="n">
        <f aca="false">F112/G112*100-100</f>
        <v>-18.3767552965865</v>
      </c>
      <c r="I112" s="251" t="n">
        <v>487232</v>
      </c>
      <c r="J112" s="251" t="n">
        <v>711708</v>
      </c>
      <c r="K112" s="201" t="n">
        <f aca="false">I112/J112*100-100</f>
        <v>-31.5404632236816</v>
      </c>
      <c r="L112" s="250" t="n">
        <v>0</v>
      </c>
      <c r="M112" s="250" t="n">
        <v>0</v>
      </c>
      <c r="N112" s="251" t="n">
        <v>0</v>
      </c>
      <c r="O112" s="250" t="n">
        <v>171</v>
      </c>
      <c r="P112" s="250" t="n">
        <v>90</v>
      </c>
      <c r="Q112" s="250" t="n">
        <v>169</v>
      </c>
      <c r="R112" s="202" t="n">
        <f aca="false">O112*P112</f>
        <v>15390</v>
      </c>
    </row>
    <row r="113" customFormat="false" ht="15" hidden="false" customHeight="false" outlineLevel="0" collapsed="false">
      <c r="A113" s="249" t="n">
        <v>18</v>
      </c>
      <c r="B113" s="243" t="s">
        <v>111</v>
      </c>
      <c r="C113" s="208" t="n">
        <v>509566</v>
      </c>
      <c r="D113" s="208" t="n">
        <v>332097</v>
      </c>
      <c r="E113" s="201" t="n">
        <f aca="false">C113/D113*100-100</f>
        <v>53.4389048982677</v>
      </c>
      <c r="F113" s="208" t="n">
        <v>5984</v>
      </c>
      <c r="G113" s="208" t="n">
        <v>31381</v>
      </c>
      <c r="H113" s="201" t="n">
        <f aca="false">F113/G113*100-100</f>
        <v>-80.9311366750582</v>
      </c>
      <c r="I113" s="208" t="n">
        <v>509566</v>
      </c>
      <c r="J113" s="208" t="n">
        <v>332097</v>
      </c>
      <c r="K113" s="201" t="n">
        <f aca="false">I113/J113*100-100</f>
        <v>53.4389048982677</v>
      </c>
      <c r="L113" s="208" t="n">
        <f aca="false">4826+1158</f>
        <v>5984</v>
      </c>
      <c r="M113" s="208" t="n">
        <v>332097</v>
      </c>
      <c r="N113" s="201" t="n">
        <f aca="false">L113/M113*100-100</f>
        <v>-98.1981168152678</v>
      </c>
      <c r="O113" s="250" t="n">
        <v>117</v>
      </c>
      <c r="P113" s="250" t="n">
        <v>70</v>
      </c>
      <c r="Q113" s="250" t="n">
        <v>361</v>
      </c>
      <c r="R113" s="202" t="n">
        <f aca="false">O113*P113</f>
        <v>8190</v>
      </c>
    </row>
    <row r="114" customFormat="false" ht="15" hidden="false" customHeight="false" outlineLevel="0" collapsed="false">
      <c r="A114" s="249" t="n">
        <v>19</v>
      </c>
      <c r="B114" s="245" t="s">
        <v>112</v>
      </c>
      <c r="C114" s="200" t="n">
        <v>0</v>
      </c>
      <c r="D114" s="200" t="n">
        <v>0</v>
      </c>
      <c r="E114" s="201" t="n">
        <v>0</v>
      </c>
      <c r="F114" s="200" t="n">
        <v>0</v>
      </c>
      <c r="G114" s="200" t="n">
        <v>0</v>
      </c>
      <c r="H114" s="201" t="n">
        <v>0</v>
      </c>
      <c r="I114" s="200" t="n">
        <v>0</v>
      </c>
      <c r="J114" s="200" t="n">
        <v>0</v>
      </c>
      <c r="K114" s="201" t="n">
        <v>0</v>
      </c>
      <c r="L114" s="200" t="n">
        <v>0</v>
      </c>
      <c r="M114" s="200" t="n">
        <v>0</v>
      </c>
      <c r="N114" s="201" t="n">
        <v>0</v>
      </c>
      <c r="O114" s="251" t="n">
        <v>0</v>
      </c>
      <c r="P114" s="251" t="n">
        <v>0</v>
      </c>
      <c r="Q114" s="251" t="n">
        <v>0</v>
      </c>
      <c r="R114" s="202" t="n">
        <f aca="false">O114*P114</f>
        <v>0</v>
      </c>
    </row>
    <row r="115" customFormat="false" ht="15" hidden="false" customHeight="false" outlineLevel="0" collapsed="false">
      <c r="A115" s="249" t="n">
        <v>20</v>
      </c>
      <c r="B115" s="245" t="s">
        <v>113</v>
      </c>
      <c r="C115" s="200" t="n">
        <v>0</v>
      </c>
      <c r="D115" s="200" t="n">
        <v>0</v>
      </c>
      <c r="E115" s="201" t="n">
        <v>0</v>
      </c>
      <c r="F115" s="200" t="n">
        <v>0</v>
      </c>
      <c r="G115" s="200" t="n">
        <v>0</v>
      </c>
      <c r="H115" s="201" t="n">
        <v>0</v>
      </c>
      <c r="I115" s="200" t="n">
        <v>0</v>
      </c>
      <c r="J115" s="200" t="n">
        <v>0</v>
      </c>
      <c r="K115" s="201" t="n">
        <v>0</v>
      </c>
      <c r="L115" s="200" t="n">
        <v>0</v>
      </c>
      <c r="M115" s="200" t="n">
        <v>0</v>
      </c>
      <c r="N115" s="201" t="n">
        <v>0</v>
      </c>
      <c r="O115" s="251" t="n">
        <v>0</v>
      </c>
      <c r="P115" s="251" t="n">
        <v>0</v>
      </c>
      <c r="Q115" s="251" t="n">
        <v>0</v>
      </c>
      <c r="R115" s="202" t="n">
        <f aca="false">O115*P115</f>
        <v>0</v>
      </c>
    </row>
    <row r="116" customFormat="false" ht="15" hidden="false" customHeight="false" outlineLevel="0" collapsed="false">
      <c r="A116" s="249" t="n">
        <v>21</v>
      </c>
      <c r="B116" s="245" t="s">
        <v>225</v>
      </c>
      <c r="C116" s="250" t="n">
        <v>72036</v>
      </c>
      <c r="D116" s="250" t="n">
        <v>39271</v>
      </c>
      <c r="E116" s="201" t="n">
        <f aca="false">C116/D116*100-100</f>
        <v>83.4330676580683</v>
      </c>
      <c r="F116" s="250" t="n">
        <v>12568</v>
      </c>
      <c r="G116" s="250" t="n">
        <v>9856</v>
      </c>
      <c r="H116" s="201" t="n">
        <f aca="false">F116/G116*100-100</f>
        <v>27.5162337662338</v>
      </c>
      <c r="I116" s="250" t="n">
        <v>72036</v>
      </c>
      <c r="J116" s="250" t="n">
        <v>39271</v>
      </c>
      <c r="K116" s="201" t="n">
        <f aca="false">I116/J116*100-100</f>
        <v>83.4330676580683</v>
      </c>
      <c r="L116" s="250" t="n">
        <v>54261</v>
      </c>
      <c r="M116" s="250" t="n">
        <v>37605</v>
      </c>
      <c r="N116" s="201" t="n">
        <f aca="false">L116/M116*100-100</f>
        <v>44.2919824491424</v>
      </c>
      <c r="O116" s="251" t="n">
        <v>15</v>
      </c>
      <c r="P116" s="251" t="n">
        <v>60</v>
      </c>
      <c r="Q116" s="251" t="n">
        <v>14</v>
      </c>
      <c r="R116" s="202" t="n">
        <f aca="false">O116*P116</f>
        <v>900</v>
      </c>
    </row>
    <row r="117" customFormat="false" ht="15" hidden="false" customHeight="false" outlineLevel="0" collapsed="false">
      <c r="A117" s="249" t="n">
        <v>22</v>
      </c>
      <c r="B117" s="243" t="s">
        <v>115</v>
      </c>
      <c r="C117" s="251" t="n">
        <v>27530</v>
      </c>
      <c r="D117" s="251" t="n">
        <v>18340</v>
      </c>
      <c r="E117" s="201" t="n">
        <f aca="false">C117/D117*100-100</f>
        <v>50.1090512540894</v>
      </c>
      <c r="F117" s="251" t="n">
        <v>4080</v>
      </c>
      <c r="G117" s="251" t="n">
        <v>1896</v>
      </c>
      <c r="H117" s="201" t="n">
        <f aca="false">F117/G117*100-100</f>
        <v>115.189873417722</v>
      </c>
      <c r="I117" s="251" t="n">
        <v>38325</v>
      </c>
      <c r="J117" s="251" t="n">
        <v>32383</v>
      </c>
      <c r="K117" s="201" t="n">
        <f aca="false">I117/J117*100-100</f>
        <v>18.3491338047741</v>
      </c>
      <c r="L117" s="250" t="n">
        <v>0</v>
      </c>
      <c r="M117" s="251" t="n">
        <v>0</v>
      </c>
      <c r="N117" s="201" t="n">
        <v>0</v>
      </c>
      <c r="O117" s="251" t="n">
        <v>13</v>
      </c>
      <c r="P117" s="251" t="n">
        <v>93</v>
      </c>
      <c r="Q117" s="251" t="n">
        <v>40</v>
      </c>
      <c r="R117" s="202" t="n">
        <f aca="false">O117*P117</f>
        <v>1209</v>
      </c>
    </row>
    <row r="118" customFormat="false" ht="15" hidden="false" customHeight="false" outlineLevel="0" collapsed="false">
      <c r="A118" s="249" t="n">
        <v>23</v>
      </c>
      <c r="B118" s="243" t="s">
        <v>116</v>
      </c>
      <c r="C118" s="251" t="n">
        <v>116549</v>
      </c>
      <c r="D118" s="250" t="n">
        <v>110845</v>
      </c>
      <c r="E118" s="201" t="n">
        <f aca="false">C118/D118*100-100</f>
        <v>5.14592448915153</v>
      </c>
      <c r="F118" s="251" t="n">
        <v>11236</v>
      </c>
      <c r="G118" s="251" t="n">
        <v>18518</v>
      </c>
      <c r="H118" s="201" t="n">
        <f aca="false">F118/G118*100-100</f>
        <v>-39.3239010692299</v>
      </c>
      <c r="I118" s="251" t="n">
        <v>117192</v>
      </c>
      <c r="J118" s="251" t="n">
        <v>111659</v>
      </c>
      <c r="K118" s="201" t="n">
        <v>0</v>
      </c>
      <c r="L118" s="250" t="n">
        <v>0</v>
      </c>
      <c r="M118" s="250" t="n">
        <v>0</v>
      </c>
      <c r="N118" s="201" t="n">
        <v>0</v>
      </c>
      <c r="O118" s="251" t="n">
        <v>39</v>
      </c>
      <c r="P118" s="251" t="n">
        <v>75</v>
      </c>
      <c r="Q118" s="251" t="n">
        <v>36</v>
      </c>
      <c r="R118" s="202" t="n">
        <f aca="false">O118*P118</f>
        <v>2925</v>
      </c>
    </row>
    <row r="119" customFormat="false" ht="15" hidden="false" customHeight="false" outlineLevel="0" collapsed="false">
      <c r="A119" s="249" t="n">
        <v>24</v>
      </c>
      <c r="B119" s="245" t="s">
        <v>117</v>
      </c>
      <c r="C119" s="250" t="n">
        <v>39525</v>
      </c>
      <c r="D119" s="250" t="n">
        <v>26863</v>
      </c>
      <c r="E119" s="201" t="n">
        <f aca="false">C119/D119*100-100</f>
        <v>47.135465137922</v>
      </c>
      <c r="F119" s="250" t="n">
        <v>2911</v>
      </c>
      <c r="G119" s="251" t="n">
        <v>3475</v>
      </c>
      <c r="H119" s="201" t="n">
        <f aca="false">F119/G119*100-100</f>
        <v>-16.2302158273381</v>
      </c>
      <c r="I119" s="250" t="n">
        <v>109163</v>
      </c>
      <c r="J119" s="250" t="n">
        <v>148414</v>
      </c>
      <c r="K119" s="201" t="n">
        <f aca="false">I119/J119*100-100</f>
        <v>-26.4469659196572</v>
      </c>
      <c r="L119" s="254" t="n">
        <v>0</v>
      </c>
      <c r="M119" s="250" t="n">
        <v>0</v>
      </c>
      <c r="N119" s="201" t="n">
        <v>0</v>
      </c>
      <c r="O119" s="251" t="n">
        <v>53</v>
      </c>
      <c r="P119" s="251" t="n">
        <v>55</v>
      </c>
      <c r="Q119" s="251" t="n">
        <v>52</v>
      </c>
      <c r="R119" s="202" t="n">
        <f aca="false">O119*P119</f>
        <v>2915</v>
      </c>
    </row>
    <row r="120" customFormat="false" ht="15" hidden="false" customHeight="false" outlineLevel="0" collapsed="false">
      <c r="A120" s="249" t="n">
        <v>25</v>
      </c>
      <c r="B120" s="245" t="s">
        <v>118</v>
      </c>
      <c r="C120" s="250" t="n">
        <v>32014</v>
      </c>
      <c r="D120" s="250" t="n">
        <v>27105</v>
      </c>
      <c r="E120" s="201" t="n">
        <f aca="false">C120/D120*100-100</f>
        <v>18.111049621841</v>
      </c>
      <c r="F120" s="250" t="n">
        <v>2264</v>
      </c>
      <c r="G120" s="250" t="n">
        <v>1265</v>
      </c>
      <c r="H120" s="201" t="n">
        <f aca="false">F120/G120*100-100</f>
        <v>78.9723320158103</v>
      </c>
      <c r="I120" s="250" t="n">
        <v>32791</v>
      </c>
      <c r="J120" s="250" t="n">
        <v>28347</v>
      </c>
      <c r="K120" s="201" t="n">
        <f aca="false">I120/J120*100-100</f>
        <v>15.6771439658518</v>
      </c>
      <c r="L120" s="250" t="n">
        <v>0</v>
      </c>
      <c r="M120" s="250" t="n">
        <v>0</v>
      </c>
      <c r="N120" s="201" t="n">
        <v>0</v>
      </c>
      <c r="O120" s="251" t="n">
        <v>23</v>
      </c>
      <c r="P120" s="251" t="n">
        <v>52</v>
      </c>
      <c r="Q120" s="251" t="n">
        <v>23</v>
      </c>
      <c r="R120" s="202" t="n">
        <f aca="false">O120*P120</f>
        <v>1196</v>
      </c>
    </row>
    <row r="121" customFormat="false" ht="15" hidden="false" customHeight="false" outlineLevel="0" collapsed="false">
      <c r="A121" s="215" t="s">
        <v>119</v>
      </c>
      <c r="B121" s="215" t="s">
        <v>119</v>
      </c>
      <c r="C121" s="216" t="n">
        <f aca="false">SUM(C96:C120)</f>
        <v>2944291</v>
      </c>
      <c r="D121" s="216" t="n">
        <f aca="false">SUM(D96:D120)</f>
        <v>3160133</v>
      </c>
      <c r="E121" s="313" t="n">
        <f aca="false">C121/D121*100-100</f>
        <v>-6.83015556623724</v>
      </c>
      <c r="F121" s="216" t="n">
        <f aca="false">SUM(F96:F120)</f>
        <v>242278</v>
      </c>
      <c r="G121" s="216" t="n">
        <f aca="false">SUM(G96:G120)</f>
        <v>480181</v>
      </c>
      <c r="H121" s="313" t="n">
        <f aca="false">F121/G121*100-100</f>
        <v>-49.5444426164301</v>
      </c>
      <c r="I121" s="216" t="n">
        <f aca="false">SUM(I96:I120)</f>
        <v>2975121</v>
      </c>
      <c r="J121" s="216" t="n">
        <f aca="false">SUM(J96:J120)</f>
        <v>3148960</v>
      </c>
      <c r="K121" s="313" t="n">
        <f aca="false">I121/J121*100-100</f>
        <v>-5.5205210609217</v>
      </c>
      <c r="L121" s="216" t="n">
        <f aca="false">SUM(L96:L120)</f>
        <v>1147566</v>
      </c>
      <c r="M121" s="216" t="n">
        <f aca="false">SUM(M96:M120)</f>
        <v>1431025</v>
      </c>
      <c r="N121" s="313" t="n">
        <f aca="false">L121/M121*100-100</f>
        <v>-19.8081095718104</v>
      </c>
      <c r="O121" s="216" t="n">
        <f aca="false">SUM(O96:O120)</f>
        <v>1671</v>
      </c>
      <c r="P121" s="217" t="n">
        <f aca="false">R121/O121</f>
        <v>81.4003590664273</v>
      </c>
      <c r="Q121" s="216" t="n">
        <f aca="false">SUM(Q96:Q120)</f>
        <v>1882</v>
      </c>
      <c r="R121" s="232" t="n">
        <f aca="false">SUM(R96:R120)</f>
        <v>136020</v>
      </c>
    </row>
    <row r="122" customFormat="false" ht="15" hidden="false" customHeight="false" outlineLevel="0" collapsed="false">
      <c r="A122" s="255"/>
      <c r="B122" s="255"/>
      <c r="C122" s="256"/>
      <c r="D122" s="256"/>
      <c r="E122" s="257"/>
      <c r="F122" s="256"/>
      <c r="G122" s="256"/>
      <c r="H122" s="257"/>
      <c r="I122" s="256"/>
      <c r="J122" s="256"/>
      <c r="K122" s="257"/>
      <c r="L122" s="256"/>
      <c r="M122" s="256"/>
      <c r="N122" s="257"/>
      <c r="O122" s="256"/>
      <c r="P122" s="257"/>
      <c r="Q122" s="256"/>
      <c r="R122" s="202" t="n">
        <f aca="false">O122*P122</f>
        <v>0</v>
      </c>
    </row>
    <row r="123" customFormat="false" ht="15" hidden="false" customHeight="false" outlineLevel="0" collapsed="false">
      <c r="A123" s="195"/>
      <c r="B123" s="195" t="s">
        <v>120</v>
      </c>
      <c r="C123" s="195" t="n">
        <v>3</v>
      </c>
      <c r="D123" s="195" t="n">
        <v>4</v>
      </c>
      <c r="E123" s="196" t="n">
        <v>5</v>
      </c>
      <c r="F123" s="195" t="n">
        <v>6</v>
      </c>
      <c r="G123" s="195" t="n">
        <v>7</v>
      </c>
      <c r="H123" s="195" t="n">
        <v>8</v>
      </c>
      <c r="I123" s="195" t="n">
        <v>9</v>
      </c>
      <c r="J123" s="195" t="n">
        <v>10</v>
      </c>
      <c r="K123" s="195" t="n">
        <v>11</v>
      </c>
      <c r="L123" s="195" t="n">
        <v>12</v>
      </c>
      <c r="M123" s="195" t="n">
        <v>13</v>
      </c>
      <c r="N123" s="195" t="n">
        <v>14</v>
      </c>
      <c r="O123" s="195" t="n">
        <v>15</v>
      </c>
      <c r="P123" s="196" t="n">
        <v>16</v>
      </c>
      <c r="Q123" s="195" t="n">
        <v>17</v>
      </c>
      <c r="R123" s="202" t="n">
        <f aca="false">O123*P123</f>
        <v>240</v>
      </c>
    </row>
    <row r="124" customFormat="false" ht="15" hidden="false" customHeight="false" outlineLevel="0" collapsed="false">
      <c r="A124" s="210"/>
      <c r="B124" s="258"/>
      <c r="C124" s="200"/>
      <c r="D124" s="200"/>
      <c r="E124" s="201"/>
      <c r="F124" s="200"/>
      <c r="G124" s="200"/>
      <c r="H124" s="201"/>
      <c r="I124" s="200"/>
      <c r="J124" s="200"/>
      <c r="K124" s="201"/>
      <c r="L124" s="200"/>
      <c r="M124" s="200"/>
      <c r="N124" s="201"/>
      <c r="O124" s="203"/>
      <c r="P124" s="204"/>
      <c r="Q124" s="203"/>
      <c r="R124" s="202" t="n">
        <f aca="false">O124*P124</f>
        <v>0</v>
      </c>
    </row>
    <row r="125" customFormat="false" ht="15" hidden="false" customHeight="false" outlineLevel="0" collapsed="false">
      <c r="A125" s="210" t="n">
        <v>1</v>
      </c>
      <c r="B125" s="258" t="s">
        <v>122</v>
      </c>
      <c r="C125" s="203" t="n">
        <v>104765</v>
      </c>
      <c r="D125" s="203" t="n">
        <v>199100</v>
      </c>
      <c r="E125" s="201" t="n">
        <f aca="false">C125/D125*100-100</f>
        <v>-47.3807132094425</v>
      </c>
      <c r="F125" s="203" t="n">
        <v>127</v>
      </c>
      <c r="G125" s="203" t="n">
        <v>6273</v>
      </c>
      <c r="H125" s="201" t="n">
        <f aca="false">F125/G125*100-100</f>
        <v>-97.9754503427387</v>
      </c>
      <c r="I125" s="203" t="n">
        <v>76883</v>
      </c>
      <c r="J125" s="203" t="n">
        <v>228954</v>
      </c>
      <c r="K125" s="201" t="n">
        <f aca="false">I125/J125*100-100</f>
        <v>-66.4198922054212</v>
      </c>
      <c r="L125" s="203" t="n">
        <v>19451</v>
      </c>
      <c r="M125" s="203" t="n">
        <v>0</v>
      </c>
      <c r="N125" s="192" t="n">
        <v>0</v>
      </c>
      <c r="O125" s="219" t="n">
        <v>74</v>
      </c>
      <c r="P125" s="204" t="n">
        <v>80</v>
      </c>
      <c r="Q125" s="219" t="n">
        <v>74</v>
      </c>
      <c r="R125" s="202" t="n">
        <f aca="false">O125*P125</f>
        <v>5920</v>
      </c>
    </row>
    <row r="126" customFormat="false" ht="15" hidden="false" customHeight="false" outlineLevel="0" collapsed="false">
      <c r="A126" s="210" t="n">
        <v>2</v>
      </c>
      <c r="B126" s="258" t="s">
        <v>123</v>
      </c>
      <c r="C126" s="200" t="n">
        <v>0</v>
      </c>
      <c r="D126" s="200" t="n">
        <v>0</v>
      </c>
      <c r="E126" s="201" t="n">
        <v>0</v>
      </c>
      <c r="F126" s="200" t="n">
        <v>0</v>
      </c>
      <c r="G126" s="200" t="n">
        <v>0</v>
      </c>
      <c r="H126" s="201" t="n">
        <v>0</v>
      </c>
      <c r="I126" s="200" t="n">
        <v>0</v>
      </c>
      <c r="J126" s="200" t="n">
        <v>0</v>
      </c>
      <c r="K126" s="201" t="n">
        <v>0</v>
      </c>
      <c r="L126" s="200" t="n">
        <v>0</v>
      </c>
      <c r="M126" s="200" t="n">
        <v>0</v>
      </c>
      <c r="N126" s="201" t="n">
        <v>0</v>
      </c>
      <c r="O126" s="203" t="n">
        <v>0</v>
      </c>
      <c r="P126" s="204" t="n">
        <v>0</v>
      </c>
      <c r="Q126" s="203" t="n">
        <v>0</v>
      </c>
      <c r="R126" s="202" t="n">
        <f aca="false">O126*P126</f>
        <v>0</v>
      </c>
    </row>
    <row r="127" customFormat="false" ht="15" hidden="false" customHeight="false" outlineLevel="0" collapsed="false">
      <c r="A127" s="210" t="n">
        <v>3</v>
      </c>
      <c r="B127" s="258" t="s">
        <v>124</v>
      </c>
      <c r="C127" s="200" t="n">
        <v>0</v>
      </c>
      <c r="D127" s="200" t="n">
        <v>0</v>
      </c>
      <c r="E127" s="201" t="n">
        <v>0</v>
      </c>
      <c r="F127" s="200" t="n">
        <v>0</v>
      </c>
      <c r="G127" s="200" t="n">
        <v>0</v>
      </c>
      <c r="H127" s="201" t="n">
        <v>0</v>
      </c>
      <c r="I127" s="200" t="n">
        <v>0</v>
      </c>
      <c r="J127" s="200" t="n">
        <v>0</v>
      </c>
      <c r="K127" s="201" t="n">
        <v>0</v>
      </c>
      <c r="L127" s="200" t="n">
        <v>0</v>
      </c>
      <c r="M127" s="200" t="n">
        <v>0</v>
      </c>
      <c r="N127" s="201" t="n">
        <v>0</v>
      </c>
      <c r="O127" s="203" t="n">
        <v>0</v>
      </c>
      <c r="P127" s="204" t="n">
        <v>0</v>
      </c>
      <c r="Q127" s="203" t="n">
        <v>0</v>
      </c>
      <c r="R127" s="202" t="n">
        <f aca="false">O127*P127</f>
        <v>0</v>
      </c>
    </row>
    <row r="128" customFormat="false" ht="15" hidden="false" customHeight="false" outlineLevel="0" collapsed="false">
      <c r="A128" s="210" t="n">
        <v>4</v>
      </c>
      <c r="B128" s="259" t="s">
        <v>125</v>
      </c>
      <c r="C128" s="251" t="n">
        <v>1050</v>
      </c>
      <c r="D128" s="251" t="n">
        <v>4620</v>
      </c>
      <c r="E128" s="201" t="n">
        <v>0</v>
      </c>
      <c r="F128" s="251" t="n">
        <v>0</v>
      </c>
      <c r="G128" s="251" t="n">
        <v>0</v>
      </c>
      <c r="H128" s="201" t="n">
        <v>0</v>
      </c>
      <c r="I128" s="251" t="n">
        <v>9053</v>
      </c>
      <c r="J128" s="251" t="n">
        <v>8746</v>
      </c>
      <c r="K128" s="201" t="n">
        <f aca="false">I128/J128*100-100</f>
        <v>3.51017608049393</v>
      </c>
      <c r="L128" s="251" t="n">
        <v>0</v>
      </c>
      <c r="M128" s="251" t="n">
        <v>0</v>
      </c>
      <c r="N128" s="251" t="n">
        <v>0</v>
      </c>
      <c r="O128" s="219" t="n">
        <v>48</v>
      </c>
      <c r="P128" s="261" t="n">
        <v>70</v>
      </c>
      <c r="Q128" s="219" t="n">
        <v>8</v>
      </c>
      <c r="R128" s="202" t="n">
        <f aca="false">O128*P128</f>
        <v>3360</v>
      </c>
    </row>
    <row r="129" customFormat="false" ht="15" hidden="false" customHeight="false" outlineLevel="0" collapsed="false">
      <c r="A129" s="210" t="n">
        <v>5</v>
      </c>
      <c r="B129" s="259" t="s">
        <v>126</v>
      </c>
      <c r="C129" s="200" t="n">
        <v>0</v>
      </c>
      <c r="D129" s="200" t="n">
        <v>0</v>
      </c>
      <c r="E129" s="201" t="n">
        <v>0</v>
      </c>
      <c r="F129" s="200" t="n">
        <v>0</v>
      </c>
      <c r="G129" s="200" t="n">
        <v>0</v>
      </c>
      <c r="H129" s="201" t="n">
        <v>0</v>
      </c>
      <c r="I129" s="200" t="n">
        <v>0</v>
      </c>
      <c r="J129" s="200" t="n">
        <v>0</v>
      </c>
      <c r="K129" s="201" t="n">
        <v>0</v>
      </c>
      <c r="L129" s="200" t="n">
        <v>0</v>
      </c>
      <c r="M129" s="200" t="n">
        <v>0</v>
      </c>
      <c r="N129" s="201" t="n">
        <v>0</v>
      </c>
      <c r="O129" s="203" t="n">
        <v>0</v>
      </c>
      <c r="P129" s="204" t="n">
        <v>0</v>
      </c>
      <c r="Q129" s="203" t="n">
        <v>0</v>
      </c>
      <c r="R129" s="202" t="n">
        <f aca="false">O129*P129</f>
        <v>0</v>
      </c>
    </row>
    <row r="130" customFormat="false" ht="15" hidden="false" customHeight="false" outlineLevel="0" collapsed="false">
      <c r="A130" s="210" t="n">
        <v>6</v>
      </c>
      <c r="B130" s="258" t="s">
        <v>127</v>
      </c>
      <c r="C130" s="208" t="n">
        <v>34924</v>
      </c>
      <c r="D130" s="208" t="n">
        <v>17106</v>
      </c>
      <c r="E130" s="201" t="n">
        <f aca="false">C130/D130*100-100</f>
        <v>104.16228224015</v>
      </c>
      <c r="F130" s="208" t="n">
        <v>3442</v>
      </c>
      <c r="G130" s="208" t="n">
        <v>1470</v>
      </c>
      <c r="H130" s="201" t="n">
        <f aca="false">F130/G130*100-100</f>
        <v>134.149659863946</v>
      </c>
      <c r="I130" s="208" t="n">
        <v>34924</v>
      </c>
      <c r="J130" s="208" t="n">
        <v>17106</v>
      </c>
      <c r="K130" s="201" t="n">
        <f aca="false">I130/J130*100-100</f>
        <v>104.16228224015</v>
      </c>
      <c r="L130" s="208" t="n">
        <v>0</v>
      </c>
      <c r="M130" s="208" t="n">
        <v>0</v>
      </c>
      <c r="N130" s="192" t="n">
        <v>0</v>
      </c>
      <c r="O130" s="219" t="n">
        <v>23</v>
      </c>
      <c r="P130" s="250" t="n">
        <v>100</v>
      </c>
      <c r="Q130" s="219" t="n">
        <v>24</v>
      </c>
      <c r="R130" s="202" t="n">
        <f aca="false">O130*P130</f>
        <v>2300</v>
      </c>
    </row>
    <row r="131" customFormat="false" ht="15" hidden="false" customHeight="false" outlineLevel="0" collapsed="false">
      <c r="A131" s="215" t="s">
        <v>128</v>
      </c>
      <c r="B131" s="215" t="s">
        <v>128</v>
      </c>
      <c r="C131" s="216" t="n">
        <f aca="false">SUM(C124:C130)</f>
        <v>140739</v>
      </c>
      <c r="D131" s="216" t="n">
        <f aca="false">SUM(D124:D130)</f>
        <v>220826</v>
      </c>
      <c r="E131" s="313" t="n">
        <f aca="false">C131/D131*100-100</f>
        <v>-36.2670156593879</v>
      </c>
      <c r="F131" s="216" t="n">
        <f aca="false">SUM(F124:F130)</f>
        <v>3569</v>
      </c>
      <c r="G131" s="216" t="n">
        <f aca="false">SUM(G124:G130)</f>
        <v>7743</v>
      </c>
      <c r="H131" s="313" t="n">
        <f aca="false">F131/G131*100-100</f>
        <v>-53.9067544879246</v>
      </c>
      <c r="I131" s="216" t="n">
        <f aca="false">SUM(I124:I130)</f>
        <v>120860</v>
      </c>
      <c r="J131" s="216" t="n">
        <f aca="false">SUM(J124:J130)</f>
        <v>254806</v>
      </c>
      <c r="K131" s="313" t="n">
        <f aca="false">I131/J131*100-100</f>
        <v>-52.567835922231</v>
      </c>
      <c r="L131" s="216" t="n">
        <f aca="false">SUM(L124:L130)</f>
        <v>19451</v>
      </c>
      <c r="M131" s="216" t="n">
        <f aca="false">SUM(M124:M130)</f>
        <v>0</v>
      </c>
      <c r="N131" s="237" t="n">
        <v>0</v>
      </c>
      <c r="O131" s="216" t="n">
        <f aca="false">SUM(O124:O130)</f>
        <v>145</v>
      </c>
      <c r="P131" s="237" t="n">
        <f aca="false">R131/O131</f>
        <v>79.8620689655172</v>
      </c>
      <c r="Q131" s="216" t="n">
        <f aca="false">SUM(Q124:Q130)</f>
        <v>106</v>
      </c>
      <c r="R131" s="232" t="n">
        <f aca="false">SUM(R124:R130)</f>
        <v>11580</v>
      </c>
    </row>
    <row r="132" customFormat="false" ht="15" hidden="false" customHeight="false" outlineLevel="0" collapsed="false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192"/>
      <c r="L132" s="203"/>
      <c r="M132" s="203"/>
      <c r="N132" s="203"/>
      <c r="O132" s="203"/>
      <c r="P132" s="219"/>
      <c r="Q132" s="203"/>
      <c r="R132" s="197"/>
    </row>
    <row r="133" customFormat="false" ht="15" hidden="false" customHeight="false" outlineLevel="0" collapsed="false">
      <c r="A133" s="190" t="s">
        <v>129</v>
      </c>
      <c r="B133" s="190"/>
      <c r="C133" s="195" t="n">
        <v>3</v>
      </c>
      <c r="D133" s="195" t="n">
        <v>4</v>
      </c>
      <c r="E133" s="196" t="n">
        <v>5</v>
      </c>
      <c r="F133" s="195" t="n">
        <v>6</v>
      </c>
      <c r="G133" s="195" t="n">
        <v>7</v>
      </c>
      <c r="H133" s="195" t="n">
        <v>8</v>
      </c>
      <c r="I133" s="195" t="n">
        <v>9</v>
      </c>
      <c r="J133" s="195" t="n">
        <v>10</v>
      </c>
      <c r="K133" s="195" t="n">
        <v>11</v>
      </c>
      <c r="L133" s="195" t="n">
        <v>12</v>
      </c>
      <c r="M133" s="195" t="n">
        <v>13</v>
      </c>
      <c r="N133" s="195" t="n">
        <v>14</v>
      </c>
      <c r="O133" s="195" t="n">
        <v>15</v>
      </c>
      <c r="P133" s="196" t="n">
        <v>16</v>
      </c>
      <c r="Q133" s="195" t="n">
        <v>17</v>
      </c>
      <c r="R133" s="189"/>
    </row>
    <row r="134" customFormat="false" ht="15" hidden="false" customHeight="false" outlineLevel="0" collapsed="false">
      <c r="A134" s="262" t="n">
        <v>1</v>
      </c>
      <c r="B134" s="243" t="s">
        <v>130</v>
      </c>
      <c r="C134" s="219" t="n">
        <v>103179292</v>
      </c>
      <c r="D134" s="219" t="n">
        <v>98518475</v>
      </c>
      <c r="E134" s="201" t="n">
        <f aca="false">C134/D134*100-100</f>
        <v>4.73090656346436</v>
      </c>
      <c r="F134" s="219" t="n">
        <v>10453628</v>
      </c>
      <c r="G134" s="219" t="n">
        <v>10471753</v>
      </c>
      <c r="H134" s="201" t="n">
        <f aca="false">F134/G134*100-100</f>
        <v>-0.173084678372376</v>
      </c>
      <c r="I134" s="262" t="n">
        <v>97611474</v>
      </c>
      <c r="J134" s="262" t="n">
        <v>96078972</v>
      </c>
      <c r="K134" s="201" t="n">
        <f aca="false">I134/J134*100-100</f>
        <v>1.59504412682516</v>
      </c>
      <c r="L134" s="262" t="n">
        <v>55940140</v>
      </c>
      <c r="M134" s="262" t="n">
        <v>45506677</v>
      </c>
      <c r="N134" s="201" t="n">
        <f aca="false">L134/M134*100-100</f>
        <v>22.9273233903675</v>
      </c>
      <c r="O134" s="203" t="n">
        <v>2973</v>
      </c>
      <c r="P134" s="219" t="n">
        <v>145</v>
      </c>
      <c r="Q134" s="203" t="n">
        <v>2973</v>
      </c>
      <c r="R134" s="202" t="n">
        <f aca="false">O134*P134</f>
        <v>431085</v>
      </c>
    </row>
    <row r="135" customFormat="false" ht="15" hidden="false" customHeight="false" outlineLevel="0" collapsed="false">
      <c r="A135" s="262" t="n">
        <v>2</v>
      </c>
      <c r="B135" s="243" t="s">
        <v>131</v>
      </c>
      <c r="C135" s="219" t="n">
        <v>21614484</v>
      </c>
      <c r="D135" s="219" t="n">
        <v>22034840</v>
      </c>
      <c r="E135" s="201" t="n">
        <f aca="false">C135/D135*100-100</f>
        <v>-1.90768800681104</v>
      </c>
      <c r="F135" s="219" t="n">
        <v>2284975</v>
      </c>
      <c r="G135" s="219" t="n">
        <v>2280453</v>
      </c>
      <c r="H135" s="201" t="n">
        <f aca="false">F135/G135*100-100</f>
        <v>0.198293935459319</v>
      </c>
      <c r="I135" s="262" t="n">
        <v>17032548</v>
      </c>
      <c r="J135" s="262" t="n">
        <v>19532167</v>
      </c>
      <c r="K135" s="201" t="n">
        <f aca="false">I135/J135*100-100</f>
        <v>-12.797448434677</v>
      </c>
      <c r="L135" s="262" t="n">
        <v>17032548</v>
      </c>
      <c r="M135" s="262" t="n">
        <v>19532167</v>
      </c>
      <c r="N135" s="201" t="n">
        <f aca="false">L135/M135*100-100</f>
        <v>-12.797448434677</v>
      </c>
      <c r="O135" s="203" t="n">
        <v>951</v>
      </c>
      <c r="P135" s="219" t="n">
        <v>120</v>
      </c>
      <c r="Q135" s="203" t="n">
        <v>951</v>
      </c>
      <c r="R135" s="202" t="n">
        <f aca="false">O135*P135</f>
        <v>114120</v>
      </c>
    </row>
    <row r="136" customFormat="false" ht="24.75" hidden="false" customHeight="false" outlineLevel="0" collapsed="false">
      <c r="A136" s="262" t="n">
        <v>3</v>
      </c>
      <c r="B136" s="400" t="s">
        <v>226</v>
      </c>
      <c r="C136" s="223" t="n">
        <v>18116559</v>
      </c>
      <c r="D136" s="223" t="n">
        <v>19766550</v>
      </c>
      <c r="E136" s="201" t="n">
        <f aca="false">C136/D136*100-100</f>
        <v>-8.34738990870942</v>
      </c>
      <c r="F136" s="223" t="n">
        <v>1813688</v>
      </c>
      <c r="G136" s="223" t="n">
        <v>1638906</v>
      </c>
      <c r="H136" s="201" t="n">
        <f aca="false">F136/G136*100-100</f>
        <v>10.6645530616155</v>
      </c>
      <c r="I136" s="207" t="n">
        <v>16351197</v>
      </c>
      <c r="J136" s="207" t="n">
        <v>17752506</v>
      </c>
      <c r="K136" s="201" t="n">
        <f aca="false">I136/J136*100-100</f>
        <v>-7.89358415087989</v>
      </c>
      <c r="L136" s="207" t="n">
        <f aca="false">16351197</f>
        <v>16351197</v>
      </c>
      <c r="M136" s="207" t="n">
        <f aca="false">1958616+15793891</f>
        <v>17752507</v>
      </c>
      <c r="N136" s="201" t="n">
        <f aca="false">L136/M136*100-100</f>
        <v>-7.89358933924093</v>
      </c>
      <c r="O136" s="200" t="n">
        <v>1087</v>
      </c>
      <c r="P136" s="222" t="n">
        <v>306</v>
      </c>
      <c r="Q136" s="200" t="n">
        <v>1087</v>
      </c>
      <c r="R136" s="202" t="n">
        <f aca="false">O136*P136</f>
        <v>332622</v>
      </c>
    </row>
    <row r="137" customFormat="false" ht="15" hidden="false" customHeight="false" outlineLevel="0" collapsed="false">
      <c r="A137" s="262" t="n">
        <v>4</v>
      </c>
      <c r="B137" s="243" t="s">
        <v>133</v>
      </c>
      <c r="C137" s="236" t="n">
        <v>4282060</v>
      </c>
      <c r="D137" s="236" t="n">
        <v>4288988</v>
      </c>
      <c r="E137" s="201" t="n">
        <f aca="false">C137/D137*100-100</f>
        <v>-0.16152994599193</v>
      </c>
      <c r="F137" s="203" t="n">
        <v>503141</v>
      </c>
      <c r="G137" s="203" t="n">
        <v>513862</v>
      </c>
      <c r="H137" s="201" t="n">
        <f aca="false">F137/G137*100-100</f>
        <v>-2.08635781591167</v>
      </c>
      <c r="I137" s="203" t="n">
        <v>4301088</v>
      </c>
      <c r="J137" s="203" t="n">
        <v>3991171</v>
      </c>
      <c r="K137" s="201" t="n">
        <f aca="false">I137/J137*100-100</f>
        <v>7.76506443848184</v>
      </c>
      <c r="L137" s="203" t="n">
        <v>4301088</v>
      </c>
      <c r="M137" s="203" t="n">
        <v>3991171</v>
      </c>
      <c r="N137" s="201" t="n">
        <v>0</v>
      </c>
      <c r="O137" s="203" t="n">
        <v>502</v>
      </c>
      <c r="P137" s="219" t="n">
        <v>150</v>
      </c>
      <c r="Q137" s="203" t="n">
        <v>505</v>
      </c>
      <c r="R137" s="202" t="n">
        <f aca="false">O137*P137</f>
        <v>75300</v>
      </c>
    </row>
    <row r="138" customFormat="false" ht="15" hidden="false" customHeight="false" outlineLevel="0" collapsed="false">
      <c r="A138" s="262" t="n">
        <v>5</v>
      </c>
      <c r="B138" s="243" t="s">
        <v>134</v>
      </c>
      <c r="C138" s="203" t="n">
        <v>2948237</v>
      </c>
      <c r="D138" s="203" t="n">
        <v>3876537</v>
      </c>
      <c r="E138" s="201" t="n">
        <f aca="false">C138/D138*100-100</f>
        <v>-23.9466307170549</v>
      </c>
      <c r="F138" s="203" t="n">
        <v>448964</v>
      </c>
      <c r="G138" s="203" t="n">
        <v>506803</v>
      </c>
      <c r="H138" s="201" t="n">
        <f aca="false">F138/G138*100-100</f>
        <v>-11.4125212360621</v>
      </c>
      <c r="I138" s="203" t="n">
        <f aca="false">773167+495122</f>
        <v>1268289</v>
      </c>
      <c r="J138" s="203" t="n">
        <v>3566016</v>
      </c>
      <c r="K138" s="201" t="n">
        <f aca="false">I138/J138*100-100</f>
        <v>-64.4340070263285</v>
      </c>
      <c r="L138" s="203" t="n">
        <f aca="false">773167+495122</f>
        <v>1268289</v>
      </c>
      <c r="M138" s="203" t="n">
        <v>3566016</v>
      </c>
      <c r="N138" s="201" t="n">
        <f aca="false">L138/M138*100-100</f>
        <v>-64.4340070263285</v>
      </c>
      <c r="O138" s="203" t="n">
        <v>416</v>
      </c>
      <c r="P138" s="204" t="n">
        <v>189</v>
      </c>
      <c r="Q138" s="203" t="n">
        <v>419</v>
      </c>
      <c r="R138" s="202" t="n">
        <f aca="false">O138*P138</f>
        <v>78624</v>
      </c>
    </row>
    <row r="139" customFormat="false" ht="15" hidden="false" customHeight="false" outlineLevel="0" collapsed="false">
      <c r="A139" s="215" t="s">
        <v>135</v>
      </c>
      <c r="B139" s="215" t="s">
        <v>136</v>
      </c>
      <c r="C139" s="237" t="n">
        <f aca="false">SUM(C134:C138)</f>
        <v>150140632</v>
      </c>
      <c r="D139" s="237" t="n">
        <f aca="false">SUM(D134:D138)</f>
        <v>148485390</v>
      </c>
      <c r="E139" s="313" t="n">
        <f aca="false">C139/D139*100-100</f>
        <v>1.11475075089879</v>
      </c>
      <c r="F139" s="237" t="n">
        <f aca="false">SUM(F134:F138)</f>
        <v>15504396</v>
      </c>
      <c r="G139" s="237" t="n">
        <f aca="false">SUM(G134:G138)</f>
        <v>15411777</v>
      </c>
      <c r="H139" s="313" t="n">
        <f aca="false">F139/G139*100-100</f>
        <v>0.600962497705496</v>
      </c>
      <c r="I139" s="237" t="n">
        <f aca="false">SUM(I134:I138)</f>
        <v>136564596</v>
      </c>
      <c r="J139" s="237" t="n">
        <f aca="false">SUM(J134:J138)</f>
        <v>140920832</v>
      </c>
      <c r="K139" s="313" t="n">
        <f aca="false">I139/J139*100-100</f>
        <v>-3.09126474643578</v>
      </c>
      <c r="L139" s="237" t="n">
        <f aca="false">SUM(L134:L138)</f>
        <v>94893262</v>
      </c>
      <c r="M139" s="237" t="n">
        <f aca="false">SUM(M134:M138)</f>
        <v>90348538</v>
      </c>
      <c r="N139" s="313" t="n">
        <f aca="false">L139/M139*100-100</f>
        <v>5.0302131064921</v>
      </c>
      <c r="O139" s="237" t="n">
        <f aca="false">SUM(O134:O138)</f>
        <v>5929</v>
      </c>
      <c r="P139" s="237" t="n">
        <f aca="false">R139/O139</f>
        <v>174.017709563164</v>
      </c>
      <c r="Q139" s="237" t="n">
        <f aca="false">SUM(Q134:Q138)</f>
        <v>5935</v>
      </c>
      <c r="R139" s="237" t="n">
        <f aca="false">SUM(R134:R138)</f>
        <v>1031751</v>
      </c>
    </row>
    <row r="140" customFormat="false" ht="15" hidden="false" customHeight="false" outlineLevel="0" collapsed="false">
      <c r="A140" s="263"/>
      <c r="B140" s="263"/>
      <c r="C140" s="264"/>
      <c r="D140" s="264"/>
      <c r="E140" s="265"/>
      <c r="F140" s="266"/>
      <c r="G140" s="266"/>
      <c r="H140" s="265"/>
      <c r="I140" s="266"/>
      <c r="J140" s="266"/>
      <c r="K140" s="265"/>
      <c r="L140" s="266"/>
      <c r="M140" s="266"/>
      <c r="N140" s="265"/>
      <c r="O140" s="266"/>
      <c r="P140" s="264"/>
      <c r="Q140" s="266"/>
      <c r="R140" s="267"/>
    </row>
    <row r="141" customFormat="false" ht="15" hidden="false" customHeight="false" outlineLevel="0" collapsed="false">
      <c r="A141" s="263"/>
      <c r="B141" s="263" t="s">
        <v>137</v>
      </c>
      <c r="C141" s="195" t="n">
        <v>3</v>
      </c>
      <c r="D141" s="195" t="n">
        <v>4</v>
      </c>
      <c r="E141" s="196" t="n">
        <v>5</v>
      </c>
      <c r="F141" s="195" t="n">
        <v>6</v>
      </c>
      <c r="G141" s="195" t="n">
        <v>7</v>
      </c>
      <c r="H141" s="195" t="n">
        <v>8</v>
      </c>
      <c r="I141" s="195" t="n">
        <v>9</v>
      </c>
      <c r="J141" s="195" t="n">
        <v>10</v>
      </c>
      <c r="K141" s="195" t="n">
        <v>11</v>
      </c>
      <c r="L141" s="195" t="n">
        <v>12</v>
      </c>
      <c r="M141" s="195" t="n">
        <v>13</v>
      </c>
      <c r="N141" s="195" t="n">
        <v>14</v>
      </c>
      <c r="O141" s="195" t="n">
        <v>15</v>
      </c>
      <c r="P141" s="196" t="n">
        <v>16</v>
      </c>
      <c r="Q141" s="195" t="n">
        <v>17</v>
      </c>
      <c r="R141" s="267"/>
    </row>
    <row r="142" customFormat="false" ht="15" hidden="false" customHeight="false" outlineLevel="0" collapsed="false">
      <c r="A142" s="262" t="n">
        <v>1</v>
      </c>
      <c r="B142" s="243" t="s">
        <v>138</v>
      </c>
      <c r="C142" s="219" t="n">
        <v>16528692</v>
      </c>
      <c r="D142" s="219" t="n">
        <v>17270374</v>
      </c>
      <c r="E142" s="201" t="n">
        <f aca="false">C142/D142*100-100</f>
        <v>-4.29453351734016</v>
      </c>
      <c r="F142" s="219" t="n">
        <v>1539645</v>
      </c>
      <c r="G142" s="219" t="n">
        <v>1723349</v>
      </c>
      <c r="H142" s="201" t="n">
        <f aca="false">F142/G142*100-100</f>
        <v>-10.6597096699508</v>
      </c>
      <c r="I142" s="262" t="n">
        <v>15990246</v>
      </c>
      <c r="J142" s="262" t="n">
        <v>16875816</v>
      </c>
      <c r="K142" s="201" t="n">
        <f aca="false">I142/J142*100-100</f>
        <v>-5.24756847313338</v>
      </c>
      <c r="L142" s="262" t="n">
        <v>15990246</v>
      </c>
      <c r="M142" s="262" t="n">
        <v>16875816</v>
      </c>
      <c r="N142" s="201" t="n">
        <f aca="false">L142/M142*100-100</f>
        <v>-5.24756847313338</v>
      </c>
      <c r="O142" s="203" t="n">
        <v>494</v>
      </c>
      <c r="P142" s="236" t="n">
        <v>150</v>
      </c>
      <c r="Q142" s="203" t="n">
        <v>494</v>
      </c>
      <c r="R142" s="202" t="n">
        <f aca="false">O142*P142</f>
        <v>74100</v>
      </c>
    </row>
    <row r="143" customFormat="false" ht="15" hidden="false" customHeight="false" outlineLevel="0" collapsed="false">
      <c r="A143" s="262" t="n">
        <v>2</v>
      </c>
      <c r="B143" s="243" t="s">
        <v>139</v>
      </c>
      <c r="C143" s="219" t="n">
        <v>31116909</v>
      </c>
      <c r="D143" s="219" t="n">
        <v>35215516</v>
      </c>
      <c r="E143" s="201" t="n">
        <f aca="false">C143/D143*100-100</f>
        <v>-11.638639626919</v>
      </c>
      <c r="F143" s="236" t="n">
        <v>2804927</v>
      </c>
      <c r="G143" s="236" t="n">
        <v>3490004</v>
      </c>
      <c r="H143" s="201" t="n">
        <f aca="false">F143/G143*100-100</f>
        <v>-19.6296909688356</v>
      </c>
      <c r="I143" s="203" t="n">
        <v>29034039</v>
      </c>
      <c r="J143" s="203" t="n">
        <v>35129079</v>
      </c>
      <c r="K143" s="201" t="n">
        <f aca="false">I143/J143*100-100</f>
        <v>-17.3504121756224</v>
      </c>
      <c r="L143" s="203" t="n">
        <v>28933405</v>
      </c>
      <c r="M143" s="203" t="n">
        <v>35012161</v>
      </c>
      <c r="N143" s="201" t="n">
        <f aca="false">L143/M143*100-100</f>
        <v>-17.3618417897713</v>
      </c>
      <c r="O143" s="203" t="n">
        <v>659</v>
      </c>
      <c r="P143" s="219" t="n">
        <v>165</v>
      </c>
      <c r="Q143" s="203" t="n">
        <v>657</v>
      </c>
      <c r="R143" s="202" t="n">
        <f aca="false">O143*P143</f>
        <v>108735</v>
      </c>
    </row>
    <row r="144" customFormat="false" ht="15" hidden="false" customHeight="false" outlineLevel="0" collapsed="false">
      <c r="A144" s="262" t="n">
        <v>3</v>
      </c>
      <c r="B144" s="243" t="s">
        <v>140</v>
      </c>
      <c r="C144" s="219" t="n">
        <v>24680893</v>
      </c>
      <c r="D144" s="219" t="n">
        <v>24849569</v>
      </c>
      <c r="E144" s="201" t="n">
        <f aca="false">C144/D144*100-100</f>
        <v>-0.678788432910054</v>
      </c>
      <c r="F144" s="203" t="n">
        <v>2349367</v>
      </c>
      <c r="G144" s="203" t="n">
        <v>2174851</v>
      </c>
      <c r="H144" s="201" t="n">
        <f aca="false">F144/G144*100-100</f>
        <v>8.02427384680607</v>
      </c>
      <c r="I144" s="203" t="n">
        <v>23952621</v>
      </c>
      <c r="J144" s="203" t="n">
        <v>24399683</v>
      </c>
      <c r="K144" s="201" t="n">
        <f aca="false">I144/J144*100-100</f>
        <v>-1.83224511564352</v>
      </c>
      <c r="L144" s="203" t="n">
        <v>23952621</v>
      </c>
      <c r="M144" s="203" t="n">
        <v>24399683</v>
      </c>
      <c r="N144" s="201" t="n">
        <f aca="false">L144/M144*100-100</f>
        <v>-1.83224511564352</v>
      </c>
      <c r="O144" s="203" t="n">
        <v>559</v>
      </c>
      <c r="P144" s="219" t="n">
        <v>180</v>
      </c>
      <c r="Q144" s="203" t="n">
        <v>559</v>
      </c>
      <c r="R144" s="202" t="n">
        <f aca="false">O144*P144</f>
        <v>100620</v>
      </c>
    </row>
    <row r="145" customFormat="false" ht="15" hidden="false" customHeight="false" outlineLevel="0" collapsed="false">
      <c r="A145" s="262" t="n">
        <v>4</v>
      </c>
      <c r="B145" s="243" t="s">
        <v>141</v>
      </c>
      <c r="C145" s="236" t="n">
        <v>4100034</v>
      </c>
      <c r="D145" s="236" t="n">
        <v>3396220</v>
      </c>
      <c r="E145" s="201" t="n">
        <f aca="false">C145/D145*100-100</f>
        <v>20.7234513665193</v>
      </c>
      <c r="F145" s="262" t="n">
        <v>450426</v>
      </c>
      <c r="G145" s="262" t="n">
        <v>370922</v>
      </c>
      <c r="H145" s="201" t="n">
        <f aca="false">F145/G145*100-100</f>
        <v>21.4341559681011</v>
      </c>
      <c r="I145" s="262" t="n">
        <v>4445521</v>
      </c>
      <c r="J145" s="262" t="n">
        <v>3465180</v>
      </c>
      <c r="K145" s="201" t="n">
        <f aca="false">I145/J145*100-100</f>
        <v>28.2911998799485</v>
      </c>
      <c r="L145" s="262" t="n">
        <v>0</v>
      </c>
      <c r="M145" s="262" t="n">
        <v>0</v>
      </c>
      <c r="N145" s="201" t="e">
        <f aca="false">L145/M145*100-100</f>
        <v>#DIV/0!</v>
      </c>
      <c r="O145" s="203" t="n">
        <v>355</v>
      </c>
      <c r="P145" s="236" t="n">
        <v>58</v>
      </c>
      <c r="Q145" s="203" t="n">
        <v>355</v>
      </c>
      <c r="R145" s="202" t="n">
        <f aca="false">O145*P145</f>
        <v>20590</v>
      </c>
    </row>
    <row r="146" customFormat="false" ht="15" hidden="false" customHeight="false" outlineLevel="0" collapsed="false">
      <c r="A146" s="262" t="n">
        <v>5</v>
      </c>
      <c r="B146" s="243" t="s">
        <v>142</v>
      </c>
      <c r="C146" s="236" t="n">
        <v>26962721</v>
      </c>
      <c r="D146" s="236" t="n">
        <v>24816013</v>
      </c>
      <c r="E146" s="201" t="n">
        <f aca="false">C146/D146*100-100</f>
        <v>8.65049514601721</v>
      </c>
      <c r="F146" s="236" t="n">
        <v>2936115</v>
      </c>
      <c r="G146" s="236" t="n">
        <v>2165909</v>
      </c>
      <c r="H146" s="201" t="n">
        <f aca="false">F146/G146*100-100</f>
        <v>35.5604044306571</v>
      </c>
      <c r="I146" s="203" t="n">
        <v>25096932</v>
      </c>
      <c r="J146" s="203" t="n">
        <v>25459380</v>
      </c>
      <c r="K146" s="201" t="n">
        <f aca="false">I146/J146*100-100</f>
        <v>-1.42363246866184</v>
      </c>
      <c r="L146" s="203" t="n">
        <v>25096932</v>
      </c>
      <c r="M146" s="203" t="n">
        <v>25459380</v>
      </c>
      <c r="N146" s="201" t="n">
        <f aca="false">L146/M146*100-100</f>
        <v>-1.42363246866184</v>
      </c>
      <c r="O146" s="203" t="n">
        <v>969</v>
      </c>
      <c r="P146" s="219" t="n">
        <v>100</v>
      </c>
      <c r="Q146" s="203" t="n">
        <v>969</v>
      </c>
      <c r="R146" s="202" t="n">
        <f aca="false">O146*P146</f>
        <v>96900</v>
      </c>
    </row>
    <row r="147" customFormat="false" ht="15" hidden="false" customHeight="false" outlineLevel="0" collapsed="false">
      <c r="A147" s="262" t="n">
        <v>6</v>
      </c>
      <c r="B147" s="243" t="s">
        <v>143</v>
      </c>
      <c r="C147" s="219" t="n">
        <v>28119368</v>
      </c>
      <c r="D147" s="219" t="n">
        <v>27095823</v>
      </c>
      <c r="E147" s="201" t="n">
        <f aca="false">C147/D147*100-100</f>
        <v>3.77750105615911</v>
      </c>
      <c r="F147" s="219" t="n">
        <v>2910313</v>
      </c>
      <c r="G147" s="219" t="n">
        <v>2881621</v>
      </c>
      <c r="H147" s="201" t="n">
        <f aca="false">F147/G147*100-100</f>
        <v>0.995689578886342</v>
      </c>
      <c r="I147" s="203" t="n">
        <v>28077617</v>
      </c>
      <c r="J147" s="219" t="n">
        <v>26350200</v>
      </c>
      <c r="K147" s="201" t="n">
        <f aca="false">I147/J147*100-100</f>
        <v>6.55561248111968</v>
      </c>
      <c r="L147" s="203" t="n">
        <v>38031543</v>
      </c>
      <c r="M147" s="203" t="n">
        <v>36365301</v>
      </c>
      <c r="N147" s="201" t="n">
        <f aca="false">L147/M147*100-100</f>
        <v>4.58195574952067</v>
      </c>
      <c r="O147" s="203" t="n">
        <v>641</v>
      </c>
      <c r="P147" s="219" t="n">
        <v>130</v>
      </c>
      <c r="Q147" s="203" t="n">
        <v>641</v>
      </c>
      <c r="R147" s="202" t="n">
        <f aca="false">O147*P147</f>
        <v>83330</v>
      </c>
    </row>
    <row r="148" customFormat="false" ht="15" hidden="false" customHeight="false" outlineLevel="0" collapsed="false">
      <c r="A148" s="262" t="n">
        <v>7</v>
      </c>
      <c r="B148" s="243" t="s">
        <v>235</v>
      </c>
      <c r="C148" s="219" t="n">
        <v>2819477</v>
      </c>
      <c r="D148" s="219" t="n">
        <v>2186234</v>
      </c>
      <c r="E148" s="201" t="n">
        <f aca="false">C148/D148*100-100</f>
        <v>28.9650147239499</v>
      </c>
      <c r="F148" s="219" t="n">
        <v>256204</v>
      </c>
      <c r="G148" s="219" t="n">
        <v>353400</v>
      </c>
      <c r="H148" s="201" t="n">
        <f aca="false">F148/G148*100-100</f>
        <v>-27.5031126202603</v>
      </c>
      <c r="I148" s="203" t="n">
        <v>2606291</v>
      </c>
      <c r="J148" s="219" t="n">
        <v>2257255</v>
      </c>
      <c r="K148" s="201" t="n">
        <f aca="false">I148/J148*100-100</f>
        <v>15.462852003872</v>
      </c>
      <c r="L148" s="203" t="n">
        <v>0</v>
      </c>
      <c r="M148" s="203" t="n">
        <v>0</v>
      </c>
      <c r="N148" s="201" t="n">
        <v>0</v>
      </c>
      <c r="O148" s="203" t="n">
        <v>35</v>
      </c>
      <c r="P148" s="219"/>
      <c r="Q148" s="203" t="n">
        <v>35</v>
      </c>
      <c r="R148" s="202"/>
    </row>
    <row r="149" customFormat="false" ht="15" hidden="false" customHeight="false" outlineLevel="0" collapsed="false">
      <c r="A149" s="262" t="n">
        <v>8</v>
      </c>
      <c r="B149" s="243" t="s">
        <v>144</v>
      </c>
      <c r="C149" s="200" t="n">
        <v>0</v>
      </c>
      <c r="D149" s="200" t="n">
        <v>0</v>
      </c>
      <c r="E149" s="201" t="n">
        <v>0</v>
      </c>
      <c r="F149" s="200" t="n">
        <v>0</v>
      </c>
      <c r="G149" s="200" t="n">
        <v>0</v>
      </c>
      <c r="H149" s="201" t="n">
        <v>0</v>
      </c>
      <c r="I149" s="200" t="n">
        <v>0</v>
      </c>
      <c r="J149" s="200" t="n">
        <v>0</v>
      </c>
      <c r="K149" s="201" t="n">
        <v>0</v>
      </c>
      <c r="L149" s="200" t="n">
        <v>0</v>
      </c>
      <c r="M149" s="200" t="n">
        <v>0</v>
      </c>
      <c r="N149" s="201" t="n">
        <v>0</v>
      </c>
      <c r="O149" s="203" t="n">
        <v>0</v>
      </c>
      <c r="P149" s="204" t="n">
        <v>0</v>
      </c>
      <c r="Q149" s="203" t="n">
        <v>0</v>
      </c>
      <c r="R149" s="202" t="n">
        <v>0</v>
      </c>
    </row>
    <row r="150" customFormat="false" ht="15" hidden="false" customHeight="false" outlineLevel="0" collapsed="false">
      <c r="A150" s="215" t="s">
        <v>145</v>
      </c>
      <c r="B150" s="215" t="s">
        <v>136</v>
      </c>
      <c r="C150" s="237" t="n">
        <f aca="false">SUM(C142:C149)</f>
        <v>134328094</v>
      </c>
      <c r="D150" s="237" t="n">
        <f aca="false">SUM(D142:D149)</f>
        <v>134829749</v>
      </c>
      <c r="E150" s="313" t="n">
        <f aca="false">C150/D150*100-100</f>
        <v>-0.372065515007364</v>
      </c>
      <c r="F150" s="237" t="n">
        <f aca="false">SUM(F142:F149)</f>
        <v>13246997</v>
      </c>
      <c r="G150" s="237" t="n">
        <f aca="false">SUM(G142:G149)</f>
        <v>13160056</v>
      </c>
      <c r="H150" s="313" t="n">
        <f aca="false">F150/G150*100-100</f>
        <v>0.660643085409362</v>
      </c>
      <c r="I150" s="237" t="n">
        <f aca="false">SUM(I142:I149)</f>
        <v>129203267</v>
      </c>
      <c r="J150" s="237" t="n">
        <f aca="false">SUM(J142:J149)</f>
        <v>133936593</v>
      </c>
      <c r="K150" s="313" t="n">
        <f aca="false">I150/J150*100-100</f>
        <v>-3.53400507955283</v>
      </c>
      <c r="L150" s="237" t="n">
        <f aca="false">SUM(L142:L149)</f>
        <v>132004747</v>
      </c>
      <c r="M150" s="237" t="n">
        <f aca="false">SUM(M142:M149)</f>
        <v>138112341</v>
      </c>
      <c r="N150" s="313" t="n">
        <f aca="false">L150/M150*100-100</f>
        <v>-4.42219280027987</v>
      </c>
      <c r="O150" s="216" t="n">
        <f aca="false">SUM(O142:O149)</f>
        <v>3712</v>
      </c>
      <c r="P150" s="237" t="n">
        <f aca="false">R150/O150</f>
        <v>130.462015086207</v>
      </c>
      <c r="Q150" s="216" t="n">
        <f aca="false">SUM(Q142:Q149)</f>
        <v>3710</v>
      </c>
      <c r="R150" s="232" t="n">
        <f aca="false">SUM(R142:R149)</f>
        <v>484275</v>
      </c>
    </row>
    <row r="151" customFormat="false" ht="15" hidden="false" customHeight="false" outlineLevel="0" collapsed="false">
      <c r="A151" s="319" t="s">
        <v>146</v>
      </c>
      <c r="B151" s="319" t="s">
        <v>78</v>
      </c>
      <c r="C151" s="320" t="n">
        <f aca="false">C139+C150</f>
        <v>284468726</v>
      </c>
      <c r="D151" s="320" t="n">
        <f aca="false">D139+D150</f>
        <v>283315139</v>
      </c>
      <c r="E151" s="310" t="n">
        <f aca="false">C151/D151*100-100</f>
        <v>0.407174499771429</v>
      </c>
      <c r="F151" s="320" t="n">
        <f aca="false">F139+F150</f>
        <v>28751393</v>
      </c>
      <c r="G151" s="320" t="n">
        <f aca="false">G139+G150</f>
        <v>28571833</v>
      </c>
      <c r="H151" s="310" t="n">
        <f aca="false">F151/G151*100-100</f>
        <v>0.628451104274632</v>
      </c>
      <c r="I151" s="320" t="n">
        <f aca="false">I139+I150</f>
        <v>265767863</v>
      </c>
      <c r="J151" s="320" t="n">
        <f aca="false">J139+J150</f>
        <v>274857425</v>
      </c>
      <c r="K151" s="310" t="n">
        <f aca="false">I151/J151*100-100</f>
        <v>-3.30700980699356</v>
      </c>
      <c r="L151" s="320" t="n">
        <f aca="false">L139+L150</f>
        <v>226898009</v>
      </c>
      <c r="M151" s="320" t="n">
        <f aca="false">M139+M150</f>
        <v>228460879</v>
      </c>
      <c r="N151" s="310" t="n">
        <f aca="false">L151/M151*100-100</f>
        <v>-0.684086486422032</v>
      </c>
      <c r="O151" s="320" t="n">
        <f aca="false">O139+O150</f>
        <v>9641</v>
      </c>
      <c r="P151" s="321" t="n">
        <f aca="false">R151/O151</f>
        <v>157.247795871798</v>
      </c>
      <c r="Q151" s="320" t="n">
        <f aca="false">Q139+Q150</f>
        <v>9645</v>
      </c>
      <c r="R151" s="320" t="n">
        <f aca="false">R139+R150</f>
        <v>1516026</v>
      </c>
    </row>
    <row r="152" s="404" customFormat="true" ht="15" hidden="false" customHeight="false" outlineLevel="0" collapsed="false">
      <c r="A152" s="401"/>
      <c r="B152" s="401"/>
      <c r="C152" s="264"/>
      <c r="D152" s="264"/>
      <c r="E152" s="402"/>
      <c r="F152" s="264"/>
      <c r="G152" s="264"/>
      <c r="H152" s="402"/>
      <c r="I152" s="264"/>
      <c r="J152" s="264"/>
      <c r="K152" s="402"/>
      <c r="L152" s="264"/>
      <c r="M152" s="264"/>
      <c r="N152" s="402"/>
      <c r="O152" s="264"/>
      <c r="P152" s="265"/>
      <c r="Q152" s="264"/>
      <c r="R152" s="403"/>
    </row>
    <row r="153" customFormat="false" ht="15" hidden="false" customHeight="false" outlineLevel="0" collapsed="false">
      <c r="A153" s="263"/>
      <c r="B153" s="263"/>
      <c r="C153" s="264"/>
      <c r="D153" s="264"/>
      <c r="E153" s="265"/>
      <c r="F153" s="266"/>
      <c r="G153" s="266"/>
      <c r="H153" s="265"/>
      <c r="I153" s="266"/>
      <c r="J153" s="266"/>
      <c r="K153" s="265"/>
      <c r="L153" s="266"/>
      <c r="M153" s="266"/>
      <c r="N153" s="265"/>
      <c r="O153" s="266"/>
      <c r="P153" s="264"/>
      <c r="Q153" s="266"/>
      <c r="R153" s="267"/>
    </row>
    <row r="154" customFormat="false" ht="15" hidden="false" customHeight="false" outlineLevel="0" collapsed="false">
      <c r="A154" s="179"/>
      <c r="B154" s="270" t="s">
        <v>147</v>
      </c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189"/>
    </row>
    <row r="155" customFormat="false" ht="15" hidden="false" customHeight="false" outlineLevel="0" collapsed="false">
      <c r="A155" s="270"/>
      <c r="B155" s="270"/>
      <c r="C155" s="195" t="n">
        <v>3</v>
      </c>
      <c r="D155" s="195" t="n">
        <v>4</v>
      </c>
      <c r="E155" s="196" t="n">
        <v>5</v>
      </c>
      <c r="F155" s="195" t="n">
        <v>6</v>
      </c>
      <c r="G155" s="195" t="n">
        <v>7</v>
      </c>
      <c r="H155" s="195" t="n">
        <v>8</v>
      </c>
      <c r="I155" s="195" t="n">
        <v>9</v>
      </c>
      <c r="J155" s="195" t="n">
        <v>10</v>
      </c>
      <c r="K155" s="195" t="n">
        <v>11</v>
      </c>
      <c r="L155" s="195" t="n">
        <v>12</v>
      </c>
      <c r="M155" s="195" t="n">
        <v>13</v>
      </c>
      <c r="N155" s="195" t="n">
        <v>14</v>
      </c>
      <c r="O155" s="195" t="n">
        <v>15</v>
      </c>
      <c r="P155" s="196" t="n">
        <v>16</v>
      </c>
      <c r="Q155" s="195" t="n">
        <v>17</v>
      </c>
      <c r="R155" s="271"/>
    </row>
    <row r="156" customFormat="false" ht="15" hidden="false" customHeight="false" outlineLevel="0" collapsed="false">
      <c r="A156" s="262" t="n">
        <v>1</v>
      </c>
      <c r="B156" s="272" t="s">
        <v>148</v>
      </c>
      <c r="C156" s="262" t="n">
        <v>30758</v>
      </c>
      <c r="D156" s="262" t="n">
        <v>57489</v>
      </c>
      <c r="E156" s="201" t="n">
        <f aca="false">C156/D156*100-100</f>
        <v>-46.4975908434657</v>
      </c>
      <c r="F156" s="192" t="n">
        <v>4196</v>
      </c>
      <c r="G156" s="262" t="n">
        <v>5095</v>
      </c>
      <c r="H156" s="201" t="n">
        <f aca="false">F156/G156*100-100</f>
        <v>-17.6447497546614</v>
      </c>
      <c r="I156" s="262" t="n">
        <v>30758</v>
      </c>
      <c r="J156" s="262" t="n">
        <v>57489</v>
      </c>
      <c r="K156" s="201" t="n">
        <f aca="false">I156/J156*100-100</f>
        <v>-46.4975908434657</v>
      </c>
      <c r="L156" s="262" t="n">
        <v>0</v>
      </c>
      <c r="M156" s="262" t="n">
        <v>0</v>
      </c>
      <c r="N156" s="201" t="n">
        <v>0</v>
      </c>
      <c r="O156" s="262" t="n">
        <v>45</v>
      </c>
      <c r="P156" s="236" t="n">
        <v>95</v>
      </c>
      <c r="Q156" s="262" t="n">
        <v>46</v>
      </c>
      <c r="R156" s="202" t="n">
        <f aca="false">O156*P156</f>
        <v>4275</v>
      </c>
    </row>
    <row r="157" customFormat="false" ht="15" hidden="false" customHeight="false" outlineLevel="0" collapsed="false">
      <c r="A157" s="262" t="n">
        <v>2</v>
      </c>
      <c r="B157" s="272" t="s">
        <v>149</v>
      </c>
      <c r="C157" s="208" t="n">
        <v>8433059</v>
      </c>
      <c r="D157" s="208" t="n">
        <v>4724887</v>
      </c>
      <c r="E157" s="201" t="n">
        <f aca="false">C157/D157*100-100</f>
        <v>78.4817076048591</v>
      </c>
      <c r="F157" s="208" t="n">
        <v>980043</v>
      </c>
      <c r="G157" s="208" t="n">
        <v>706643</v>
      </c>
      <c r="H157" s="201" t="n">
        <f aca="false">F157/G157*100-100</f>
        <v>38.6899749944456</v>
      </c>
      <c r="I157" s="208" t="n">
        <v>7821425</v>
      </c>
      <c r="J157" s="208" t="n">
        <v>4869271</v>
      </c>
      <c r="K157" s="201" t="n">
        <f aca="false">I157/J157*100-100</f>
        <v>60.6282542088949</v>
      </c>
      <c r="L157" s="208" t="n">
        <v>3631857</v>
      </c>
      <c r="M157" s="208" t="n">
        <v>1458182</v>
      </c>
      <c r="N157" s="201" t="n">
        <f aca="false">L157/M157*100-100</f>
        <v>149.067468944206</v>
      </c>
      <c r="O157" s="262" t="n">
        <v>593</v>
      </c>
      <c r="P157" s="236" t="n">
        <v>110</v>
      </c>
      <c r="Q157" s="262" t="n">
        <v>593</v>
      </c>
      <c r="R157" s="202" t="n">
        <f aca="false">O157*P157</f>
        <v>65230</v>
      </c>
    </row>
    <row r="158" customFormat="false" ht="15" hidden="false" customHeight="false" outlineLevel="0" collapsed="false">
      <c r="A158" s="262" t="n">
        <v>3</v>
      </c>
      <c r="B158" s="272" t="s">
        <v>150</v>
      </c>
      <c r="C158" s="200" t="n">
        <v>0</v>
      </c>
      <c r="D158" s="200" t="n">
        <v>0</v>
      </c>
      <c r="E158" s="201" t="n">
        <v>0</v>
      </c>
      <c r="F158" s="200" t="n">
        <v>0</v>
      </c>
      <c r="G158" s="200" t="n">
        <v>0</v>
      </c>
      <c r="H158" s="201" t="n">
        <v>0</v>
      </c>
      <c r="I158" s="200" t="n">
        <v>0</v>
      </c>
      <c r="J158" s="200" t="n">
        <v>0</v>
      </c>
      <c r="K158" s="201" t="n">
        <v>0</v>
      </c>
      <c r="L158" s="200" t="n">
        <v>0</v>
      </c>
      <c r="M158" s="200" t="n">
        <v>0</v>
      </c>
      <c r="N158" s="201" t="n">
        <v>0</v>
      </c>
      <c r="O158" s="203" t="n">
        <v>0</v>
      </c>
      <c r="P158" s="204" t="n">
        <v>0</v>
      </c>
      <c r="Q158" s="203" t="n">
        <v>0</v>
      </c>
      <c r="R158" s="202" t="n">
        <v>0</v>
      </c>
    </row>
    <row r="159" customFormat="false" ht="15" hidden="false" customHeight="false" outlineLevel="0" collapsed="false">
      <c r="A159" s="262" t="n">
        <v>4</v>
      </c>
      <c r="B159" s="272" t="s">
        <v>151</v>
      </c>
      <c r="C159" s="262" t="n">
        <v>2275507</v>
      </c>
      <c r="D159" s="262" t="n">
        <v>2637834</v>
      </c>
      <c r="E159" s="201" t="n">
        <f aca="false">C159/D159*100-100</f>
        <v>-13.735777156561</v>
      </c>
      <c r="F159" s="262" t="n">
        <v>2003858</v>
      </c>
      <c r="G159" s="273" t="n">
        <v>2580831</v>
      </c>
      <c r="H159" s="201" t="n">
        <f aca="false">F159/G159*100-100</f>
        <v>-22.3560938317929</v>
      </c>
      <c r="I159" s="273" t="n">
        <v>2009640</v>
      </c>
      <c r="J159" s="273" t="n">
        <v>2956999</v>
      </c>
      <c r="K159" s="201" t="n">
        <f aca="false">I159/J159*100-100</f>
        <v>-32.0378532424259</v>
      </c>
      <c r="L159" s="273" t="n">
        <f aca="false">1601292+22765</f>
        <v>1624057</v>
      </c>
      <c r="M159" s="273" t="n">
        <v>1859575</v>
      </c>
      <c r="N159" s="201" t="n">
        <f aca="false">L159/M159*100-100</f>
        <v>-12.6651519836522</v>
      </c>
      <c r="O159" s="262" t="n">
        <v>296</v>
      </c>
      <c r="P159" s="236" t="n">
        <v>100</v>
      </c>
      <c r="Q159" s="262" t="n">
        <v>296</v>
      </c>
      <c r="R159" s="202" t="n">
        <f aca="false">O159*P159</f>
        <v>29600</v>
      </c>
    </row>
    <row r="160" customFormat="false" ht="15" hidden="false" customHeight="false" outlineLevel="0" collapsed="false">
      <c r="A160" s="262" t="n">
        <v>5</v>
      </c>
      <c r="B160" s="245" t="s">
        <v>88</v>
      </c>
      <c r="C160" s="208" t="n">
        <v>1744379</v>
      </c>
      <c r="D160" s="208" t="n">
        <v>1645605</v>
      </c>
      <c r="E160" s="201" t="n">
        <f aca="false">C160/D160*100-100</f>
        <v>6.00229095074457</v>
      </c>
      <c r="F160" s="208" t="n">
        <v>203650</v>
      </c>
      <c r="G160" s="208" t="n">
        <v>80937</v>
      </c>
      <c r="H160" s="201" t="n">
        <f aca="false">F160/G160*100-100</f>
        <v>151.615453995083</v>
      </c>
      <c r="I160" s="208" t="n">
        <v>1810598</v>
      </c>
      <c r="J160" s="208" t="n">
        <v>1735142</v>
      </c>
      <c r="K160" s="201" t="n">
        <f aca="false">I160/J160*100-100</f>
        <v>4.34869307526415</v>
      </c>
      <c r="L160" s="203" t="n">
        <v>23142</v>
      </c>
      <c r="M160" s="208" t="n">
        <v>0</v>
      </c>
      <c r="N160" s="201" t="n">
        <v>0</v>
      </c>
      <c r="O160" s="203" t="n">
        <v>127</v>
      </c>
      <c r="P160" s="208" t="n">
        <v>145</v>
      </c>
      <c r="Q160" s="203" t="n">
        <v>127</v>
      </c>
      <c r="R160" s="202" t="n">
        <f aca="false">O160*P160</f>
        <v>18415</v>
      </c>
    </row>
    <row r="161" customFormat="false" ht="15" hidden="false" customHeight="false" outlineLevel="0" collapsed="false">
      <c r="A161" s="262" t="n">
        <v>6</v>
      </c>
      <c r="B161" s="272" t="s">
        <v>152</v>
      </c>
      <c r="C161" s="200" t="n">
        <v>1172865</v>
      </c>
      <c r="D161" s="200" t="n">
        <v>2360611</v>
      </c>
      <c r="E161" s="201" t="n">
        <f aca="false">C161/D161*100-100</f>
        <v>-50.3151938205829</v>
      </c>
      <c r="F161" s="200" t="n">
        <v>117586</v>
      </c>
      <c r="G161" s="200" t="n">
        <v>51667</v>
      </c>
      <c r="H161" s="201" t="n">
        <v>0</v>
      </c>
      <c r="I161" s="200" t="n">
        <v>759278</v>
      </c>
      <c r="J161" s="200" t="n">
        <v>2337982</v>
      </c>
      <c r="K161" s="201" t="n">
        <v>0</v>
      </c>
      <c r="L161" s="200" t="n">
        <v>0</v>
      </c>
      <c r="M161" s="200" t="n">
        <v>0</v>
      </c>
      <c r="N161" s="201" t="n">
        <v>0</v>
      </c>
      <c r="O161" s="203" t="n">
        <v>436</v>
      </c>
      <c r="P161" s="204" t="n">
        <v>65</v>
      </c>
      <c r="Q161" s="203" t="n">
        <v>436</v>
      </c>
      <c r="R161" s="202" t="n">
        <f aca="false">O161*P161</f>
        <v>28340</v>
      </c>
    </row>
    <row r="162" customFormat="false" ht="15" hidden="false" customHeight="false" outlineLevel="0" collapsed="false">
      <c r="A162" s="215" t="s">
        <v>153</v>
      </c>
      <c r="B162" s="215" t="s">
        <v>154</v>
      </c>
      <c r="C162" s="216" t="n">
        <f aca="false">SUM(C156:C161)</f>
        <v>13656568</v>
      </c>
      <c r="D162" s="216" t="n">
        <f aca="false">SUM(D156:D161)</f>
        <v>11426426</v>
      </c>
      <c r="E162" s="313" t="n">
        <f aca="false">C162/D162*100-100</f>
        <v>19.5174064051174</v>
      </c>
      <c r="F162" s="216" t="n">
        <f aca="false">SUM(F156:F161)</f>
        <v>3309333</v>
      </c>
      <c r="G162" s="216" t="n">
        <f aca="false">SUM(G156:G161)</f>
        <v>3425173</v>
      </c>
      <c r="H162" s="313" t="n">
        <f aca="false">F162/G162*100-100</f>
        <v>-3.38201895203541</v>
      </c>
      <c r="I162" s="216" t="n">
        <f aca="false">SUM(I156:I161)</f>
        <v>12431699</v>
      </c>
      <c r="J162" s="216" t="n">
        <f aca="false">SUM(J156:J161)</f>
        <v>11956883</v>
      </c>
      <c r="K162" s="313" t="n">
        <f aca="false">I162/J162*100-100</f>
        <v>3.9710683796103</v>
      </c>
      <c r="L162" s="216" t="n">
        <f aca="false">SUM(L156:L161)</f>
        <v>5279056</v>
      </c>
      <c r="M162" s="216" t="n">
        <f aca="false">SUM(M156:M161)</f>
        <v>3317757</v>
      </c>
      <c r="N162" s="313" t="n">
        <f aca="false">L162/M162*100-100</f>
        <v>59.1152094622963</v>
      </c>
      <c r="O162" s="216" t="n">
        <f aca="false">SUM(O156:O161)</f>
        <v>1497</v>
      </c>
      <c r="P162" s="217" t="n">
        <f aca="false">R162/O162</f>
        <v>97.434869739479</v>
      </c>
      <c r="Q162" s="216" t="n">
        <f aca="false">SUM(Q156:Q161)</f>
        <v>1498</v>
      </c>
      <c r="R162" s="232" t="n">
        <f aca="false">SUM(R156:R161)</f>
        <v>145860</v>
      </c>
    </row>
    <row r="163" customFormat="false" ht="15" hidden="false" customHeight="false" outlineLevel="0" collapsed="false">
      <c r="A163" s="274"/>
      <c r="B163" s="256"/>
      <c r="C163" s="275"/>
      <c r="D163" s="275"/>
      <c r="E163" s="276"/>
      <c r="F163" s="275"/>
      <c r="G163" s="275"/>
      <c r="H163" s="276"/>
      <c r="I163" s="275"/>
      <c r="J163" s="275"/>
      <c r="K163" s="276"/>
      <c r="L163" s="275"/>
      <c r="M163" s="277"/>
      <c r="N163" s="278"/>
      <c r="O163" s="277"/>
      <c r="P163" s="275"/>
      <c r="Q163" s="277"/>
      <c r="R163" s="279"/>
    </row>
    <row r="164" customFormat="false" ht="15" hidden="false" customHeight="false" outlineLevel="0" collapsed="false">
      <c r="A164" s="274"/>
      <c r="B164" s="322" t="s">
        <v>194</v>
      </c>
      <c r="C164" s="322"/>
      <c r="D164" s="275"/>
      <c r="E164" s="276"/>
      <c r="F164" s="275"/>
      <c r="G164" s="275"/>
      <c r="H164" s="276"/>
      <c r="I164" s="275"/>
      <c r="J164" s="275"/>
      <c r="K164" s="276"/>
      <c r="L164" s="275"/>
      <c r="M164" s="277"/>
      <c r="N164" s="278"/>
      <c r="O164" s="277"/>
      <c r="P164" s="275"/>
      <c r="Q164" s="277"/>
      <c r="R164" s="279"/>
    </row>
    <row r="165" customFormat="false" ht="15" hidden="false" customHeight="false" outlineLevel="0" collapsed="false">
      <c r="A165" s="323" t="s">
        <v>195</v>
      </c>
      <c r="B165" s="323"/>
      <c r="C165" s="195" t="n">
        <v>3</v>
      </c>
      <c r="D165" s="195" t="n">
        <v>4</v>
      </c>
      <c r="E165" s="196" t="n">
        <v>5</v>
      </c>
      <c r="F165" s="195" t="n">
        <v>6</v>
      </c>
      <c r="G165" s="195" t="n">
        <v>7</v>
      </c>
      <c r="H165" s="195" t="n">
        <v>8</v>
      </c>
      <c r="I165" s="195" t="n">
        <v>9</v>
      </c>
      <c r="J165" s="195" t="n">
        <v>10</v>
      </c>
      <c r="K165" s="195" t="n">
        <v>11</v>
      </c>
      <c r="L165" s="195" t="n">
        <v>12</v>
      </c>
      <c r="M165" s="195" t="n">
        <v>13</v>
      </c>
      <c r="N165" s="195" t="n">
        <v>14</v>
      </c>
      <c r="O165" s="195" t="n">
        <v>15</v>
      </c>
      <c r="P165" s="196" t="n">
        <v>16</v>
      </c>
      <c r="Q165" s="195" t="n">
        <v>17</v>
      </c>
      <c r="R165" s="202"/>
    </row>
    <row r="166" customFormat="false" ht="15" hidden="false" customHeight="false" outlineLevel="0" collapsed="false">
      <c r="A166" s="366" t="n">
        <v>1</v>
      </c>
      <c r="B166" s="388" t="s">
        <v>249</v>
      </c>
      <c r="C166" s="203" t="n">
        <v>21859810</v>
      </c>
      <c r="D166" s="203" t="n">
        <v>16756205</v>
      </c>
      <c r="E166" s="201" t="n">
        <f aca="false">C166/D166*100-100</f>
        <v>30.4580004839998</v>
      </c>
      <c r="F166" s="203" t="n">
        <v>3352281</v>
      </c>
      <c r="G166" s="203" t="n">
        <v>1932190</v>
      </c>
      <c r="H166" s="201" t="n">
        <f aca="false">F166/G166*100-100</f>
        <v>73.4964470367821</v>
      </c>
      <c r="I166" s="203" t="n">
        <v>20268729</v>
      </c>
      <c r="J166" s="203" t="n">
        <v>16075007</v>
      </c>
      <c r="K166" s="201" t="n">
        <f aca="false">I166/J166*100-100</f>
        <v>26.088461423376</v>
      </c>
      <c r="L166" s="203" t="n">
        <f aca="false">16849970+1023508</f>
        <v>17873478</v>
      </c>
      <c r="M166" s="203" t="n">
        <f aca="false">13074422+953426</f>
        <v>14027848</v>
      </c>
      <c r="N166" s="201" t="n">
        <f aca="false">L166/M166*100-100</f>
        <v>27.4142548450767</v>
      </c>
      <c r="O166" s="203" t="n">
        <v>343</v>
      </c>
      <c r="P166" s="203"/>
      <c r="Q166" s="203" t="n">
        <v>343</v>
      </c>
      <c r="R166" s="202" t="n">
        <f aca="false">O166*P166</f>
        <v>0</v>
      </c>
    </row>
    <row r="167" customFormat="false" ht="15" hidden="false" customHeight="false" outlineLevel="0" collapsed="false">
      <c r="A167" s="366" t="n">
        <v>2</v>
      </c>
      <c r="B167" s="388" t="s">
        <v>250</v>
      </c>
      <c r="C167" s="203" t="n">
        <v>3048856</v>
      </c>
      <c r="D167" s="203" t="n">
        <v>9229919</v>
      </c>
      <c r="E167" s="201" t="n">
        <f aca="false">C167/D167*100-100</f>
        <v>-66.9676841151044</v>
      </c>
      <c r="F167" s="203" t="n">
        <v>177334</v>
      </c>
      <c r="G167" s="203" t="n">
        <v>173053</v>
      </c>
      <c r="H167" s="223" t="n">
        <f aca="false">F167/G167*100-100</f>
        <v>2.47380860198898</v>
      </c>
      <c r="I167" s="203" t="n">
        <v>3060350</v>
      </c>
      <c r="J167" s="203" t="n">
        <v>942103</v>
      </c>
      <c r="K167" s="201" t="n">
        <f aca="false">I167/J167*100-100</f>
        <v>224.842400459398</v>
      </c>
      <c r="L167" s="203" t="n">
        <f aca="false">2258203+187376</f>
        <v>2445579</v>
      </c>
      <c r="M167" s="203" t="n">
        <f aca="false">158363+47351</f>
        <v>205714</v>
      </c>
      <c r="N167" s="223" t="n">
        <f aca="false">L167/M167*100-100</f>
        <v>1088.82477614552</v>
      </c>
      <c r="O167" s="203" t="n">
        <v>115</v>
      </c>
      <c r="P167" s="203" t="n">
        <v>110</v>
      </c>
      <c r="Q167" s="203" t="n">
        <v>132</v>
      </c>
      <c r="R167" s="202" t="n">
        <f aca="false">O167*P167</f>
        <v>12650</v>
      </c>
    </row>
    <row r="168" customFormat="false" ht="15" hidden="false" customHeight="false" outlineLevel="0" collapsed="false">
      <c r="A168" s="366" t="n">
        <v>3</v>
      </c>
      <c r="B168" s="388" t="s">
        <v>251</v>
      </c>
      <c r="C168" s="203" t="n">
        <v>744082</v>
      </c>
      <c r="D168" s="203" t="n">
        <v>524786</v>
      </c>
      <c r="E168" s="201" t="n">
        <f aca="false">C168/D168*100-100</f>
        <v>41.7877001291955</v>
      </c>
      <c r="F168" s="203" t="n">
        <v>2854</v>
      </c>
      <c r="G168" s="203" t="n">
        <v>41505</v>
      </c>
      <c r="H168" s="223" t="n">
        <f aca="false">F168/G168*100-100</f>
        <v>-93.1237200337309</v>
      </c>
      <c r="I168" s="203" t="n">
        <v>819290</v>
      </c>
      <c r="J168" s="203" t="n">
        <v>165776</v>
      </c>
      <c r="K168" s="223" t="n">
        <f aca="false">I168/J168*100-100</f>
        <v>394.215085416466</v>
      </c>
      <c r="L168" s="203" t="n">
        <f aca="false">188891+531875</f>
        <v>720766</v>
      </c>
      <c r="M168" s="203" t="n">
        <f aca="false">119847+10895</f>
        <v>130742</v>
      </c>
      <c r="N168" s="223" t="n">
        <f aca="false">L168/M168*100-100</f>
        <v>451.288797784951</v>
      </c>
      <c r="O168" s="203" t="n">
        <v>56</v>
      </c>
      <c r="P168" s="203" t="n">
        <v>131</v>
      </c>
      <c r="Q168" s="203" t="n">
        <v>53</v>
      </c>
      <c r="R168" s="202" t="n">
        <f aca="false">O168*P168</f>
        <v>7336</v>
      </c>
    </row>
    <row r="169" customFormat="false" ht="15.75" hidden="false" customHeight="true" outlineLevel="0" collapsed="false">
      <c r="A169" s="366" t="n">
        <v>4</v>
      </c>
      <c r="B169" s="388" t="s">
        <v>252</v>
      </c>
      <c r="C169" s="208" t="n">
        <v>1140646</v>
      </c>
      <c r="D169" s="208" t="n">
        <v>997046</v>
      </c>
      <c r="E169" s="201" t="n">
        <f aca="false">C169/D169*100-100</f>
        <v>14.4025451182794</v>
      </c>
      <c r="F169" s="208" t="n">
        <v>181403</v>
      </c>
      <c r="G169" s="208" t="n">
        <v>86344</v>
      </c>
      <c r="H169" s="201" t="n">
        <f aca="false">F169/G169*100-100</f>
        <v>110.093347540072</v>
      </c>
      <c r="I169" s="208" t="n">
        <v>1692036</v>
      </c>
      <c r="J169" s="208" t="n">
        <v>2034752</v>
      </c>
      <c r="K169" s="201" t="n">
        <f aca="false">I169/J169*100-100</f>
        <v>-16.843133708678</v>
      </c>
      <c r="L169" s="208" t="n">
        <v>1692036</v>
      </c>
      <c r="M169" s="208" t="n">
        <v>874230</v>
      </c>
      <c r="N169" s="223" t="n">
        <f aca="false">L169/M169*100-100</f>
        <v>93.5458632167736</v>
      </c>
      <c r="O169" s="250" t="n">
        <v>197</v>
      </c>
      <c r="P169" s="203" t="n">
        <v>140</v>
      </c>
      <c r="Q169" s="250" t="n">
        <v>177</v>
      </c>
      <c r="R169" s="202" t="n">
        <f aca="false">O169*P169</f>
        <v>27580</v>
      </c>
    </row>
    <row r="170" customFormat="false" ht="24.75" hidden="false" customHeight="true" outlineLevel="0" collapsed="false">
      <c r="A170" s="367" t="n">
        <v>5</v>
      </c>
      <c r="B170" s="389" t="s">
        <v>253</v>
      </c>
      <c r="C170" s="206" t="n">
        <v>9070707</v>
      </c>
      <c r="D170" s="206" t="n">
        <v>8328391</v>
      </c>
      <c r="E170" s="201" t="n">
        <f aca="false">C170/D170*100-100</f>
        <v>8.91307816840012</v>
      </c>
      <c r="F170" s="206" t="n">
        <v>1085634</v>
      </c>
      <c r="G170" s="206" t="n">
        <v>727033</v>
      </c>
      <c r="H170" s="201" t="n">
        <f aca="false">F170/G170*100-100</f>
        <v>49.3238958891825</v>
      </c>
      <c r="I170" s="206" t="n">
        <v>8163321</v>
      </c>
      <c r="J170" s="206" t="n">
        <v>8745657</v>
      </c>
      <c r="K170" s="201" t="n">
        <f aca="false">I170/J170*100-100</f>
        <v>-6.65857350682745</v>
      </c>
      <c r="L170" s="206" t="n">
        <f aca="false">8070672+92649</f>
        <v>8163321</v>
      </c>
      <c r="M170" s="206" t="n">
        <f aca="false">8194742+210992</f>
        <v>8405734</v>
      </c>
      <c r="N170" s="223" t="n">
        <f aca="false">L170/M170*100-100</f>
        <v>-2.88390044224573</v>
      </c>
      <c r="O170" s="369" t="n">
        <v>254</v>
      </c>
      <c r="P170" s="200"/>
      <c r="Q170" s="369" t="n">
        <v>254</v>
      </c>
      <c r="R170" s="370"/>
    </row>
    <row r="171" s="371" customFormat="true" ht="15" hidden="false" customHeight="false" outlineLevel="0" collapsed="false">
      <c r="A171" s="367" t="n">
        <v>6</v>
      </c>
      <c r="B171" s="389" t="s">
        <v>254</v>
      </c>
      <c r="C171" s="206" t="n">
        <v>5753303</v>
      </c>
      <c r="D171" s="206" t="n">
        <v>6294723</v>
      </c>
      <c r="E171" s="201" t="n">
        <f aca="false">C171/D171*100-100</f>
        <v>-8.60117276010398</v>
      </c>
      <c r="F171" s="206" t="n">
        <v>875313</v>
      </c>
      <c r="G171" s="206" t="n">
        <v>976117</v>
      </c>
      <c r="H171" s="201" t="n">
        <f aca="false">F171/G171*100-100</f>
        <v>-10.3270407133571</v>
      </c>
      <c r="I171" s="206" t="n">
        <v>5753303</v>
      </c>
      <c r="J171" s="206" t="n">
        <v>6294723</v>
      </c>
      <c r="K171" s="201" t="n">
        <f aca="false">I171/J171*100-100</f>
        <v>-8.60117276010398</v>
      </c>
      <c r="L171" s="206" t="n">
        <f aca="false">1905732+1894481</f>
        <v>3800213</v>
      </c>
      <c r="M171" s="206" t="n">
        <f aca="false">3204982+1599385</f>
        <v>4804367</v>
      </c>
      <c r="N171" s="201" t="n">
        <f aca="false">L171/M171*100-100</f>
        <v>-20.9008595721351</v>
      </c>
      <c r="O171" s="369" t="n">
        <v>250</v>
      </c>
      <c r="P171" s="200" t="n">
        <v>103</v>
      </c>
      <c r="Q171" s="369" t="n">
        <v>249</v>
      </c>
      <c r="R171" s="370"/>
    </row>
    <row r="172" s="371" customFormat="true" ht="15" hidden="false" customHeight="false" outlineLevel="0" collapsed="false">
      <c r="A172" s="367"/>
      <c r="B172" s="243" t="s">
        <v>255</v>
      </c>
      <c r="C172" s="206" t="n">
        <v>925018</v>
      </c>
      <c r="D172" s="206" t="n">
        <v>0</v>
      </c>
      <c r="E172" s="201" t="n">
        <v>0</v>
      </c>
      <c r="F172" s="206" t="n">
        <v>369329</v>
      </c>
      <c r="G172" s="206" t="n">
        <v>0</v>
      </c>
      <c r="H172" s="201" t="n">
        <v>0</v>
      </c>
      <c r="I172" s="206" t="n">
        <v>689827</v>
      </c>
      <c r="J172" s="206" t="n">
        <v>0</v>
      </c>
      <c r="K172" s="201" t="n">
        <v>0</v>
      </c>
      <c r="L172" s="206" t="n">
        <v>1296452</v>
      </c>
      <c r="M172" s="206" t="n">
        <v>0</v>
      </c>
      <c r="N172" s="201" t="n">
        <v>0</v>
      </c>
      <c r="O172" s="369" t="n">
        <v>127</v>
      </c>
      <c r="P172" s="200" t="n">
        <v>93</v>
      </c>
      <c r="Q172" s="369" t="n">
        <v>127</v>
      </c>
      <c r="R172" s="370"/>
    </row>
    <row r="173" customFormat="false" ht="15" hidden="false" customHeight="false" outlineLevel="0" collapsed="false">
      <c r="A173" s="203" t="n">
        <v>7</v>
      </c>
      <c r="B173" s="388" t="s">
        <v>256</v>
      </c>
      <c r="C173" s="203" t="n">
        <v>2247845</v>
      </c>
      <c r="D173" s="203" t="n">
        <v>1038881</v>
      </c>
      <c r="E173" s="201" t="n">
        <f aca="false">C173/D173*100-100</f>
        <v>116.37174998869</v>
      </c>
      <c r="F173" s="203" t="n">
        <v>233508</v>
      </c>
      <c r="G173" s="203" t="n">
        <v>66548</v>
      </c>
      <c r="H173" s="201" t="n">
        <f aca="false">F173/G173*100-100</f>
        <v>250.886578109034</v>
      </c>
      <c r="I173" s="203" t="n">
        <v>2262874</v>
      </c>
      <c r="J173" s="203" t="n">
        <v>985246</v>
      </c>
      <c r="K173" s="201" t="n">
        <f aca="false">I173/J173*100-100</f>
        <v>129.676040298565</v>
      </c>
      <c r="L173" s="203" t="n">
        <v>16014</v>
      </c>
      <c r="M173" s="203" t="n">
        <v>40589</v>
      </c>
      <c r="N173" s="201" t="n">
        <f aca="false">L173/M173*100-100</f>
        <v>-60.5459607282761</v>
      </c>
      <c r="O173" s="203" t="n">
        <v>185</v>
      </c>
      <c r="P173" s="203" t="n">
        <v>75</v>
      </c>
      <c r="Q173" s="203" t="n">
        <v>185</v>
      </c>
      <c r="R173" s="202" t="n">
        <f aca="false">O173*P173</f>
        <v>13875</v>
      </c>
    </row>
    <row r="174" customFormat="false" ht="15" hidden="false" customHeight="false" outlineLevel="0" collapsed="false">
      <c r="A174" s="203" t="n">
        <v>8</v>
      </c>
      <c r="B174" s="388" t="s">
        <v>257</v>
      </c>
      <c r="C174" s="203" t="n">
        <v>1384134</v>
      </c>
      <c r="D174" s="203" t="n">
        <v>1109533</v>
      </c>
      <c r="E174" s="201" t="n">
        <f aca="false">C174/D174*100-100</f>
        <v>24.7492413474858</v>
      </c>
      <c r="F174" s="203" t="n">
        <v>117117</v>
      </c>
      <c r="G174" s="203" t="n">
        <v>122989</v>
      </c>
      <c r="H174" s="201" t="n">
        <f aca="false">F174/G174*100-100</f>
        <v>-4.77441071965785</v>
      </c>
      <c r="I174" s="203" t="n">
        <v>1372897</v>
      </c>
      <c r="J174" s="203" t="n">
        <v>1169918</v>
      </c>
      <c r="K174" s="201" t="n">
        <f aca="false">I174/J174*100-100</f>
        <v>17.3498484509171</v>
      </c>
      <c r="L174" s="203" t="n">
        <v>7217</v>
      </c>
      <c r="M174" s="203" t="n">
        <v>17776</v>
      </c>
      <c r="N174" s="201" t="n">
        <f aca="false">L174/M174*100-100</f>
        <v>-59.4003150315031</v>
      </c>
      <c r="O174" s="203" t="n">
        <v>35</v>
      </c>
      <c r="P174" s="203" t="n">
        <v>85</v>
      </c>
      <c r="Q174" s="203" t="n">
        <v>34</v>
      </c>
      <c r="R174" s="202" t="n">
        <f aca="false">O174*P174</f>
        <v>2975</v>
      </c>
    </row>
    <row r="175" customFormat="false" ht="15" hidden="false" customHeight="false" outlineLevel="0" collapsed="false">
      <c r="A175" s="215" t="s">
        <v>201</v>
      </c>
      <c r="B175" s="215" t="s">
        <v>119</v>
      </c>
      <c r="C175" s="229" t="n">
        <f aca="false">SUM(C166:C174)</f>
        <v>46174401</v>
      </c>
      <c r="D175" s="229" t="n">
        <f aca="false">SUM(D166:D174)</f>
        <v>44279484</v>
      </c>
      <c r="E175" s="313" t="n">
        <f aca="false">C175/D175*100-100</f>
        <v>4.27944688786346</v>
      </c>
      <c r="F175" s="229" t="n">
        <f aca="false">SUM(F166:F174)</f>
        <v>6394773</v>
      </c>
      <c r="G175" s="229" t="n">
        <f aca="false">SUM(G166:G174)</f>
        <v>4125779</v>
      </c>
      <c r="H175" s="313" t="n">
        <f aca="false">F175/G175*100-100</f>
        <v>54.9955293291279</v>
      </c>
      <c r="I175" s="229" t="n">
        <f aca="false">SUM(I166:I174)</f>
        <v>44082627</v>
      </c>
      <c r="J175" s="229" t="n">
        <f aca="false">SUM(J166:J174)</f>
        <v>36413182</v>
      </c>
      <c r="K175" s="313" t="n">
        <f aca="false">I175/J175*100-100</f>
        <v>21.0622762932391</v>
      </c>
      <c r="L175" s="229" t="n">
        <f aca="false">SUM(L166:L174)</f>
        <v>36015076</v>
      </c>
      <c r="M175" s="229" t="n">
        <f aca="false">SUM(M166:M174)</f>
        <v>28507000</v>
      </c>
      <c r="N175" s="313" t="n">
        <f aca="false">L175/M175*100-100</f>
        <v>26.3376574174764</v>
      </c>
      <c r="O175" s="229" t="n">
        <f aca="false">SUM(O166:O174)</f>
        <v>1562</v>
      </c>
      <c r="P175" s="231" t="n">
        <f aca="false">R175/O175</f>
        <v>41.2394366197183</v>
      </c>
      <c r="Q175" s="229" t="n">
        <f aca="false">SUM(Q166:Q174)</f>
        <v>1554</v>
      </c>
      <c r="R175" s="229" t="n">
        <f aca="false">SUM(R166:R174)</f>
        <v>64416</v>
      </c>
    </row>
    <row r="176" customFormat="false" ht="15" hidden="false" customHeight="false" outlineLevel="0" collapsed="false">
      <c r="A176" s="203"/>
      <c r="B176" s="281"/>
      <c r="C176" s="203"/>
      <c r="D176" s="203"/>
      <c r="E176" s="201"/>
      <c r="F176" s="203"/>
      <c r="G176" s="203"/>
      <c r="H176" s="201"/>
      <c r="I176" s="203"/>
      <c r="J176" s="203"/>
      <c r="K176" s="201"/>
      <c r="L176" s="203"/>
      <c r="M176" s="203"/>
      <c r="N176" s="201"/>
      <c r="O176" s="203"/>
      <c r="P176" s="203"/>
      <c r="Q176" s="203"/>
      <c r="R176" s="202"/>
    </row>
    <row r="177" customFormat="false" ht="15" hidden="false" customHeight="false" outlineLevel="0" collapsed="false">
      <c r="A177" s="203"/>
      <c r="B177" s="324" t="s">
        <v>202</v>
      </c>
      <c r="C177" s="203"/>
      <c r="D177" s="203"/>
      <c r="E177" s="201"/>
      <c r="F177" s="203"/>
      <c r="G177" s="203"/>
      <c r="H177" s="201"/>
      <c r="I177" s="203"/>
      <c r="J177" s="203"/>
      <c r="K177" s="201"/>
      <c r="L177" s="203"/>
      <c r="M177" s="203"/>
      <c r="N177" s="201"/>
      <c r="O177" s="203"/>
      <c r="P177" s="203"/>
      <c r="Q177" s="203"/>
      <c r="R177" s="202"/>
    </row>
    <row r="178" customFormat="false" ht="15" hidden="false" customHeight="false" outlineLevel="0" collapsed="false">
      <c r="A178" s="203" t="n">
        <v>1</v>
      </c>
      <c r="B178" s="281" t="s">
        <v>227</v>
      </c>
      <c r="C178" s="203" t="n">
        <v>93290</v>
      </c>
      <c r="D178" s="203" t="n">
        <v>115191</v>
      </c>
      <c r="E178" s="201" t="n">
        <f aca="false">C178/D178*100-100</f>
        <v>-19.0127700948859</v>
      </c>
      <c r="F178" s="203" t="n">
        <v>15049</v>
      </c>
      <c r="G178" s="203" t="n">
        <v>16119</v>
      </c>
      <c r="H178" s="201" t="n">
        <f aca="false">F178/G178*100-100</f>
        <v>-6.63812891618588</v>
      </c>
      <c r="I178" s="203" t="n">
        <v>88569</v>
      </c>
      <c r="J178" s="203" t="n">
        <v>148742</v>
      </c>
      <c r="K178" s="201" t="n">
        <f aca="false">I178/J178*100-100</f>
        <v>-40.454612685052</v>
      </c>
      <c r="L178" s="203" t="n">
        <f aca="false">83176+519</f>
        <v>83695</v>
      </c>
      <c r="M178" s="203" t="n">
        <v>145077</v>
      </c>
      <c r="N178" s="201" t="n">
        <f aca="false">L178/M178*100-100</f>
        <v>-42.309945752945</v>
      </c>
      <c r="O178" s="203" t="n">
        <v>51</v>
      </c>
      <c r="P178" s="203" t="n">
        <v>68</v>
      </c>
      <c r="Q178" s="203" t="n">
        <v>61</v>
      </c>
      <c r="R178" s="202" t="n">
        <f aca="false">O178*P178</f>
        <v>3468</v>
      </c>
    </row>
    <row r="179" customFormat="false" ht="15" hidden="false" customHeight="false" outlineLevel="0" collapsed="false">
      <c r="A179" s="203" t="n">
        <v>2</v>
      </c>
      <c r="B179" s="243" t="s">
        <v>238</v>
      </c>
      <c r="C179" s="203" t="n">
        <v>1187630</v>
      </c>
      <c r="D179" s="203" t="n">
        <v>1055061</v>
      </c>
      <c r="E179" s="223" t="n">
        <f aca="false">C179/D179*100-100</f>
        <v>12.5650554802045</v>
      </c>
      <c r="F179" s="203" t="n">
        <v>131802</v>
      </c>
      <c r="G179" s="203" t="n">
        <v>155295</v>
      </c>
      <c r="H179" s="201" t="n">
        <f aca="false">F179/G179*100-100</f>
        <v>-15.1279822273737</v>
      </c>
      <c r="I179" s="203" t="n">
        <v>1201357</v>
      </c>
      <c r="J179" s="203" t="n">
        <v>953838</v>
      </c>
      <c r="K179" s="201" t="n">
        <f aca="false">I179/J179*100-100</f>
        <v>25.9497944095328</v>
      </c>
      <c r="L179" s="203" t="n">
        <v>531283</v>
      </c>
      <c r="M179" s="203" t="n">
        <v>291767</v>
      </c>
      <c r="N179" s="201" t="n">
        <f aca="false">L179/M179*100-100</f>
        <v>82.0915319415835</v>
      </c>
      <c r="O179" s="203" t="n">
        <v>78</v>
      </c>
      <c r="P179" s="203" t="n">
        <v>71</v>
      </c>
      <c r="Q179" s="203" t="n">
        <v>78</v>
      </c>
      <c r="R179" s="202" t="n">
        <f aca="false">O179*P179</f>
        <v>5538</v>
      </c>
    </row>
    <row r="180" customFormat="false" ht="15" hidden="false" customHeight="false" outlineLevel="0" collapsed="false">
      <c r="A180" s="203" t="n">
        <v>3</v>
      </c>
      <c r="B180" s="243" t="s">
        <v>239</v>
      </c>
      <c r="C180" s="203" t="n">
        <v>309172</v>
      </c>
      <c r="D180" s="203" t="n">
        <v>226193</v>
      </c>
      <c r="E180" s="223" t="n">
        <f aca="false">C180/D180*100-100</f>
        <v>36.6850433037274</v>
      </c>
      <c r="F180" s="203" t="n">
        <v>18450</v>
      </c>
      <c r="G180" s="203" t="n">
        <v>15407</v>
      </c>
      <c r="H180" s="201" t="n">
        <f aca="false">F180/G180*100-100</f>
        <v>19.7507626403583</v>
      </c>
      <c r="I180" s="203" t="n">
        <v>538856</v>
      </c>
      <c r="J180" s="203" t="n">
        <v>419999</v>
      </c>
      <c r="K180" s="201" t="n">
        <f aca="false">I180/J180*100-100</f>
        <v>28.2993530936978</v>
      </c>
      <c r="L180" s="203" t="n">
        <f aca="false">357056+91255</f>
        <v>448311</v>
      </c>
      <c r="M180" s="203" t="n">
        <f aca="false">286857+74585</f>
        <v>361442</v>
      </c>
      <c r="N180" s="201" t="n">
        <f aca="false">L180/M180*100-100</f>
        <v>24.0340082226194</v>
      </c>
      <c r="O180" s="203" t="n">
        <v>155</v>
      </c>
      <c r="P180" s="203" t="n">
        <v>74</v>
      </c>
      <c r="Q180" s="203" t="n">
        <v>184</v>
      </c>
      <c r="R180" s="202"/>
    </row>
    <row r="181" customFormat="false" ht="15" hidden="false" customHeight="false" outlineLevel="0" collapsed="false">
      <c r="A181" s="203"/>
      <c r="B181" s="243" t="s">
        <v>240</v>
      </c>
      <c r="C181" s="203" t="n">
        <v>2618994</v>
      </c>
      <c r="D181" s="203" t="n">
        <v>2188286</v>
      </c>
      <c r="E181" s="223" t="n">
        <f aca="false">C181/D181*100-100</f>
        <v>19.6824363908557</v>
      </c>
      <c r="F181" s="203" t="n">
        <v>259937</v>
      </c>
      <c r="G181" s="203" t="n">
        <v>356968</v>
      </c>
      <c r="H181" s="201" t="n">
        <f aca="false">F181/G181*100-100</f>
        <v>-27.1819883014724</v>
      </c>
      <c r="I181" s="203" t="n">
        <v>2578965</v>
      </c>
      <c r="J181" s="203" t="n">
        <v>2501688</v>
      </c>
      <c r="K181" s="201" t="n">
        <f aca="false">I181/J181*100-100</f>
        <v>3.08899431104119</v>
      </c>
      <c r="L181" s="203" t="n">
        <f aca="false">1072330+209750</f>
        <v>1282080</v>
      </c>
      <c r="M181" s="203" t="n">
        <f aca="false">1085855+250300</f>
        <v>1336155</v>
      </c>
      <c r="N181" s="201" t="n">
        <f aca="false">L181/M181*100-100</f>
        <v>-4.0470604084107</v>
      </c>
      <c r="O181" s="203" t="n">
        <v>265</v>
      </c>
      <c r="P181" s="203" t="n">
        <v>130</v>
      </c>
      <c r="Q181" s="203" t="n">
        <v>240</v>
      </c>
      <c r="R181" s="202"/>
    </row>
    <row r="182" customFormat="false" ht="15" hidden="false" customHeight="false" outlineLevel="0" collapsed="false">
      <c r="A182" s="203" t="n">
        <v>4</v>
      </c>
      <c r="B182" s="243" t="s">
        <v>241</v>
      </c>
      <c r="C182" s="203" t="n">
        <v>40166917</v>
      </c>
      <c r="D182" s="203" t="n">
        <v>22439901</v>
      </c>
      <c r="E182" s="201" t="n">
        <f aca="false">C182/D182*100-100</f>
        <v>78.9977460239241</v>
      </c>
      <c r="F182" s="203" t="n">
        <v>7118757</v>
      </c>
      <c r="G182" s="203" t="n">
        <v>3857840</v>
      </c>
      <c r="H182" s="201" t="n">
        <f aca="false">F182/G182*100-100</f>
        <v>84.5270151172677</v>
      </c>
      <c r="I182" s="203" t="n">
        <v>29233658</v>
      </c>
      <c r="J182" s="203" t="n">
        <v>22424748</v>
      </c>
      <c r="K182" s="201" t="n">
        <f aca="false">I182/J182*100-100</f>
        <v>30.3633735371296</v>
      </c>
      <c r="L182" s="203" t="n">
        <v>1925223</v>
      </c>
      <c r="M182" s="203" t="n">
        <v>1451009</v>
      </c>
      <c r="N182" s="201" t="n">
        <f aca="false">L182/M182*100-100</f>
        <v>32.6816718573076</v>
      </c>
      <c r="O182" s="203" t="n">
        <v>513</v>
      </c>
      <c r="P182" s="203" t="n">
        <v>47</v>
      </c>
      <c r="Q182" s="203" t="n">
        <v>513</v>
      </c>
      <c r="R182" s="202"/>
    </row>
    <row r="183" customFormat="false" ht="15" hidden="false" customHeight="false" outlineLevel="0" collapsed="false">
      <c r="A183" s="203" t="n">
        <v>5</v>
      </c>
      <c r="B183" s="243" t="s">
        <v>204</v>
      </c>
      <c r="C183" s="203" t="n">
        <v>4531853</v>
      </c>
      <c r="D183" s="203" t="n">
        <v>3945102</v>
      </c>
      <c r="E183" s="201" t="n">
        <f aca="false">C183/D183*100-100</f>
        <v>14.8728980898339</v>
      </c>
      <c r="F183" s="203" t="n">
        <v>459850</v>
      </c>
      <c r="G183" s="203" t="n">
        <v>326143</v>
      </c>
      <c r="H183" s="201" t="n">
        <f aca="false">F183/G183*100-100</f>
        <v>40.9964340795295</v>
      </c>
      <c r="I183" s="203" t="n">
        <v>4009711</v>
      </c>
      <c r="J183" s="203" t="n">
        <v>3420711</v>
      </c>
      <c r="K183" s="201" t="n">
        <f aca="false">I183/J183*100-100</f>
        <v>17.2186425570591</v>
      </c>
      <c r="L183" s="203" t="n">
        <f aca="false">960886+42962</f>
        <v>1003848</v>
      </c>
      <c r="M183" s="203" t="n">
        <f aca="false">115176+54227</f>
        <v>169403</v>
      </c>
      <c r="N183" s="201" t="n">
        <f aca="false">L183/M183*100-100</f>
        <v>492.579824442306</v>
      </c>
      <c r="O183" s="203" t="n">
        <v>474</v>
      </c>
      <c r="P183" s="203" t="n">
        <v>58</v>
      </c>
      <c r="Q183" s="203" t="n">
        <v>494</v>
      </c>
      <c r="R183" s="202" t="n">
        <f aca="false">O183*P183</f>
        <v>27492</v>
      </c>
    </row>
    <row r="184" customFormat="false" ht="15" hidden="false" customHeight="false" outlineLevel="0" collapsed="false">
      <c r="A184" s="203" t="n">
        <v>6</v>
      </c>
      <c r="B184" s="243" t="s">
        <v>205</v>
      </c>
      <c r="C184" s="203" t="n">
        <v>1708079</v>
      </c>
      <c r="D184" s="203" t="n">
        <v>1144660</v>
      </c>
      <c r="E184" s="201" t="n">
        <f aca="false">C184/D184*100-100</f>
        <v>49.2215155592054</v>
      </c>
      <c r="F184" s="203" t="n">
        <v>247960</v>
      </c>
      <c r="G184" s="203" t="n">
        <v>159344</v>
      </c>
      <c r="H184" s="201" t="n">
        <f aca="false">F184/G184*100-100</f>
        <v>55.6130133547545</v>
      </c>
      <c r="I184" s="203" t="n">
        <v>1512662</v>
      </c>
      <c r="J184" s="203" t="n">
        <v>1118698</v>
      </c>
      <c r="K184" s="201" t="n">
        <f aca="false">I184/J184*100-100</f>
        <v>35.2162960870583</v>
      </c>
      <c r="L184" s="203" t="n">
        <v>58563</v>
      </c>
      <c r="M184" s="203" t="n">
        <v>0</v>
      </c>
      <c r="N184" s="201" t="n">
        <v>0</v>
      </c>
      <c r="O184" s="203" t="n">
        <v>170</v>
      </c>
      <c r="P184" s="203" t="n">
        <v>107</v>
      </c>
      <c r="Q184" s="203" t="n">
        <v>162</v>
      </c>
      <c r="R184" s="202" t="n">
        <f aca="false">O184*P184</f>
        <v>18190</v>
      </c>
    </row>
    <row r="185" customFormat="false" ht="15" hidden="false" customHeight="false" outlineLevel="0" collapsed="false">
      <c r="A185" s="203"/>
      <c r="B185" s="243" t="s">
        <v>242</v>
      </c>
      <c r="C185" s="203" t="n">
        <v>20692</v>
      </c>
      <c r="D185" s="203" t="n">
        <v>41133</v>
      </c>
      <c r="E185" s="201" t="n">
        <f aca="false">C185/D185*100-100</f>
        <v>-49.694892179029</v>
      </c>
      <c r="F185" s="203" t="n">
        <v>326051</v>
      </c>
      <c r="G185" s="203" t="n">
        <v>256851</v>
      </c>
      <c r="H185" s="201" t="n">
        <f aca="false">F185/G185*100-100</f>
        <v>26.9416899291807</v>
      </c>
      <c r="I185" s="203" t="n">
        <v>516338</v>
      </c>
      <c r="J185" s="203" t="n">
        <v>293488</v>
      </c>
      <c r="K185" s="201" t="n">
        <f aca="false">I185/J185*100-100</f>
        <v>75.9315542713842</v>
      </c>
      <c r="L185" s="203" t="n">
        <v>447444</v>
      </c>
      <c r="M185" s="203" t="n">
        <v>241196</v>
      </c>
      <c r="N185" s="201" t="n">
        <f aca="false">L185/M185*100-100</f>
        <v>85.5105391465862</v>
      </c>
      <c r="O185" s="203" t="n">
        <v>32</v>
      </c>
      <c r="P185" s="203" t="n">
        <v>80</v>
      </c>
      <c r="Q185" s="203" t="n">
        <v>27</v>
      </c>
      <c r="R185" s="202"/>
    </row>
    <row r="186" customFormat="false" ht="15" hidden="false" customHeight="false" outlineLevel="0" collapsed="false">
      <c r="A186" s="203"/>
      <c r="B186" s="243" t="s">
        <v>243</v>
      </c>
      <c r="C186" s="203" t="n">
        <v>1541377</v>
      </c>
      <c r="D186" s="203" t="n">
        <v>1155634</v>
      </c>
      <c r="E186" s="201" t="n">
        <f aca="false">C186/D186*100-100</f>
        <v>33.3793398255849</v>
      </c>
      <c r="F186" s="203" t="n">
        <v>216592</v>
      </c>
      <c r="G186" s="203" t="n">
        <v>135263</v>
      </c>
      <c r="H186" s="201" t="n">
        <f aca="false">F186/G186*100-100</f>
        <v>60.1265682411303</v>
      </c>
      <c r="I186" s="203" t="n">
        <v>1537437</v>
      </c>
      <c r="J186" s="203" t="n">
        <v>1155634</v>
      </c>
      <c r="K186" s="201" t="n">
        <f aca="false">I186/J186*100-100</f>
        <v>33.0384014315951</v>
      </c>
      <c r="L186" s="203" t="n">
        <v>0</v>
      </c>
      <c r="M186" s="203" t="n">
        <v>20025</v>
      </c>
      <c r="N186" s="201" t="n">
        <v>0</v>
      </c>
      <c r="O186" s="203" t="n">
        <v>155</v>
      </c>
      <c r="P186" s="203" t="n">
        <v>110</v>
      </c>
      <c r="Q186" s="203" t="n">
        <v>154</v>
      </c>
      <c r="R186" s="202"/>
    </row>
    <row r="187" customFormat="false" ht="15" hidden="false" customHeight="false" outlineLevel="0" collapsed="false">
      <c r="A187" s="203"/>
      <c r="B187" s="243" t="s">
        <v>258</v>
      </c>
      <c r="C187" s="203" t="n">
        <v>275753</v>
      </c>
      <c r="D187" s="203" t="n">
        <v>405905</v>
      </c>
      <c r="E187" s="201" t="n">
        <f aca="false">C187/D187*100-100</f>
        <v>-32.0646456683214</v>
      </c>
      <c r="F187" s="203" t="n">
        <v>40836</v>
      </c>
      <c r="G187" s="203" t="n">
        <v>54919</v>
      </c>
      <c r="H187" s="201" t="n">
        <f aca="false">F187/G187*100-100</f>
        <v>-25.6432200149311</v>
      </c>
      <c r="I187" s="203" t="n">
        <v>272476</v>
      </c>
      <c r="J187" s="203" t="n">
        <v>4011905</v>
      </c>
      <c r="K187" s="201" t="n">
        <f aca="false">I187/J187*100-100</f>
        <v>-93.2083137561832</v>
      </c>
      <c r="L187" s="203" t="n">
        <v>0</v>
      </c>
      <c r="M187" s="203" t="n">
        <v>29464</v>
      </c>
      <c r="N187" s="201" t="n">
        <f aca="false">L187/M187*100-100</f>
        <v>-100</v>
      </c>
      <c r="O187" s="203" t="n">
        <v>98</v>
      </c>
      <c r="P187" s="203" t="n">
        <v>134</v>
      </c>
      <c r="Q187" s="203" t="n">
        <v>111</v>
      </c>
      <c r="R187" s="202"/>
    </row>
    <row r="188" customFormat="false" ht="15" hidden="false" customHeight="false" outlineLevel="0" collapsed="false">
      <c r="A188" s="203" t="n">
        <v>7</v>
      </c>
      <c r="B188" s="243" t="s">
        <v>157</v>
      </c>
      <c r="C188" s="203" t="n">
        <v>2733255</v>
      </c>
      <c r="D188" s="203" t="n">
        <v>1945195</v>
      </c>
      <c r="E188" s="201" t="n">
        <f aca="false">C188/D188*100-100</f>
        <v>40.5131619194991</v>
      </c>
      <c r="F188" s="203" t="n">
        <v>110745</v>
      </c>
      <c r="G188" s="203" t="n">
        <v>269666</v>
      </c>
      <c r="H188" s="201" t="n">
        <f aca="false">F188/G188*100-100</f>
        <v>-58.9325313536004</v>
      </c>
      <c r="I188" s="203" t="n">
        <v>2014504</v>
      </c>
      <c r="J188" s="203" t="n">
        <v>1702472</v>
      </c>
      <c r="K188" s="201" t="n">
        <f aca="false">I188/J188*100-100</f>
        <v>18.3281722107618</v>
      </c>
      <c r="L188" s="203" t="n">
        <v>0</v>
      </c>
      <c r="M188" s="203" t="n">
        <v>0</v>
      </c>
      <c r="N188" s="201" t="n">
        <v>0</v>
      </c>
      <c r="O188" s="203" t="n">
        <v>446</v>
      </c>
      <c r="P188" s="203" t="n">
        <v>100</v>
      </c>
      <c r="Q188" s="203" t="n">
        <v>446</v>
      </c>
      <c r="R188" s="202" t="n">
        <f aca="false">O188*P188</f>
        <v>44600</v>
      </c>
    </row>
    <row r="189" customFormat="false" ht="15" hidden="false" customHeight="false" outlineLevel="0" collapsed="false">
      <c r="A189" s="215" t="s">
        <v>206</v>
      </c>
      <c r="B189" s="215" t="s">
        <v>119</v>
      </c>
      <c r="C189" s="216" t="n">
        <f aca="false">SUM(C178:C188)</f>
        <v>55187012</v>
      </c>
      <c r="D189" s="216" t="n">
        <f aca="false">SUM(D178:D188)</f>
        <v>34662261</v>
      </c>
      <c r="E189" s="313" t="n">
        <f aca="false">C189/D189*100-100</f>
        <v>59.2135377435419</v>
      </c>
      <c r="F189" s="216" t="n">
        <f aca="false">SUM(F178:F188)</f>
        <v>8946029</v>
      </c>
      <c r="G189" s="216" t="n">
        <f aca="false">SUM(G178:G188)</f>
        <v>5603815</v>
      </c>
      <c r="H189" s="313" t="n">
        <f aca="false">F189/G189*100-100</f>
        <v>59.6417619068438</v>
      </c>
      <c r="I189" s="216" t="n">
        <f aca="false">SUM(I178:I188)</f>
        <v>43504533</v>
      </c>
      <c r="J189" s="216" t="n">
        <f aca="false">SUM(J178:J188)</f>
        <v>38151923</v>
      </c>
      <c r="K189" s="313" t="n">
        <f aca="false">I189/J189*100-100</f>
        <v>14.0297253168602</v>
      </c>
      <c r="L189" s="216" t="n">
        <f aca="false">SUM(L178:L188)</f>
        <v>5780447</v>
      </c>
      <c r="M189" s="216" t="n">
        <f aca="false">SUM(M178:M188)</f>
        <v>4045538</v>
      </c>
      <c r="N189" s="313" t="n">
        <f aca="false">L189/M189*100-100</f>
        <v>42.8845063375996</v>
      </c>
      <c r="O189" s="216" t="n">
        <f aca="false">SUM(O173:O188)</f>
        <v>4219</v>
      </c>
      <c r="P189" s="237" t="n">
        <f aca="false">R189/O189</f>
        <v>42.7954491585684</v>
      </c>
      <c r="Q189" s="216" t="n">
        <f aca="false">SUM(Q173:Q188)</f>
        <v>4243</v>
      </c>
      <c r="R189" s="232" t="n">
        <f aca="false">SUM(R173:R188)</f>
        <v>180554</v>
      </c>
    </row>
    <row r="190" customFormat="false" ht="15" hidden="false" customHeight="false" outlineLevel="0" collapsed="false">
      <c r="A190" s="325"/>
      <c r="B190" s="325" t="s">
        <v>158</v>
      </c>
      <c r="C190" s="326" t="n">
        <f aca="false">C175+C189</f>
        <v>101361413</v>
      </c>
      <c r="D190" s="326" t="n">
        <f aca="false">D175+D189</f>
        <v>78941745</v>
      </c>
      <c r="E190" s="310" t="n">
        <f aca="false">C190/D190*100-100</f>
        <v>28.4002690845002</v>
      </c>
      <c r="F190" s="326" t="n">
        <f aca="false">F175+F189</f>
        <v>15340802</v>
      </c>
      <c r="G190" s="326" t="n">
        <f aca="false">G175+G189</f>
        <v>9729594</v>
      </c>
      <c r="H190" s="310" t="n">
        <f aca="false">F190/G190*100-100</f>
        <v>57.6715534070589</v>
      </c>
      <c r="I190" s="326" t="n">
        <f aca="false">I175+I189</f>
        <v>87587160</v>
      </c>
      <c r="J190" s="326" t="n">
        <f aca="false">J175+J189</f>
        <v>74565105</v>
      </c>
      <c r="K190" s="310" t="n">
        <f aca="false">I190/J190*100-100</f>
        <v>17.4640067897712</v>
      </c>
      <c r="L190" s="326" t="n">
        <f aca="false">L175+L189</f>
        <v>41795523</v>
      </c>
      <c r="M190" s="326" t="n">
        <f aca="false">M175+M189</f>
        <v>32552538</v>
      </c>
      <c r="N190" s="310" t="n">
        <f aca="false">L190/M190*100-100</f>
        <v>28.3940533300353</v>
      </c>
      <c r="O190" s="326" t="n">
        <f aca="false">O175+O189</f>
        <v>5781</v>
      </c>
      <c r="P190" s="321" t="n">
        <f aca="false">R190/O190</f>
        <v>42.3750216225567</v>
      </c>
      <c r="Q190" s="326" t="n">
        <f aca="false">Q175+Q189</f>
        <v>5797</v>
      </c>
      <c r="R190" s="326" t="n">
        <f aca="false">R175+R189</f>
        <v>244970</v>
      </c>
    </row>
    <row r="191" customFormat="false" ht="15" hidden="false" customHeight="false" outlineLevel="0" collapsed="false">
      <c r="A191" s="274"/>
      <c r="B191" s="256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275"/>
      <c r="Q191" s="275"/>
      <c r="R191" s="279"/>
    </row>
    <row r="192" customFormat="false" ht="15" hidden="false" customHeight="false" outlineLevel="0" collapsed="false">
      <c r="A192" s="327"/>
      <c r="B192" s="328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329"/>
      <c r="N192" s="329"/>
      <c r="O192" s="329"/>
      <c r="P192" s="275"/>
      <c r="Q192" s="329"/>
      <c r="R192" s="279"/>
    </row>
    <row r="193" customFormat="false" ht="15" hidden="false" customHeight="false" outlineLevel="0" collapsed="false">
      <c r="A193" s="327"/>
      <c r="B193" s="328"/>
      <c r="C193" s="275"/>
      <c r="D193" s="275"/>
      <c r="E193" s="275"/>
      <c r="F193" s="275"/>
      <c r="G193" s="275"/>
      <c r="H193" s="275"/>
      <c r="I193" s="275"/>
      <c r="J193" s="275"/>
      <c r="K193" s="275"/>
      <c r="L193" s="275"/>
      <c r="M193" s="329"/>
      <c r="N193" s="329"/>
      <c r="O193" s="329"/>
      <c r="P193" s="275"/>
      <c r="Q193" s="329"/>
      <c r="R193" s="279"/>
    </row>
    <row r="194" customFormat="false" ht="15" hidden="false" customHeight="false" outlineLevel="0" collapsed="false">
      <c r="A194" s="327"/>
      <c r="B194" s="328"/>
      <c r="C194" s="275"/>
      <c r="D194" s="275"/>
      <c r="E194" s="275"/>
      <c r="F194" s="275"/>
      <c r="G194" s="275"/>
      <c r="H194" s="275"/>
      <c r="I194" s="275"/>
      <c r="J194" s="275"/>
      <c r="K194" s="275"/>
      <c r="L194" s="275"/>
      <c r="M194" s="329"/>
      <c r="N194" s="329"/>
      <c r="O194" s="329"/>
      <c r="P194" s="275"/>
      <c r="Q194" s="329"/>
      <c r="R194" s="279"/>
    </row>
    <row r="195" customFormat="false" ht="15" hidden="false" customHeight="false" outlineLevel="0" collapsed="false">
      <c r="A195" s="327"/>
      <c r="B195" s="328" t="s">
        <v>207</v>
      </c>
      <c r="C195" s="275"/>
      <c r="D195" s="275"/>
      <c r="E195" s="275"/>
      <c r="F195" s="275"/>
      <c r="G195" s="275"/>
      <c r="H195" s="275"/>
      <c r="I195" s="275"/>
      <c r="J195" s="275"/>
      <c r="K195" s="275"/>
      <c r="L195" s="275"/>
      <c r="M195" s="329"/>
      <c r="N195" s="329"/>
      <c r="O195" s="329"/>
      <c r="P195" s="275"/>
      <c r="Q195" s="329"/>
      <c r="R195" s="279"/>
    </row>
    <row r="196" customFormat="false" ht="15" hidden="false" customHeight="false" outlineLevel="0" collapsed="false">
      <c r="A196" s="195" t="s">
        <v>208</v>
      </c>
      <c r="B196" s="195"/>
      <c r="C196" s="195" t="n">
        <v>3</v>
      </c>
      <c r="D196" s="195" t="n">
        <v>4</v>
      </c>
      <c r="E196" s="196" t="n">
        <v>5</v>
      </c>
      <c r="F196" s="195" t="n">
        <v>6</v>
      </c>
      <c r="G196" s="195" t="n">
        <v>7</v>
      </c>
      <c r="H196" s="195" t="n">
        <v>8</v>
      </c>
      <c r="I196" s="195" t="n">
        <v>9</v>
      </c>
      <c r="J196" s="195" t="n">
        <v>10</v>
      </c>
      <c r="K196" s="195" t="n">
        <v>11</v>
      </c>
      <c r="L196" s="195" t="n">
        <v>12</v>
      </c>
      <c r="M196" s="184" t="n">
        <v>13</v>
      </c>
      <c r="N196" s="184" t="n">
        <v>14</v>
      </c>
      <c r="O196" s="184" t="n">
        <v>15</v>
      </c>
      <c r="P196" s="196" t="n">
        <v>16</v>
      </c>
      <c r="Q196" s="184" t="n">
        <v>17</v>
      </c>
      <c r="R196" s="179"/>
    </row>
    <row r="197" customFormat="false" ht="15" hidden="false" customHeight="false" outlineLevel="0" collapsed="false">
      <c r="A197" s="372" t="n">
        <v>1</v>
      </c>
      <c r="B197" s="282" t="s">
        <v>161</v>
      </c>
      <c r="C197" s="262" t="n">
        <v>983198</v>
      </c>
      <c r="D197" s="262" t="n">
        <v>995948</v>
      </c>
      <c r="E197" s="201" t="n">
        <f aca="false">C197/D197*100-100</f>
        <v>-1.28018731901666</v>
      </c>
      <c r="F197" s="262" t="n">
        <v>44860</v>
      </c>
      <c r="G197" s="262" t="n">
        <v>211970</v>
      </c>
      <c r="H197" s="201" t="n">
        <f aca="false">F197/G197*100-100</f>
        <v>-78.8366278246922</v>
      </c>
      <c r="I197" s="262" t="n">
        <v>1153378</v>
      </c>
      <c r="J197" s="262" t="n">
        <v>995948</v>
      </c>
      <c r="K197" s="201" t="n">
        <f aca="false">I197/J197*100-100</f>
        <v>15.8070501672778</v>
      </c>
      <c r="L197" s="262" t="n">
        <v>1153378</v>
      </c>
      <c r="M197" s="262" t="n">
        <v>995948</v>
      </c>
      <c r="N197" s="201" t="n">
        <f aca="false">L197/M197*100-100</f>
        <v>15.8070501672778</v>
      </c>
      <c r="O197" s="262" t="n">
        <v>137</v>
      </c>
      <c r="P197" s="262" t="n">
        <v>180</v>
      </c>
      <c r="Q197" s="262" t="n">
        <v>130</v>
      </c>
      <c r="R197" s="202" t="n">
        <f aca="false">O197*P197</f>
        <v>24660</v>
      </c>
    </row>
    <row r="198" customFormat="false" ht="15" hidden="false" customHeight="false" outlineLevel="0" collapsed="false">
      <c r="A198" s="372" t="n">
        <v>2</v>
      </c>
      <c r="B198" s="282" t="s">
        <v>162</v>
      </c>
      <c r="C198" s="200" t="n">
        <v>0</v>
      </c>
      <c r="D198" s="200" t="n">
        <v>0</v>
      </c>
      <c r="E198" s="201" t="n">
        <v>0</v>
      </c>
      <c r="F198" s="200" t="n">
        <v>0</v>
      </c>
      <c r="G198" s="200" t="n">
        <v>0</v>
      </c>
      <c r="H198" s="201" t="n">
        <v>0</v>
      </c>
      <c r="I198" s="200" t="n">
        <v>0</v>
      </c>
      <c r="J198" s="200" t="n">
        <v>0</v>
      </c>
      <c r="K198" s="201" t="n">
        <v>0</v>
      </c>
      <c r="L198" s="200" t="n">
        <v>0</v>
      </c>
      <c r="M198" s="200" t="n">
        <v>0</v>
      </c>
      <c r="N198" s="201" t="n">
        <v>0</v>
      </c>
      <c r="O198" s="203" t="n">
        <v>0</v>
      </c>
      <c r="P198" s="204" t="n">
        <v>0</v>
      </c>
      <c r="Q198" s="203" t="n">
        <v>0</v>
      </c>
      <c r="R198" s="202" t="n">
        <f aca="false">O198*P198</f>
        <v>0</v>
      </c>
    </row>
    <row r="199" customFormat="false" ht="15" hidden="false" customHeight="false" outlineLevel="0" collapsed="false">
      <c r="A199" s="372" t="n">
        <v>3</v>
      </c>
      <c r="B199" s="282" t="s">
        <v>163</v>
      </c>
      <c r="C199" s="262" t="n">
        <v>5259714</v>
      </c>
      <c r="D199" s="262" t="n">
        <v>4277332</v>
      </c>
      <c r="E199" s="262" t="n">
        <f aca="false">C199/D199*100-100</f>
        <v>22.9671673837804</v>
      </c>
      <c r="F199" s="262" t="n">
        <v>672082</v>
      </c>
      <c r="G199" s="262" t="n">
        <v>194841</v>
      </c>
      <c r="H199" s="262" t="n">
        <f aca="false">F199/G199*100-100</f>
        <v>244.938693601449</v>
      </c>
      <c r="I199" s="262" t="n">
        <v>5259714</v>
      </c>
      <c r="J199" s="262" t="n">
        <v>4277332</v>
      </c>
      <c r="K199" s="262" t="n">
        <f aca="false">I199/J199*100-100</f>
        <v>22.9671673837804</v>
      </c>
      <c r="L199" s="262" t="n">
        <v>672082</v>
      </c>
      <c r="M199" s="262" t="n">
        <v>194841</v>
      </c>
      <c r="N199" s="201" t="n">
        <f aca="false">L199/M199*100-100</f>
        <v>244.938693601449</v>
      </c>
      <c r="O199" s="262" t="n">
        <v>112</v>
      </c>
      <c r="P199" s="286" t="n">
        <v>188</v>
      </c>
      <c r="Q199" s="262" t="n">
        <v>109</v>
      </c>
      <c r="R199" s="202" t="n">
        <f aca="false">O199*P199</f>
        <v>21056</v>
      </c>
    </row>
    <row r="200" customFormat="false" ht="15" hidden="false" customHeight="false" outlineLevel="0" collapsed="false">
      <c r="A200" s="372" t="n">
        <v>4</v>
      </c>
      <c r="B200" s="282" t="s">
        <v>164</v>
      </c>
      <c r="C200" s="262" t="n">
        <v>742658</v>
      </c>
      <c r="D200" s="262" t="n">
        <v>704491</v>
      </c>
      <c r="E200" s="201" t="n">
        <f aca="false">C200/D200*100-100</f>
        <v>5.41767034639193</v>
      </c>
      <c r="F200" s="405" t="n">
        <v>64556</v>
      </c>
      <c r="G200" s="405" t="n">
        <v>138718</v>
      </c>
      <c r="H200" s="201" t="n">
        <f aca="false">F200/G200*100-100</f>
        <v>-53.462420161767</v>
      </c>
      <c r="I200" s="262" t="n">
        <v>712000</v>
      </c>
      <c r="J200" s="262" t="n">
        <v>942759</v>
      </c>
      <c r="K200" s="201" t="n">
        <f aca="false">I200/J200*100-100</f>
        <v>-24.4769872257915</v>
      </c>
      <c r="L200" s="262" t="n">
        <v>750042</v>
      </c>
      <c r="M200" s="262" t="n">
        <v>949843</v>
      </c>
      <c r="N200" s="201" t="n">
        <f aca="false">L200/M200*100-100</f>
        <v>-21.0351605475852</v>
      </c>
      <c r="O200" s="262" t="n">
        <v>35</v>
      </c>
      <c r="P200" s="262" t="n">
        <v>81</v>
      </c>
      <c r="Q200" s="262" t="n">
        <v>36</v>
      </c>
      <c r="R200" s="202" t="n">
        <f aca="false">O200*P200</f>
        <v>2835</v>
      </c>
    </row>
    <row r="201" customFormat="false" ht="15" hidden="false" customHeight="false" outlineLevel="0" collapsed="false">
      <c r="A201" s="372" t="n">
        <v>5</v>
      </c>
      <c r="B201" s="282" t="s">
        <v>166</v>
      </c>
      <c r="C201" s="262" t="n">
        <v>204931</v>
      </c>
      <c r="D201" s="262" t="n">
        <v>350692</v>
      </c>
      <c r="E201" s="201" t="n">
        <f aca="false">C201/D201*100-100</f>
        <v>-41.563822385455</v>
      </c>
      <c r="F201" s="262" t="n">
        <v>2856729</v>
      </c>
      <c r="G201" s="262" t="n">
        <v>2173207</v>
      </c>
      <c r="H201" s="201" t="n">
        <f aca="false">F201/G201*100-100</f>
        <v>31.4522270543027</v>
      </c>
      <c r="I201" s="262" t="n">
        <v>2837648</v>
      </c>
      <c r="J201" s="262" t="n">
        <v>2171510</v>
      </c>
      <c r="K201" s="201" t="n">
        <f aca="false">I201/J201*100-100</f>
        <v>30.6762575350793</v>
      </c>
      <c r="L201" s="262" t="n">
        <v>2837169</v>
      </c>
      <c r="M201" s="262" t="n">
        <v>2155062</v>
      </c>
      <c r="N201" s="201" t="n">
        <f aca="false">L201/M201*100-100</f>
        <v>31.6513863638262</v>
      </c>
      <c r="O201" s="262" t="n">
        <v>45</v>
      </c>
      <c r="P201" s="262" t="n">
        <v>118</v>
      </c>
      <c r="Q201" s="262" t="n">
        <v>40</v>
      </c>
      <c r="R201" s="202" t="n">
        <f aca="false">O201*P201</f>
        <v>5310</v>
      </c>
    </row>
    <row r="202" customFormat="false" ht="15" hidden="false" customHeight="false" outlineLevel="0" collapsed="false">
      <c r="A202" s="372" t="n">
        <v>6</v>
      </c>
      <c r="B202" s="282" t="s">
        <v>167</v>
      </c>
      <c r="C202" s="262" t="n">
        <v>0</v>
      </c>
      <c r="D202" s="262" t="n">
        <v>729354</v>
      </c>
      <c r="E202" s="262" t="n">
        <f aca="false">C202/D202*100-100</f>
        <v>-100</v>
      </c>
      <c r="F202" s="262" t="n">
        <v>0</v>
      </c>
      <c r="G202" s="262" t="n">
        <v>38528</v>
      </c>
      <c r="H202" s="262" t="n">
        <f aca="false">F202/G202*100-100</f>
        <v>-100</v>
      </c>
      <c r="I202" s="262" t="n">
        <v>0</v>
      </c>
      <c r="J202" s="262" t="n">
        <v>729354</v>
      </c>
      <c r="K202" s="262" t="n">
        <f aca="false">I202/J202*100-100</f>
        <v>-100</v>
      </c>
      <c r="L202" s="262" t="n">
        <v>0</v>
      </c>
      <c r="M202" s="262" t="n">
        <f aca="false">38528+38528</f>
        <v>77056</v>
      </c>
      <c r="N202" s="262" t="n">
        <f aca="false">L202/M202*100-100</f>
        <v>-100</v>
      </c>
      <c r="O202" s="262" t="n">
        <v>3</v>
      </c>
      <c r="P202" s="262" t="n">
        <v>143</v>
      </c>
      <c r="Q202" s="262" t="n">
        <v>3</v>
      </c>
      <c r="R202" s="202" t="n">
        <f aca="false">O202*P202</f>
        <v>429</v>
      </c>
    </row>
    <row r="203" customFormat="false" ht="15" hidden="false" customHeight="false" outlineLevel="0" collapsed="false">
      <c r="A203" s="372" t="n">
        <v>7</v>
      </c>
      <c r="B203" s="282" t="s">
        <v>168</v>
      </c>
      <c r="C203" s="262" t="n">
        <v>0</v>
      </c>
      <c r="D203" s="236" t="n">
        <v>0</v>
      </c>
      <c r="E203" s="201" t="n">
        <v>0</v>
      </c>
      <c r="F203" s="262" t="n">
        <v>0</v>
      </c>
      <c r="G203" s="236" t="n">
        <v>0</v>
      </c>
      <c r="H203" s="201" t="n">
        <v>0</v>
      </c>
      <c r="I203" s="262" t="n">
        <v>0</v>
      </c>
      <c r="J203" s="236" t="n">
        <v>0</v>
      </c>
      <c r="K203" s="201" t="n">
        <v>0</v>
      </c>
      <c r="L203" s="262" t="n">
        <v>0</v>
      </c>
      <c r="M203" s="236" t="n">
        <v>0</v>
      </c>
      <c r="N203" s="201" t="n">
        <v>0</v>
      </c>
      <c r="O203" s="262" t="n">
        <v>0</v>
      </c>
      <c r="P203" s="262" t="n">
        <v>0</v>
      </c>
      <c r="Q203" s="262" t="n">
        <v>0</v>
      </c>
      <c r="R203" s="202" t="n">
        <f aca="false">O203*P203</f>
        <v>0</v>
      </c>
    </row>
    <row r="204" customFormat="false" ht="15" hidden="false" customHeight="false" outlineLevel="0" collapsed="false">
      <c r="A204" s="215" t="s">
        <v>209</v>
      </c>
      <c r="B204" s="215" t="s">
        <v>154</v>
      </c>
      <c r="C204" s="237" t="n">
        <f aca="false">SUM(C197:C203)</f>
        <v>7190501</v>
      </c>
      <c r="D204" s="237" t="n">
        <f aca="false">SUM(D197:D203)</f>
        <v>7057817</v>
      </c>
      <c r="E204" s="313" t="n">
        <f aca="false">C204/D204*100-100</f>
        <v>1.87995806635395</v>
      </c>
      <c r="F204" s="237" t="n">
        <f aca="false">SUM(F197:F203)</f>
        <v>3638227</v>
      </c>
      <c r="G204" s="237" t="n">
        <f aca="false">SUM(G197:G203)</f>
        <v>2757264</v>
      </c>
      <c r="H204" s="313" t="n">
        <f aca="false">F204/G204*100-100</f>
        <v>31.950622065932</v>
      </c>
      <c r="I204" s="237" t="n">
        <f aca="false">SUM(I197:I203)</f>
        <v>9962740</v>
      </c>
      <c r="J204" s="237" t="n">
        <f aca="false">SUM(J197:J203)</f>
        <v>9116903</v>
      </c>
      <c r="K204" s="313" t="n">
        <f aca="false">I204/J204*100-100</f>
        <v>9.27767905395068</v>
      </c>
      <c r="L204" s="237" t="n">
        <f aca="false">SUM(L197:L203)</f>
        <v>5412671</v>
      </c>
      <c r="M204" s="216" t="n">
        <f aca="false">SUM(M197:M203)</f>
        <v>4372750</v>
      </c>
      <c r="N204" s="313" t="n">
        <f aca="false">L204/M204*100-100</f>
        <v>23.7818535246698</v>
      </c>
      <c r="O204" s="237" t="n">
        <f aca="false">SUM(O197:O203)</f>
        <v>332</v>
      </c>
      <c r="P204" s="217" t="n">
        <f aca="false">R204/O204</f>
        <v>163.524096385542</v>
      </c>
      <c r="Q204" s="237" t="n">
        <f aca="false">SUM(Q197:Q203)</f>
        <v>318</v>
      </c>
      <c r="R204" s="232" t="n">
        <f aca="false">SUM(R197:R203)</f>
        <v>54290</v>
      </c>
    </row>
    <row r="205" customFormat="false" ht="15" hidden="false" customHeight="false" outlineLevel="0" collapsed="false">
      <c r="A205" s="330"/>
      <c r="B205" s="282"/>
      <c r="C205" s="262"/>
      <c r="D205" s="236"/>
      <c r="E205" s="201"/>
      <c r="F205" s="262"/>
      <c r="G205" s="236"/>
      <c r="H205" s="201"/>
      <c r="I205" s="262"/>
      <c r="J205" s="236"/>
      <c r="K205" s="201"/>
      <c r="L205" s="262"/>
      <c r="M205" s="236"/>
      <c r="N205" s="201"/>
      <c r="O205" s="262"/>
      <c r="P205" s="262"/>
      <c r="Q205" s="262"/>
      <c r="R205" s="202"/>
    </row>
    <row r="206" customFormat="false" ht="15" hidden="false" customHeight="false" outlineLevel="0" collapsed="false">
      <c r="A206" s="274"/>
      <c r="B206" s="331" t="s">
        <v>210</v>
      </c>
      <c r="C206" s="262"/>
      <c r="D206" s="262"/>
      <c r="E206" s="201"/>
      <c r="F206" s="262"/>
      <c r="G206" s="262"/>
      <c r="H206" s="201"/>
      <c r="I206" s="262"/>
      <c r="J206" s="262"/>
      <c r="K206" s="201"/>
      <c r="L206" s="262"/>
      <c r="M206" s="262"/>
      <c r="N206" s="201"/>
      <c r="O206" s="262"/>
      <c r="P206" s="262"/>
      <c r="Q206" s="262"/>
      <c r="R206" s="202"/>
    </row>
    <row r="207" customFormat="false" ht="15" hidden="false" customHeight="false" outlineLevel="0" collapsed="false">
      <c r="A207" s="274" t="n">
        <v>1</v>
      </c>
      <c r="B207" s="373" t="s">
        <v>244</v>
      </c>
      <c r="C207" s="262" t="n">
        <v>1670841</v>
      </c>
      <c r="D207" s="262" t="n">
        <v>2111957</v>
      </c>
      <c r="E207" s="201" t="n">
        <f aca="false">C207/D207*100-100</f>
        <v>-20.8865994904252</v>
      </c>
      <c r="F207" s="262" t="n">
        <v>217052</v>
      </c>
      <c r="G207" s="262" t="n">
        <v>245139</v>
      </c>
      <c r="H207" s="201" t="n">
        <f aca="false">F207/G207*100-100</f>
        <v>-11.4575812090283</v>
      </c>
      <c r="I207" s="262" t="n">
        <v>1464537</v>
      </c>
      <c r="J207" s="262" t="n">
        <v>1354763</v>
      </c>
      <c r="K207" s="201" t="n">
        <f aca="false">I207/J207*100-100</f>
        <v>8.10281945993505</v>
      </c>
      <c r="L207" s="262" t="n">
        <f aca="false">462667+675572</f>
        <v>1138239</v>
      </c>
      <c r="M207" s="262" t="n">
        <f aca="false">193785+826749</f>
        <v>1020534</v>
      </c>
      <c r="N207" s="201" t="n">
        <f aca="false">L207/M207*100-100</f>
        <v>11.5336676681032</v>
      </c>
      <c r="O207" s="262" t="n">
        <v>147</v>
      </c>
      <c r="P207" s="262"/>
      <c r="Q207" s="262" t="n">
        <v>143</v>
      </c>
      <c r="R207" s="202"/>
    </row>
    <row r="208" customFormat="false" ht="15" hidden="false" customHeight="false" outlineLevel="0" collapsed="false">
      <c r="A208" s="274" t="n">
        <v>2</v>
      </c>
      <c r="B208" s="282" t="s">
        <v>160</v>
      </c>
      <c r="C208" s="262" t="n">
        <v>2437</v>
      </c>
      <c r="D208" s="262" t="n">
        <v>474</v>
      </c>
      <c r="E208" s="201" t="n">
        <v>0</v>
      </c>
      <c r="F208" s="262" t="n">
        <v>203</v>
      </c>
      <c r="G208" s="262" t="n">
        <v>196</v>
      </c>
      <c r="H208" s="201" t="n">
        <v>0</v>
      </c>
      <c r="I208" s="262" t="n">
        <v>46940</v>
      </c>
      <c r="J208" s="262" t="n">
        <v>33058</v>
      </c>
      <c r="K208" s="201" t="n">
        <f aca="false">I208/J208*100-100</f>
        <v>41.9928610321253</v>
      </c>
      <c r="L208" s="262" t="n">
        <v>0</v>
      </c>
      <c r="M208" s="262" t="n">
        <v>0</v>
      </c>
      <c r="N208" s="201" t="n">
        <v>0</v>
      </c>
      <c r="O208" s="262" t="n">
        <v>74</v>
      </c>
      <c r="P208" s="262" t="n">
        <v>124</v>
      </c>
      <c r="Q208" s="262" t="n">
        <v>74</v>
      </c>
      <c r="R208" s="202" t="n">
        <f aca="false">O208*P208</f>
        <v>9176</v>
      </c>
    </row>
    <row r="209" customFormat="false" ht="15" hidden="false" customHeight="false" outlineLevel="0" collapsed="false">
      <c r="A209" s="284" t="n">
        <v>3</v>
      </c>
      <c r="B209" s="282" t="s">
        <v>245</v>
      </c>
      <c r="C209" s="200" t="n">
        <v>0</v>
      </c>
      <c r="D209" s="200" t="n">
        <v>0</v>
      </c>
      <c r="E209" s="201" t="n">
        <v>0</v>
      </c>
      <c r="F209" s="200" t="n">
        <v>0</v>
      </c>
      <c r="G209" s="200" t="n">
        <v>0</v>
      </c>
      <c r="H209" s="201" t="n">
        <v>0</v>
      </c>
      <c r="I209" s="200" t="n">
        <v>0</v>
      </c>
      <c r="J209" s="200" t="n">
        <v>0</v>
      </c>
      <c r="K209" s="201" t="n">
        <v>0</v>
      </c>
      <c r="L209" s="200" t="n">
        <v>0</v>
      </c>
      <c r="M209" s="200" t="n">
        <v>0</v>
      </c>
      <c r="N209" s="201" t="n">
        <v>0</v>
      </c>
      <c r="O209" s="203"/>
      <c r="P209" s="204" t="n">
        <v>0</v>
      </c>
      <c r="Q209" s="203" t="n">
        <v>0</v>
      </c>
      <c r="R209" s="202" t="n">
        <f aca="false">O209*P209</f>
        <v>0</v>
      </c>
    </row>
    <row r="210" customFormat="false" ht="15" hidden="false" customHeight="false" outlineLevel="0" collapsed="false">
      <c r="A210" s="284" t="n">
        <v>4</v>
      </c>
      <c r="B210" s="282" t="s">
        <v>169</v>
      </c>
      <c r="C210" s="262" t="n">
        <v>686942</v>
      </c>
      <c r="D210" s="262" t="n">
        <v>365437</v>
      </c>
      <c r="E210" s="223" t="n">
        <f aca="false">C210/D210*100-100</f>
        <v>87.9782288055123</v>
      </c>
      <c r="F210" s="262" t="n">
        <v>75825</v>
      </c>
      <c r="G210" s="262" t="n">
        <v>119635</v>
      </c>
      <c r="H210" s="223" t="n">
        <v>0</v>
      </c>
      <c r="I210" s="262" t="n">
        <v>686942</v>
      </c>
      <c r="J210" s="262" t="n">
        <v>365437</v>
      </c>
      <c r="K210" s="201" t="n">
        <f aca="false">I210/J210*100-100</f>
        <v>87.9782288055123</v>
      </c>
      <c r="L210" s="262" t="n">
        <f aca="false">600424+86518</f>
        <v>686942</v>
      </c>
      <c r="M210" s="262" t="n">
        <f aca="false">267209+98228</f>
        <v>365437</v>
      </c>
      <c r="N210" s="201" t="n">
        <f aca="false">L210/M210*100-100</f>
        <v>87.9782288055123</v>
      </c>
      <c r="O210" s="262" t="n">
        <v>30</v>
      </c>
      <c r="P210" s="262" t="n">
        <v>50</v>
      </c>
      <c r="Q210" s="262" t="n">
        <v>30</v>
      </c>
      <c r="R210" s="202" t="n">
        <f aca="false">O210*P210</f>
        <v>1500</v>
      </c>
    </row>
    <row r="211" customFormat="false" ht="15" hidden="false" customHeight="false" outlineLevel="0" collapsed="false">
      <c r="A211" s="215" t="s">
        <v>170</v>
      </c>
      <c r="B211" s="215" t="s">
        <v>154</v>
      </c>
      <c r="C211" s="237" t="n">
        <f aca="false">SUM(C206:C210)</f>
        <v>2360220</v>
      </c>
      <c r="D211" s="237" t="n">
        <f aca="false">SUM(D206:D210)</f>
        <v>2477868</v>
      </c>
      <c r="E211" s="313" t="n">
        <f aca="false">C211/D211*100-100</f>
        <v>-4.74795267544518</v>
      </c>
      <c r="F211" s="237" t="n">
        <f aca="false">SUM(F206:F210)</f>
        <v>293080</v>
      </c>
      <c r="G211" s="237" t="n">
        <f aca="false">SUM(G206:G210)</f>
        <v>364970</v>
      </c>
      <c r="H211" s="313" t="n">
        <v>0</v>
      </c>
      <c r="I211" s="237" t="n">
        <f aca="false">SUM(I206:I210)</f>
        <v>2198419</v>
      </c>
      <c r="J211" s="237" t="n">
        <f aca="false">SUM(J206:J210)</f>
        <v>1753258</v>
      </c>
      <c r="K211" s="313" t="n">
        <f aca="false">I211/J211*100-100</f>
        <v>25.3905015690788</v>
      </c>
      <c r="L211" s="237" t="n">
        <f aca="false">SUM(L206:L210)</f>
        <v>1825181</v>
      </c>
      <c r="M211" s="216" t="n">
        <f aca="false">SUM(M206:M210)</f>
        <v>1385971</v>
      </c>
      <c r="N211" s="313" t="n">
        <f aca="false">L211/M211*100-100</f>
        <v>31.6896962490557</v>
      </c>
      <c r="O211" s="237" t="n">
        <f aca="false">SUM(O206:O210)</f>
        <v>251</v>
      </c>
      <c r="P211" s="217" t="n">
        <f aca="false">R211/O211</f>
        <v>42.5338645418327</v>
      </c>
      <c r="Q211" s="237" t="n">
        <f aca="false">SUM(Q206:Q210)</f>
        <v>247</v>
      </c>
      <c r="R211" s="232" t="n">
        <f aca="false">SUM(R206:R210)</f>
        <v>10676</v>
      </c>
    </row>
    <row r="212" customFormat="false" ht="15" hidden="false" customHeight="false" outlineLevel="0" collapsed="false">
      <c r="A212" s="325"/>
      <c r="B212" s="325" t="s">
        <v>211</v>
      </c>
      <c r="C212" s="320" t="n">
        <f aca="false">C204+C211</f>
        <v>9550721</v>
      </c>
      <c r="D212" s="320" t="n">
        <f aca="false">D204+D211</f>
        <v>9535685</v>
      </c>
      <c r="E212" s="310" t="n">
        <f aca="false">C212/D212*100-100</f>
        <v>0.157681383141323</v>
      </c>
      <c r="F212" s="320" t="n">
        <f aca="false">F204+F211</f>
        <v>3931307</v>
      </c>
      <c r="G212" s="320" t="n">
        <f aca="false">G204+G211</f>
        <v>3122234</v>
      </c>
      <c r="H212" s="310" t="n">
        <f aca="false">F212/G212*100-100</f>
        <v>25.9132723556274</v>
      </c>
      <c r="I212" s="320" t="n">
        <f aca="false">I204+I211</f>
        <v>12161159</v>
      </c>
      <c r="J212" s="320" t="n">
        <f aca="false">J204+J211</f>
        <v>10870161</v>
      </c>
      <c r="K212" s="310" t="n">
        <f aca="false">I212/J212*100-100</f>
        <v>11.8765306236035</v>
      </c>
      <c r="L212" s="320" t="n">
        <f aca="false">L204+L211</f>
        <v>7237852</v>
      </c>
      <c r="M212" s="320" t="n">
        <f aca="false">M204+M211</f>
        <v>5758721</v>
      </c>
      <c r="N212" s="310" t="n">
        <f aca="false">L212/M212*100-100</f>
        <v>25.6850609710038</v>
      </c>
      <c r="O212" s="320" t="n">
        <f aca="false">O204+O211</f>
        <v>583</v>
      </c>
      <c r="P212" s="321" t="n">
        <f aca="false">R212/O212</f>
        <v>111.433962264151</v>
      </c>
      <c r="Q212" s="320" t="n">
        <f aca="false">Q204+Q211</f>
        <v>565</v>
      </c>
      <c r="R212" s="320" t="n">
        <f aca="false">R204+R211</f>
        <v>64966</v>
      </c>
    </row>
    <row r="213" customFormat="false" ht="15" hidden="false" customHeight="false" outlineLevel="0" collapsed="false">
      <c r="A213" s="333"/>
      <c r="B213" s="334"/>
      <c r="C213" s="287"/>
      <c r="D213" s="287"/>
      <c r="E213" s="283"/>
      <c r="F213" s="288"/>
      <c r="G213" s="288"/>
      <c r="H213" s="283"/>
      <c r="I213" s="203"/>
      <c r="J213" s="203"/>
      <c r="K213" s="289"/>
      <c r="L213" s="203"/>
      <c r="M213" s="203"/>
      <c r="N213" s="203"/>
      <c r="O213" s="203"/>
      <c r="P213" s="219"/>
      <c r="Q213" s="203"/>
      <c r="R213" s="189"/>
    </row>
    <row r="214" customFormat="false" ht="15" hidden="false" customHeight="false" outlineLevel="0" collapsed="false">
      <c r="A214" s="333"/>
      <c r="B214" s="270" t="s">
        <v>171</v>
      </c>
      <c r="C214" s="270"/>
      <c r="D214" s="287"/>
      <c r="E214" s="283"/>
      <c r="F214" s="288"/>
      <c r="G214" s="288"/>
      <c r="H214" s="283"/>
      <c r="I214" s="203"/>
      <c r="J214" s="203"/>
      <c r="K214" s="289"/>
      <c r="L214" s="203"/>
      <c r="M214" s="203"/>
      <c r="N214" s="203"/>
      <c r="O214" s="203"/>
      <c r="P214" s="219"/>
      <c r="Q214" s="203"/>
      <c r="R214" s="189"/>
    </row>
    <row r="215" customFormat="false" ht="15" hidden="false" customHeight="false" outlineLevel="0" collapsed="false">
      <c r="A215" s="270"/>
      <c r="B215" s="270"/>
      <c r="C215" s="195" t="n">
        <v>3</v>
      </c>
      <c r="D215" s="195" t="n">
        <v>4</v>
      </c>
      <c r="E215" s="196" t="n">
        <v>5</v>
      </c>
      <c r="F215" s="195" t="n">
        <v>6</v>
      </c>
      <c r="G215" s="195" t="n">
        <v>7</v>
      </c>
      <c r="H215" s="195" t="n">
        <v>8</v>
      </c>
      <c r="I215" s="195" t="n">
        <v>9</v>
      </c>
      <c r="J215" s="195" t="n">
        <v>10</v>
      </c>
      <c r="K215" s="195" t="n">
        <v>11</v>
      </c>
      <c r="L215" s="195" t="n">
        <v>12</v>
      </c>
      <c r="M215" s="195" t="n">
        <v>13</v>
      </c>
      <c r="N215" s="195" t="n">
        <v>14</v>
      </c>
      <c r="O215" s="195" t="n">
        <v>15</v>
      </c>
      <c r="P215" s="196" t="n">
        <v>16</v>
      </c>
      <c r="Q215" s="195" t="n">
        <v>17</v>
      </c>
      <c r="R215" s="189"/>
    </row>
    <row r="216" customFormat="false" ht="15" hidden="false" customHeight="false" outlineLevel="0" collapsed="false">
      <c r="A216" s="288" t="n">
        <v>1</v>
      </c>
      <c r="B216" s="290" t="s">
        <v>172</v>
      </c>
      <c r="C216" s="262" t="n">
        <v>683913</v>
      </c>
      <c r="D216" s="262" t="n">
        <v>697634</v>
      </c>
      <c r="E216" s="262" t="n">
        <f aca="false">C216/D216*100-100</f>
        <v>-1.96679060940264</v>
      </c>
      <c r="F216" s="262" t="n">
        <v>99905.6</v>
      </c>
      <c r="G216" s="262" t="n">
        <v>66862</v>
      </c>
      <c r="H216" s="262" t="n">
        <f aca="false">F216/G216*100-100</f>
        <v>49.4205976488888</v>
      </c>
      <c r="I216" s="262" t="n">
        <v>431207.2</v>
      </c>
      <c r="J216" s="262" t="n">
        <v>520691.1</v>
      </c>
      <c r="K216" s="262" t="n">
        <f aca="false">I216/J216*100-100</f>
        <v>-17.185601981674</v>
      </c>
      <c r="L216" s="262" t="n">
        <v>0</v>
      </c>
      <c r="M216" s="262" t="n">
        <v>0</v>
      </c>
      <c r="N216" s="262" t="n">
        <v>0</v>
      </c>
      <c r="O216" s="262" t="n">
        <v>297</v>
      </c>
      <c r="P216" s="262" t="n">
        <v>235</v>
      </c>
      <c r="Q216" s="262" t="n">
        <v>299</v>
      </c>
      <c r="R216" s="378" t="n">
        <f aca="false">O216*P216</f>
        <v>69795</v>
      </c>
    </row>
    <row r="217" customFormat="false" ht="14.25" hidden="false" customHeight="true" outlineLevel="0" collapsed="false">
      <c r="A217" s="288" t="n">
        <v>2</v>
      </c>
      <c r="B217" s="290" t="s">
        <v>173</v>
      </c>
      <c r="C217" s="262" t="n">
        <v>3595</v>
      </c>
      <c r="D217" s="262" t="n">
        <v>101151</v>
      </c>
      <c r="E217" s="262" t="n">
        <f aca="false">C217/D217*100-100</f>
        <v>-96.4459076034839</v>
      </c>
      <c r="F217" s="262" t="n">
        <v>0</v>
      </c>
      <c r="G217" s="262" t="n">
        <v>0</v>
      </c>
      <c r="H217" s="262" t="n">
        <v>0</v>
      </c>
      <c r="I217" s="262" t="n">
        <v>3595</v>
      </c>
      <c r="J217" s="262" t="n">
        <v>105629</v>
      </c>
      <c r="K217" s="262" t="n">
        <v>0</v>
      </c>
      <c r="L217" s="262" t="n">
        <v>3595</v>
      </c>
      <c r="M217" s="262" t="n">
        <v>105629</v>
      </c>
      <c r="N217" s="262" t="n">
        <f aca="false">IF(OR(L217=0,M217=0),0,L217/M217*100)</f>
        <v>3.40342140889339</v>
      </c>
      <c r="O217" s="262" t="n">
        <v>24</v>
      </c>
      <c r="P217" s="262" t="n">
        <v>45.3</v>
      </c>
      <c r="Q217" s="262" t="n">
        <v>35</v>
      </c>
      <c r="R217" s="378" t="n">
        <f aca="false">O217*P217</f>
        <v>1087.2</v>
      </c>
    </row>
    <row r="218" customFormat="false" ht="27" hidden="false" customHeight="true" outlineLevel="0" collapsed="false">
      <c r="A218" s="291" t="n">
        <v>3</v>
      </c>
      <c r="B218" s="292" t="s">
        <v>174</v>
      </c>
      <c r="C218" s="262" t="n">
        <v>111865</v>
      </c>
      <c r="D218" s="262" t="n">
        <v>113912</v>
      </c>
      <c r="E218" s="262" t="n">
        <f aca="false">C218/D218*100-100</f>
        <v>-1.79700119390407</v>
      </c>
      <c r="F218" s="262" t="n">
        <v>13882</v>
      </c>
      <c r="G218" s="262" t="n">
        <v>13828</v>
      </c>
      <c r="H218" s="262" t="n">
        <f aca="false">F218/G218*100-100</f>
        <v>0.390512004628292</v>
      </c>
      <c r="I218" s="262" t="n">
        <v>0</v>
      </c>
      <c r="J218" s="262" t="n">
        <v>0</v>
      </c>
      <c r="K218" s="262" t="n">
        <v>0</v>
      </c>
      <c r="L218" s="262" t="n">
        <v>0</v>
      </c>
      <c r="M218" s="262" t="n">
        <v>0</v>
      </c>
      <c r="N218" s="262" t="n">
        <f aca="false">IF(OR(L218=0,M218=0),0,L218/M218*100)</f>
        <v>0</v>
      </c>
      <c r="O218" s="262" t="n">
        <v>87</v>
      </c>
      <c r="P218" s="262" t="n">
        <v>105</v>
      </c>
      <c r="Q218" s="262" t="n">
        <v>86</v>
      </c>
      <c r="R218" s="385" t="n">
        <f aca="false">O218*P218</f>
        <v>9135</v>
      </c>
    </row>
    <row r="219" customFormat="false" ht="15" hidden="false" customHeight="false" outlineLevel="0" collapsed="false">
      <c r="A219" s="288" t="n">
        <v>4</v>
      </c>
      <c r="B219" s="296" t="s">
        <v>175</v>
      </c>
      <c r="C219" s="262" t="n">
        <v>1126</v>
      </c>
      <c r="D219" s="262" t="n">
        <v>1039</v>
      </c>
      <c r="E219" s="262" t="n">
        <f aca="false">C219/D219*100-100</f>
        <v>8.37343599615015</v>
      </c>
      <c r="F219" s="262" t="n">
        <v>136</v>
      </c>
      <c r="G219" s="262" t="n">
        <v>0</v>
      </c>
      <c r="H219" s="262" t="n">
        <v>0</v>
      </c>
      <c r="I219" s="262" t="n">
        <v>1126</v>
      </c>
      <c r="J219" s="262" t="n">
        <v>1039</v>
      </c>
      <c r="K219" s="262" t="n">
        <v>0</v>
      </c>
      <c r="L219" s="262" t="n">
        <v>0</v>
      </c>
      <c r="M219" s="262" t="n">
        <v>0</v>
      </c>
      <c r="N219" s="262" t="n">
        <f aca="false">IF(OR(L219=0,M219=0),0,L219/M219*100)</f>
        <v>0</v>
      </c>
      <c r="O219" s="262" t="n">
        <v>30</v>
      </c>
      <c r="P219" s="262" t="n">
        <v>28.7</v>
      </c>
      <c r="Q219" s="262" t="n">
        <v>29</v>
      </c>
      <c r="R219" s="386" t="n">
        <f aca="false">O219*P219</f>
        <v>861</v>
      </c>
    </row>
    <row r="220" customFormat="false" ht="15" hidden="false" customHeight="false" outlineLevel="0" collapsed="false">
      <c r="A220" s="288" t="n">
        <v>5</v>
      </c>
      <c r="B220" s="297" t="s">
        <v>176</v>
      </c>
      <c r="C220" s="262" t="n">
        <v>26132</v>
      </c>
      <c r="D220" s="262" t="n">
        <v>13026</v>
      </c>
      <c r="E220" s="262" t="n">
        <f aca="false">C220/D220*100-100</f>
        <v>100.614156302779</v>
      </c>
      <c r="F220" s="262" t="n">
        <v>3240</v>
      </c>
      <c r="G220" s="262" t="n">
        <v>459</v>
      </c>
      <c r="H220" s="262" t="n">
        <f aca="false">F220/G220*100-100</f>
        <v>605.882352941176</v>
      </c>
      <c r="I220" s="262" t="n">
        <v>26132</v>
      </c>
      <c r="J220" s="262" t="n">
        <v>13026</v>
      </c>
      <c r="K220" s="262" t="n">
        <v>0</v>
      </c>
      <c r="L220" s="262" t="n">
        <v>0</v>
      </c>
      <c r="M220" s="262" t="n">
        <v>0</v>
      </c>
      <c r="N220" s="262" t="n">
        <f aca="false">IF(OR(L220=0,M220=0),0,L220/M220*100)</f>
        <v>0</v>
      </c>
      <c r="O220" s="262" t="n">
        <v>17</v>
      </c>
      <c r="P220" s="262" t="n">
        <v>61</v>
      </c>
      <c r="Q220" s="262" t="n">
        <v>17</v>
      </c>
      <c r="R220" s="386" t="n">
        <f aca="false">O220*P220</f>
        <v>1037</v>
      </c>
    </row>
    <row r="221" customFormat="false" ht="15" hidden="false" customHeight="false" outlineLevel="0" collapsed="false">
      <c r="A221" s="288" t="n">
        <v>6</v>
      </c>
      <c r="B221" s="290" t="s">
        <v>177</v>
      </c>
      <c r="C221" s="262" t="n">
        <v>9890</v>
      </c>
      <c r="D221" s="262" t="n">
        <v>10155</v>
      </c>
      <c r="E221" s="262" t="n">
        <f aca="false">C221/D221*100-100</f>
        <v>-2.60955194485474</v>
      </c>
      <c r="F221" s="262" t="n">
        <v>950</v>
      </c>
      <c r="G221" s="262" t="n">
        <v>895</v>
      </c>
      <c r="H221" s="262" t="n">
        <f aca="false">F221/G221*100-100</f>
        <v>6.14525139664805</v>
      </c>
      <c r="I221" s="262" t="n">
        <v>0</v>
      </c>
      <c r="J221" s="262" t="n">
        <v>0</v>
      </c>
      <c r="K221" s="262" t="n">
        <v>0</v>
      </c>
      <c r="L221" s="262" t="n">
        <v>0</v>
      </c>
      <c r="M221" s="262" t="n">
        <v>0</v>
      </c>
      <c r="N221" s="262" t="n">
        <f aca="false">IF(OR(L221=0,M221=0),0,L221/M221*100)</f>
        <v>0</v>
      </c>
      <c r="O221" s="262" t="n">
        <v>12</v>
      </c>
      <c r="P221" s="262" t="n">
        <v>73.4</v>
      </c>
      <c r="Q221" s="262" t="n">
        <v>12</v>
      </c>
      <c r="R221" s="386" t="n">
        <f aca="false">O221*P221</f>
        <v>880.8</v>
      </c>
    </row>
    <row r="222" customFormat="false" ht="15" hidden="false" customHeight="false" outlineLevel="0" collapsed="false">
      <c r="A222" s="288" t="n">
        <v>7</v>
      </c>
      <c r="B222" s="290" t="s">
        <v>178</v>
      </c>
      <c r="C222" s="262" t="n">
        <v>78489</v>
      </c>
      <c r="D222" s="262" t="n">
        <v>48430</v>
      </c>
      <c r="E222" s="262" t="n">
        <f aca="false">C222/D222*100-100</f>
        <v>62.0669006813958</v>
      </c>
      <c r="F222" s="262" t="n">
        <v>14369</v>
      </c>
      <c r="G222" s="262" t="n">
        <v>4732</v>
      </c>
      <c r="H222" s="262" t="n">
        <f aca="false">F222/G222*100-100</f>
        <v>203.65595942519</v>
      </c>
      <c r="I222" s="262" t="n">
        <v>77384</v>
      </c>
      <c r="J222" s="262" t="n">
        <v>28129</v>
      </c>
      <c r="K222" s="262" t="n">
        <f aca="false">I222/J222*100-100</f>
        <v>175.103985210992</v>
      </c>
      <c r="L222" s="262" t="n">
        <v>0</v>
      </c>
      <c r="M222" s="262" t="n">
        <v>0</v>
      </c>
      <c r="N222" s="262" t="n">
        <v>0</v>
      </c>
      <c r="O222" s="262" t="n">
        <v>23</v>
      </c>
      <c r="P222" s="262" t="n">
        <v>197.9</v>
      </c>
      <c r="Q222" s="262" t="n">
        <v>21</v>
      </c>
      <c r="R222" s="386" t="n">
        <f aca="false">O222*P222</f>
        <v>4551.7</v>
      </c>
    </row>
    <row r="223" customFormat="false" ht="15" hidden="false" customHeight="false" outlineLevel="0" collapsed="false">
      <c r="A223" s="288" t="n">
        <v>8</v>
      </c>
      <c r="B223" s="290" t="s">
        <v>179</v>
      </c>
      <c r="C223" s="262" t="n">
        <v>14075</v>
      </c>
      <c r="D223" s="262" t="n">
        <v>18972</v>
      </c>
      <c r="E223" s="262" t="n">
        <f aca="false">C223/D223*100-100</f>
        <v>-25.8117225384778</v>
      </c>
      <c r="F223" s="262" t="n">
        <v>1445</v>
      </c>
      <c r="G223" s="262" t="n">
        <v>2109</v>
      </c>
      <c r="H223" s="262" t="n">
        <f aca="false">F223/G223*100-100</f>
        <v>-31.484115694642</v>
      </c>
      <c r="I223" s="262" t="n">
        <v>14075</v>
      </c>
      <c r="J223" s="262" t="n">
        <v>18972</v>
      </c>
      <c r="K223" s="262" t="n">
        <f aca="false">I223/J223*100-100</f>
        <v>-25.8117225384778</v>
      </c>
      <c r="L223" s="262" t="n">
        <v>0</v>
      </c>
      <c r="M223" s="262" t="n">
        <v>0</v>
      </c>
      <c r="N223" s="262" t="n">
        <f aca="false">IF(OR(L223=0,M223=0),0,L223/M223*100)</f>
        <v>0</v>
      </c>
      <c r="O223" s="262" t="n">
        <v>13</v>
      </c>
      <c r="P223" s="262" t="n">
        <v>74.3</v>
      </c>
      <c r="Q223" s="262" t="n">
        <v>14</v>
      </c>
      <c r="R223" s="378" t="n">
        <f aca="false">O223*P223</f>
        <v>965.9</v>
      </c>
    </row>
    <row r="224" customFormat="false" ht="15" hidden="false" customHeight="false" outlineLevel="0" collapsed="false">
      <c r="A224" s="288" t="n">
        <v>9</v>
      </c>
      <c r="B224" s="301" t="s">
        <v>180</v>
      </c>
      <c r="C224" s="262" t="n">
        <v>3470</v>
      </c>
      <c r="D224" s="262" t="n">
        <v>6119</v>
      </c>
      <c r="E224" s="262" t="n">
        <f aca="false">C224/D224*100-100</f>
        <v>-43.2913874816146</v>
      </c>
      <c r="F224" s="262" t="n">
        <v>255</v>
      </c>
      <c r="G224" s="262" t="n">
        <v>255</v>
      </c>
      <c r="H224" s="262" t="n">
        <f aca="false">F224/G224*100-100</f>
        <v>0</v>
      </c>
      <c r="I224" s="262" t="n">
        <v>3925</v>
      </c>
      <c r="J224" s="262" t="n">
        <v>6062</v>
      </c>
      <c r="K224" s="262" t="n">
        <f aca="false">I224/J224*100-100</f>
        <v>-35.2523919498515</v>
      </c>
      <c r="L224" s="262" t="n">
        <v>0</v>
      </c>
      <c r="M224" s="262" t="n">
        <v>0</v>
      </c>
      <c r="N224" s="262" t="n">
        <f aca="false">IF(OR(L224=0,M224=0),0,L224/M224*100)</f>
        <v>0</v>
      </c>
      <c r="O224" s="262" t="n">
        <v>24</v>
      </c>
      <c r="P224" s="262" t="n">
        <v>68.6</v>
      </c>
      <c r="Q224" s="262" t="n">
        <v>25</v>
      </c>
      <c r="R224" s="386" t="n">
        <f aca="false">O224*P224</f>
        <v>1646.4</v>
      </c>
    </row>
    <row r="225" customFormat="false" ht="15" hidden="false" customHeight="false" outlineLevel="0" collapsed="false">
      <c r="A225" s="216"/>
      <c r="B225" s="216" t="s">
        <v>261</v>
      </c>
      <c r="C225" s="216" t="n">
        <f aca="false">SUM(C216:C224)</f>
        <v>932555</v>
      </c>
      <c r="D225" s="216" t="n">
        <f aca="false">SUM(D216:D224)</f>
        <v>1010438</v>
      </c>
      <c r="E225" s="216" t="n">
        <f aca="false">C225/D225*100-100</f>
        <v>-7.70784550858143</v>
      </c>
      <c r="F225" s="216" t="n">
        <f aca="false">SUM(F216:F224)</f>
        <v>134182.6</v>
      </c>
      <c r="G225" s="216" t="n">
        <f aca="false">SUM(G216:G224)</f>
        <v>89140</v>
      </c>
      <c r="H225" s="216" t="n">
        <f aca="false">F225/G225*100-100</f>
        <v>50.5301772492708</v>
      </c>
      <c r="I225" s="216" t="n">
        <f aca="false">SUM(I216:I224)</f>
        <v>557444.2</v>
      </c>
      <c r="J225" s="216" t="n">
        <f aca="false">SUM(J216:J224)</f>
        <v>693548.1</v>
      </c>
      <c r="K225" s="216" t="n">
        <f aca="false">I225/J225*100-100</f>
        <v>-19.6242913793578</v>
      </c>
      <c r="L225" s="216" t="n">
        <f aca="false">SUM(L216:L224)</f>
        <v>3595</v>
      </c>
      <c r="M225" s="216" t="n">
        <f aca="false">SUM(M216:M224)</f>
        <v>105629</v>
      </c>
      <c r="N225" s="216" t="n">
        <f aca="false">L225/M225*100-100</f>
        <v>-96.5965785911066</v>
      </c>
      <c r="O225" s="216" t="n">
        <f aca="false">SUM(O216:O224)</f>
        <v>527</v>
      </c>
      <c r="P225" s="216" t="n">
        <f aca="false">R225/O225</f>
        <v>170.702087286527</v>
      </c>
      <c r="Q225" s="216" t="n">
        <f aca="false">SUM(Q216:Q224)</f>
        <v>538</v>
      </c>
      <c r="R225" s="232" t="n">
        <f aca="false">SUM(R216:R224)</f>
        <v>89960</v>
      </c>
    </row>
    <row r="226" customFormat="false" ht="15" hidden="false" customHeight="false" outlineLevel="0" collapsed="false">
      <c r="A226" s="303"/>
      <c r="B226" s="195"/>
      <c r="C226" s="303"/>
      <c r="D226" s="303"/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3"/>
      <c r="P226" s="303"/>
      <c r="Q226" s="303"/>
      <c r="R226" s="304"/>
    </row>
    <row r="227" customFormat="false" ht="15" hidden="false" customHeight="false" outlineLevel="0" collapsed="false">
      <c r="A227" s="305" t="s">
        <v>181</v>
      </c>
      <c r="B227" s="305"/>
      <c r="C227" s="195" t="n">
        <v>3</v>
      </c>
      <c r="D227" s="195" t="n">
        <v>4</v>
      </c>
      <c r="E227" s="196" t="n">
        <v>5</v>
      </c>
      <c r="F227" s="195" t="n">
        <v>6</v>
      </c>
      <c r="G227" s="195" t="n">
        <v>7</v>
      </c>
      <c r="H227" s="195" t="n">
        <v>8</v>
      </c>
      <c r="I227" s="195" t="n">
        <v>9</v>
      </c>
      <c r="J227" s="195" t="n">
        <v>10</v>
      </c>
      <c r="K227" s="195" t="n">
        <v>11</v>
      </c>
      <c r="L227" s="195" t="n">
        <v>12</v>
      </c>
      <c r="M227" s="195" t="n">
        <v>13</v>
      </c>
      <c r="N227" s="195" t="n">
        <v>14</v>
      </c>
      <c r="O227" s="195" t="n">
        <v>15</v>
      </c>
      <c r="P227" s="196" t="n">
        <v>16</v>
      </c>
      <c r="Q227" s="195" t="n">
        <v>17</v>
      </c>
      <c r="R227" s="179"/>
    </row>
    <row r="228" customFormat="false" ht="15" hidden="false" customHeight="false" outlineLevel="0" collapsed="false">
      <c r="A228" s="262" t="n">
        <v>1</v>
      </c>
      <c r="B228" s="306" t="s">
        <v>182</v>
      </c>
      <c r="C228" s="207" t="n">
        <v>56612</v>
      </c>
      <c r="D228" s="207" t="n">
        <v>83244</v>
      </c>
      <c r="E228" s="201" t="n">
        <f aca="false">C228/D228*100-100</f>
        <v>-31.9926961702946</v>
      </c>
      <c r="F228" s="207" t="n">
        <v>0</v>
      </c>
      <c r="G228" s="207" t="n">
        <v>7465</v>
      </c>
      <c r="H228" s="223" t="n">
        <f aca="false">F228/G228*100-100</f>
        <v>-100</v>
      </c>
      <c r="I228" s="207" t="n">
        <v>56612</v>
      </c>
      <c r="J228" s="207" t="n">
        <v>83244</v>
      </c>
      <c r="K228" s="201" t="n">
        <f aca="false">I228/J228*100-100</f>
        <v>-31.9926961702946</v>
      </c>
      <c r="L228" s="207" t="n">
        <f aca="false">19229+37383</f>
        <v>56612</v>
      </c>
      <c r="M228" s="207" t="n">
        <v>83244</v>
      </c>
      <c r="N228" s="201" t="n">
        <f aca="false">L228/M228*100-100</f>
        <v>-31.9926961702946</v>
      </c>
      <c r="O228" s="192" t="n">
        <v>45</v>
      </c>
      <c r="P228" s="262" t="n">
        <v>63</v>
      </c>
      <c r="Q228" s="192" t="n">
        <v>42</v>
      </c>
      <c r="R228" s="234" t="n">
        <f aca="false">O228*P228</f>
        <v>2835</v>
      </c>
    </row>
    <row r="229" customFormat="false" ht="15" hidden="false" customHeight="false" outlineLevel="0" collapsed="false">
      <c r="A229" s="262" t="n">
        <v>2</v>
      </c>
      <c r="B229" s="306" t="s">
        <v>183</v>
      </c>
      <c r="C229" s="207" t="n">
        <v>207080</v>
      </c>
      <c r="D229" s="207" t="n">
        <v>269217</v>
      </c>
      <c r="E229" s="201" t="n">
        <f aca="false">C229/D229*100-100</f>
        <v>-23.0806375526063</v>
      </c>
      <c r="F229" s="207" t="n">
        <v>53386</v>
      </c>
      <c r="G229" s="207" t="n">
        <v>81236</v>
      </c>
      <c r="H229" s="201" t="n">
        <f aca="false">F229/G229*100-100</f>
        <v>-34.2828302722931</v>
      </c>
      <c r="I229" s="207" t="n">
        <v>207252</v>
      </c>
      <c r="J229" s="207" t="n">
        <v>221868</v>
      </c>
      <c r="K229" s="201" t="n">
        <f aca="false">I229/J229*100-100</f>
        <v>-6.58770079506735</v>
      </c>
      <c r="L229" s="207" t="n">
        <v>18568</v>
      </c>
      <c r="M229" s="207" t="n">
        <v>6831</v>
      </c>
      <c r="N229" s="201" t="n">
        <v>0</v>
      </c>
      <c r="O229" s="192" t="n">
        <v>173</v>
      </c>
      <c r="P229" s="262" t="n">
        <v>82</v>
      </c>
      <c r="Q229" s="192" t="n">
        <v>174</v>
      </c>
      <c r="R229" s="234" t="n">
        <f aca="false">O229*P229</f>
        <v>14186</v>
      </c>
    </row>
    <row r="230" customFormat="false" ht="15" hidden="false" customHeight="false" outlineLevel="0" collapsed="false">
      <c r="A230" s="215" t="s">
        <v>170</v>
      </c>
      <c r="B230" s="215" t="s">
        <v>154</v>
      </c>
      <c r="C230" s="216" t="n">
        <f aca="false">SUM(C228:C229)</f>
        <v>263692</v>
      </c>
      <c r="D230" s="216" t="n">
        <f aca="false">SUM(D228:D229)</f>
        <v>352461</v>
      </c>
      <c r="E230" s="313" t="n">
        <f aca="false">C230/D230*100-100</f>
        <v>-25.1854815142668</v>
      </c>
      <c r="F230" s="216" t="n">
        <f aca="false">SUM(F228:F229)</f>
        <v>53386</v>
      </c>
      <c r="G230" s="216" t="n">
        <f aca="false">SUM(G228:G229)</f>
        <v>88701</v>
      </c>
      <c r="H230" s="313" t="n">
        <f aca="false">F230/G230*100-100</f>
        <v>-39.813530850836</v>
      </c>
      <c r="I230" s="217" t="n">
        <f aca="false">SUM(I228:I229)</f>
        <v>263864</v>
      </c>
      <c r="J230" s="216" t="n">
        <f aca="false">SUM(J228:J229)</f>
        <v>305112</v>
      </c>
      <c r="K230" s="313" t="n">
        <f aca="false">I230/J230*100-100</f>
        <v>-13.518970083117</v>
      </c>
      <c r="L230" s="237" t="n">
        <f aca="false">SUM(L228:L229)</f>
        <v>75180</v>
      </c>
      <c r="M230" s="216" t="n">
        <f aca="false">SUM(M228:M229)</f>
        <v>90075</v>
      </c>
      <c r="N230" s="332" t="n">
        <f aca="false">L230/M230*100-100</f>
        <v>-16.5362198168193</v>
      </c>
      <c r="O230" s="237" t="n">
        <f aca="false">SUM(O228:O229)</f>
        <v>218</v>
      </c>
      <c r="P230" s="237" t="n">
        <f aca="false">R230/O230</f>
        <v>78.0779816513762</v>
      </c>
      <c r="Q230" s="237" t="n">
        <f aca="false">SUM(Q228:Q229)</f>
        <v>216</v>
      </c>
      <c r="R230" s="232" t="n">
        <f aca="false">SUM(R228:R229)</f>
        <v>17021</v>
      </c>
    </row>
  </sheetData>
  <mergeCells count="57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5:B55"/>
    <mergeCell ref="A57:B57"/>
    <mergeCell ref="A67:B67"/>
    <mergeCell ref="A69:B69"/>
    <mergeCell ref="A78:B78"/>
    <mergeCell ref="A79:B79"/>
    <mergeCell ref="A81:B81"/>
    <mergeCell ref="A93:B93"/>
    <mergeCell ref="A95:B95"/>
    <mergeCell ref="A121:B121"/>
    <mergeCell ref="A131:B131"/>
    <mergeCell ref="A133:B133"/>
    <mergeCell ref="A139:B139"/>
    <mergeCell ref="A150:B150"/>
    <mergeCell ref="A151:B151"/>
    <mergeCell ref="A162:B162"/>
    <mergeCell ref="B164:C164"/>
    <mergeCell ref="A165:B165"/>
    <mergeCell ref="A175:B175"/>
    <mergeCell ref="A189:B189"/>
    <mergeCell ref="A196:B196"/>
    <mergeCell ref="A204:B204"/>
    <mergeCell ref="A211:B211"/>
    <mergeCell ref="B214:C214"/>
    <mergeCell ref="A215:B215"/>
    <mergeCell ref="A227:B227"/>
    <mergeCell ref="A230:B2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8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57" activeCellId="0" sqref="A157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5.42"/>
    <col collapsed="false" customWidth="true" hidden="false" outlineLevel="0" max="3" min="3" style="0" width="11.71"/>
    <col collapsed="false" customWidth="false" hidden="false" outlineLevel="0" max="4" min="4" style="0" width="11.43"/>
    <col collapsed="false" customWidth="true" hidden="false" outlineLevel="0" max="5" min="5" style="0" width="6.57"/>
    <col collapsed="false" customWidth="true" hidden="false" outlineLevel="0" max="6" min="6" style="0" width="10.57"/>
    <col collapsed="false" customWidth="true" hidden="false" outlineLevel="0" max="7" min="7" style="0" width="10.28"/>
    <col collapsed="false" customWidth="true" hidden="false" outlineLevel="0" max="8" min="8" style="0" width="5.57"/>
    <col collapsed="false" customWidth="true" hidden="false" outlineLevel="0" max="9" min="9" style="0" width="11.28"/>
    <col collapsed="false" customWidth="true" hidden="false" outlineLevel="0" max="10" min="10" style="0" width="11.71"/>
    <col collapsed="false" customWidth="true" hidden="false" outlineLevel="0" max="11" min="11" style="0" width="5.71"/>
    <col collapsed="false" customWidth="true" hidden="false" outlineLevel="0" max="12" min="12" style="0" width="11.28"/>
    <col collapsed="false" customWidth="false" hidden="false" outlineLevel="0" max="13" min="13" style="0" width="11.43"/>
    <col collapsed="false" customWidth="true" hidden="false" outlineLevel="0" max="14" min="14" style="0" width="6.14"/>
    <col collapsed="false" customWidth="true" hidden="false" outlineLevel="0" max="15" min="15" style="0" width="7"/>
    <col collapsed="false" customWidth="true" hidden="false" outlineLevel="0" max="16" min="16" style="0" width="6.71"/>
    <col collapsed="false" customWidth="true" hidden="false" outlineLevel="0" max="17" min="17" style="0" width="7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262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189</v>
      </c>
      <c r="F4" s="155" t="s">
        <v>12</v>
      </c>
      <c r="G4" s="155" t="s">
        <v>10</v>
      </c>
      <c r="H4" s="160" t="s">
        <v>189</v>
      </c>
      <c r="I4" s="155" t="s">
        <v>13</v>
      </c>
      <c r="J4" s="155" t="s">
        <v>10</v>
      </c>
      <c r="K4" s="160" t="s">
        <v>189</v>
      </c>
      <c r="L4" s="155" t="s">
        <v>13</v>
      </c>
      <c r="M4" s="155" t="s">
        <v>10</v>
      </c>
      <c r="N4" s="160" t="s">
        <v>189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16.5" hidden="false" customHeight="false" outlineLevel="0" collapsed="false">
      <c r="A10" s="163" t="n">
        <v>1</v>
      </c>
      <c r="B10" s="164" t="s">
        <v>213</v>
      </c>
      <c r="C10" s="161" t="n">
        <f aca="false">C139</f>
        <v>164640690</v>
      </c>
      <c r="D10" s="161" t="n">
        <f aca="false">D139</f>
        <v>163495855</v>
      </c>
      <c r="E10" s="165" t="n">
        <f aca="false">E139</f>
        <v>0.700222644788155</v>
      </c>
      <c r="F10" s="161" t="n">
        <f aca="false">F139</f>
        <v>14500065</v>
      </c>
      <c r="G10" s="166" t="n">
        <f aca="false">G139</f>
        <v>15010466</v>
      </c>
      <c r="H10" s="167" t="n">
        <f aca="false">H139</f>
        <v>-3.4003008301008</v>
      </c>
      <c r="I10" s="166" t="n">
        <f aca="false">I139</f>
        <v>151729445</v>
      </c>
      <c r="J10" s="166" t="n">
        <f aca="false">J139</f>
        <v>152195971</v>
      </c>
      <c r="K10" s="167" t="n">
        <f aca="false">K139</f>
        <v>-0.306529796376807</v>
      </c>
      <c r="L10" s="161" t="n">
        <f aca="false">L139</f>
        <v>106128935</v>
      </c>
      <c r="M10" s="161" t="n">
        <f aca="false">M139</f>
        <v>96545925</v>
      </c>
      <c r="N10" s="165" t="n">
        <f aca="false">N139</f>
        <v>9.92585652890064</v>
      </c>
      <c r="O10" s="161" t="n">
        <f aca="false">O139</f>
        <v>5990</v>
      </c>
      <c r="P10" s="165" t="n">
        <f aca="false">P139</f>
        <v>173.502671118531</v>
      </c>
      <c r="Q10" s="161" t="n">
        <f aca="false">Q139</f>
        <v>5929</v>
      </c>
      <c r="R10" s="161" t="n">
        <f aca="false">R139</f>
        <v>1039281</v>
      </c>
    </row>
    <row r="11" customFormat="false" ht="16.5" hidden="false" customHeight="false" outlineLevel="0" collapsed="false">
      <c r="A11" s="163"/>
      <c r="B11" s="164" t="s">
        <v>15</v>
      </c>
      <c r="C11" s="161" t="n">
        <f aca="false">C150</f>
        <v>146778958</v>
      </c>
      <c r="D11" s="161" t="n">
        <f aca="false">D150</f>
        <v>148995634</v>
      </c>
      <c r="E11" s="165" t="n">
        <f aca="false">E150</f>
        <v>-1.48774560736457</v>
      </c>
      <c r="F11" s="161" t="n">
        <f aca="false">F150</f>
        <v>12450864</v>
      </c>
      <c r="G11" s="161" t="n">
        <f aca="false">G150</f>
        <v>14165885</v>
      </c>
      <c r="H11" s="165" t="n">
        <f aca="false">H150</f>
        <v>-12.1066985931341</v>
      </c>
      <c r="I11" s="161" t="n">
        <f aca="false">I150</f>
        <v>141821895</v>
      </c>
      <c r="J11" s="161" t="n">
        <f aca="false">J150</f>
        <v>148423350</v>
      </c>
      <c r="K11" s="165" t="n">
        <f aca="false">K150</f>
        <v>-4.44771998475981</v>
      </c>
      <c r="L11" s="161" t="n">
        <f aca="false">L150</f>
        <v>133789706</v>
      </c>
      <c r="M11" s="161" t="n">
        <f aca="false">M150</f>
        <v>141798742</v>
      </c>
      <c r="N11" s="165" t="n">
        <f aca="false">N150</f>
        <v>-5.6481714062033</v>
      </c>
      <c r="O11" s="161" t="n">
        <f aca="false">O150</f>
        <v>3631</v>
      </c>
      <c r="P11" s="161" t="n">
        <f aca="false">P150</f>
        <v>130.586615257505</v>
      </c>
      <c r="Q11" s="161" t="n">
        <f aca="false">Q150</f>
        <v>3712</v>
      </c>
      <c r="R11" s="168" t="n">
        <f aca="false">O11*P11</f>
        <v>474160</v>
      </c>
    </row>
    <row r="12" customFormat="false" ht="16.5" hidden="false" customHeight="false" outlineLevel="0" collapsed="false">
      <c r="A12" s="163" t="n">
        <v>2</v>
      </c>
      <c r="B12" s="164" t="s">
        <v>16</v>
      </c>
      <c r="C12" s="161" t="n">
        <f aca="false">C162</f>
        <v>15244191</v>
      </c>
      <c r="D12" s="161" t="n">
        <f aca="false">D162</f>
        <v>12563366</v>
      </c>
      <c r="E12" s="165" t="n">
        <f aca="false">E162</f>
        <v>21.3384295259726</v>
      </c>
      <c r="F12" s="161" t="n">
        <f aca="false">F162</f>
        <v>1587623</v>
      </c>
      <c r="G12" s="166" t="n">
        <f aca="false">G162</f>
        <v>1136729</v>
      </c>
      <c r="H12" s="167" t="n">
        <f aca="false">H162</f>
        <v>39.6659186138473</v>
      </c>
      <c r="I12" s="166" t="n">
        <f aca="false">I162</f>
        <v>14217736</v>
      </c>
      <c r="J12" s="166" t="n">
        <f aca="false">J162</f>
        <v>13182293</v>
      </c>
      <c r="K12" s="167" t="n">
        <f aca="false">K162</f>
        <v>7.85480189220496</v>
      </c>
      <c r="L12" s="161" t="n">
        <f aca="false">L162</f>
        <v>6043518</v>
      </c>
      <c r="M12" s="161" t="n">
        <f aca="false">M162</f>
        <v>3663135</v>
      </c>
      <c r="N12" s="165" t="n">
        <f aca="false">N162</f>
        <v>64.9821259658735</v>
      </c>
      <c r="O12" s="161" t="n">
        <f aca="false">O162</f>
        <v>1491</v>
      </c>
      <c r="P12" s="165" t="n">
        <f aca="false">P162</f>
        <v>97.4969818913481</v>
      </c>
      <c r="Q12" s="161" t="n">
        <f aca="false">Q162</f>
        <v>1497</v>
      </c>
      <c r="R12" s="168" t="n">
        <f aca="false">O12*P12</f>
        <v>145368</v>
      </c>
    </row>
    <row r="13" customFormat="false" ht="33" hidden="false" customHeight="false" outlineLevel="0" collapsed="false">
      <c r="A13" s="163" t="n">
        <v>3</v>
      </c>
      <c r="B13" s="164" t="s">
        <v>17</v>
      </c>
      <c r="C13" s="161" t="n">
        <f aca="false">C210</f>
        <v>12998593</v>
      </c>
      <c r="D13" s="161" t="n">
        <f aca="false">D210</f>
        <v>11618659</v>
      </c>
      <c r="E13" s="165" t="n">
        <f aca="false">E210</f>
        <v>11.8768783901825</v>
      </c>
      <c r="F13" s="161" t="n">
        <f aca="false">F210</f>
        <v>2762469</v>
      </c>
      <c r="G13" s="161" t="n">
        <f aca="false">G210</f>
        <v>2251995</v>
      </c>
      <c r="H13" s="161" t="n">
        <f aca="false">H210</f>
        <v>22.6676346972351</v>
      </c>
      <c r="I13" s="161" t="n">
        <f aca="false">I210</f>
        <v>13907837</v>
      </c>
      <c r="J13" s="161" t="n">
        <f aca="false">J210</f>
        <v>12119173</v>
      </c>
      <c r="K13" s="165" t="n">
        <f aca="false">K210</f>
        <v>14.7589608630886</v>
      </c>
      <c r="L13" s="161" t="n">
        <f aca="false">L210</f>
        <v>7281100</v>
      </c>
      <c r="M13" s="161" t="n">
        <f aca="false">M210</f>
        <v>6245917</v>
      </c>
      <c r="N13" s="165" t="n">
        <f aca="false">N210</f>
        <v>16.5737553028642</v>
      </c>
      <c r="O13" s="161" t="n">
        <f aca="false">O210</f>
        <v>693</v>
      </c>
      <c r="P13" s="161" t="n">
        <f aca="false">P210</f>
        <v>95.0865800865801</v>
      </c>
      <c r="Q13" s="161" t="n">
        <f aca="false">Q210</f>
        <v>583</v>
      </c>
      <c r="R13" s="161" t="n">
        <f aca="false">R210</f>
        <v>65895</v>
      </c>
    </row>
    <row r="14" customFormat="false" ht="33" hidden="false" customHeight="false" outlineLevel="0" collapsed="false">
      <c r="A14" s="163" t="n">
        <v>4</v>
      </c>
      <c r="B14" s="164" t="s">
        <v>229</v>
      </c>
      <c r="C14" s="161" t="n">
        <f aca="false">C55</f>
        <v>2930765</v>
      </c>
      <c r="D14" s="166" t="n">
        <f aca="false">D55</f>
        <v>3924142</v>
      </c>
      <c r="E14" s="167" t="n">
        <f aca="false">E55</f>
        <v>-25.3145018707274</v>
      </c>
      <c r="F14" s="166" t="n">
        <f aca="false">F55</f>
        <v>175851</v>
      </c>
      <c r="G14" s="166" t="n">
        <f aca="false">G55</f>
        <v>449160</v>
      </c>
      <c r="H14" s="167" t="n">
        <f aca="false">H55</f>
        <v>-60.8489179802298</v>
      </c>
      <c r="I14" s="166" t="n">
        <f aca="false">I55</f>
        <v>2725432</v>
      </c>
      <c r="J14" s="166" t="n">
        <f aca="false">J55</f>
        <v>3236764</v>
      </c>
      <c r="K14" s="167" t="n">
        <f aca="false">K55</f>
        <v>-15.7976299785835</v>
      </c>
      <c r="L14" s="166" t="n">
        <f aca="false">L55</f>
        <v>1733602</v>
      </c>
      <c r="M14" s="166" t="n">
        <f aca="false">M55</f>
        <v>1870788</v>
      </c>
      <c r="N14" s="167" t="n">
        <f aca="false">N55</f>
        <v>-7.33305965186862</v>
      </c>
      <c r="O14" s="166" t="n">
        <f aca="false">O55</f>
        <v>935</v>
      </c>
      <c r="P14" s="167" t="n">
        <f aca="false">P55</f>
        <v>106.860962566845</v>
      </c>
      <c r="Q14" s="166" t="n">
        <f aca="false">Q55</f>
        <v>949</v>
      </c>
      <c r="R14" s="168" t="n">
        <f aca="false">O14*P14</f>
        <v>99915</v>
      </c>
    </row>
    <row r="15" customFormat="false" ht="16.5" hidden="false" customHeight="false" outlineLevel="0" collapsed="false">
      <c r="A15" s="163" t="n">
        <v>5</v>
      </c>
      <c r="B15" s="164" t="s">
        <v>19</v>
      </c>
      <c r="C15" s="161" t="n">
        <f aca="false">C67</f>
        <v>1516081</v>
      </c>
      <c r="D15" s="166" t="n">
        <f aca="false">D67</f>
        <v>1586959</v>
      </c>
      <c r="E15" s="167" t="n">
        <f aca="false">E67</f>
        <v>-4.46627795677142</v>
      </c>
      <c r="F15" s="166" t="n">
        <f aca="false">F67</f>
        <v>212499</v>
      </c>
      <c r="G15" s="166" t="n">
        <f aca="false">G67</f>
        <v>146379</v>
      </c>
      <c r="H15" s="167" t="n">
        <f aca="false">H67</f>
        <v>45.1704137888632</v>
      </c>
      <c r="I15" s="166" t="n">
        <f aca="false">I67</f>
        <v>1469622</v>
      </c>
      <c r="J15" s="166" t="n">
        <f aca="false">J67</f>
        <v>1743058</v>
      </c>
      <c r="K15" s="167" t="n">
        <f aca="false">K67</f>
        <v>-15.6871429407398</v>
      </c>
      <c r="L15" s="166" t="n">
        <f aca="false">L67</f>
        <v>868675</v>
      </c>
      <c r="M15" s="166" t="n">
        <f aca="false">M67</f>
        <v>1149666</v>
      </c>
      <c r="N15" s="167" t="n">
        <f aca="false">N67</f>
        <v>-24.4410985451427</v>
      </c>
      <c r="O15" s="166" t="n">
        <f aca="false">O67</f>
        <v>554</v>
      </c>
      <c r="P15" s="167" t="n">
        <f aca="false">P67</f>
        <v>104.240072202166</v>
      </c>
      <c r="Q15" s="166" t="n">
        <f aca="false">Q67</f>
        <v>559</v>
      </c>
      <c r="R15" s="168" t="n">
        <f aca="false">O15*P15</f>
        <v>57749</v>
      </c>
    </row>
    <row r="16" customFormat="false" ht="16.5" hidden="false" customHeight="false" outlineLevel="0" collapsed="false">
      <c r="A16" s="163" t="n">
        <v>6</v>
      </c>
      <c r="B16" s="164" t="s">
        <v>20</v>
      </c>
      <c r="C16" s="161" t="n">
        <f aca="false">C78</f>
        <v>1470450</v>
      </c>
      <c r="D16" s="166" t="n">
        <f aca="false">D78</f>
        <v>1728804</v>
      </c>
      <c r="E16" s="167" t="n">
        <f aca="false">E78</f>
        <v>-14.9440885143718</v>
      </c>
      <c r="F16" s="166" t="n">
        <f aca="false">F78</f>
        <v>169016</v>
      </c>
      <c r="G16" s="166" t="n">
        <f aca="false">G78</f>
        <v>181328</v>
      </c>
      <c r="H16" s="167" t="n">
        <f aca="false">H78</f>
        <v>-6.7899055854584</v>
      </c>
      <c r="I16" s="166" t="n">
        <f aca="false">I78</f>
        <v>1638672</v>
      </c>
      <c r="J16" s="166" t="n">
        <f aca="false">J78</f>
        <v>1791654</v>
      </c>
      <c r="K16" s="167" t="n">
        <f aca="false">K78</f>
        <v>-8.53859059840795</v>
      </c>
      <c r="L16" s="166" t="n">
        <f aca="false">L78</f>
        <v>820189</v>
      </c>
      <c r="M16" s="166" t="n">
        <f aca="false">M78</f>
        <v>938584</v>
      </c>
      <c r="N16" s="167" t="n">
        <f aca="false">N78</f>
        <v>-12.6142146041271</v>
      </c>
      <c r="O16" s="166" t="n">
        <f aca="false">O78</f>
        <v>529</v>
      </c>
      <c r="P16" s="167" t="n">
        <f aca="false">P78</f>
        <v>101.361058601134</v>
      </c>
      <c r="Q16" s="166" t="n">
        <f aca="false">Q78</f>
        <v>519</v>
      </c>
      <c r="R16" s="168" t="n">
        <f aca="false">O16*P16</f>
        <v>53620</v>
      </c>
    </row>
    <row r="17" customFormat="false" ht="16.5" hidden="false" customHeight="false" outlineLevel="0" collapsed="false">
      <c r="A17" s="163" t="n">
        <v>7</v>
      </c>
      <c r="B17" s="164" t="s">
        <v>21</v>
      </c>
      <c r="C17" s="161" t="n">
        <f aca="false">C93</f>
        <v>6373903</v>
      </c>
      <c r="D17" s="166" t="n">
        <f aca="false">D93</f>
        <v>5991698</v>
      </c>
      <c r="E17" s="167" t="n">
        <f aca="false">E93</f>
        <v>6.37890961794136</v>
      </c>
      <c r="F17" s="166" t="n">
        <f aca="false">F93</f>
        <v>656154</v>
      </c>
      <c r="G17" s="166" t="n">
        <f aca="false">G93</f>
        <v>731819</v>
      </c>
      <c r="H17" s="167" t="n">
        <f aca="false">H93</f>
        <v>-10.3393052107147</v>
      </c>
      <c r="I17" s="166" t="n">
        <f aca="false">I93</f>
        <v>9822301</v>
      </c>
      <c r="J17" s="166" t="n">
        <f aca="false">J93</f>
        <v>9846369</v>
      </c>
      <c r="K17" s="167" t="n">
        <f aca="false">K93</f>
        <v>-0.244435283707119</v>
      </c>
      <c r="L17" s="166" t="n">
        <f aca="false">L93</f>
        <v>3073519</v>
      </c>
      <c r="M17" s="166" t="n">
        <f aca="false">M93</f>
        <v>2840881</v>
      </c>
      <c r="N17" s="167" t="n">
        <f aca="false">N93</f>
        <v>8.1889385722246</v>
      </c>
      <c r="O17" s="166" t="n">
        <f aca="false">O93</f>
        <v>3883</v>
      </c>
      <c r="P17" s="167" t="n">
        <f aca="false">P93</f>
        <v>115.849600824105</v>
      </c>
      <c r="Q17" s="166" t="n">
        <f aca="false">Q93</f>
        <v>3884</v>
      </c>
      <c r="R17" s="168" t="n">
        <f aca="false">O17*P17</f>
        <v>449844</v>
      </c>
    </row>
    <row r="18" customFormat="false" ht="33" hidden="false" customHeight="false" outlineLevel="0" collapsed="false">
      <c r="A18" s="163" t="n">
        <v>8</v>
      </c>
      <c r="B18" s="164" t="s">
        <v>22</v>
      </c>
      <c r="C18" s="161" t="n">
        <f aca="false">C191</f>
        <v>114373703</v>
      </c>
      <c r="D18" s="161" t="n">
        <f aca="false">D191</f>
        <v>95786870</v>
      </c>
      <c r="E18" s="165" t="n">
        <f aca="false">E191</f>
        <v>19.4043640845556</v>
      </c>
      <c r="F18" s="161" t="n">
        <f aca="false">F191</f>
        <v>12746102</v>
      </c>
      <c r="G18" s="161" t="n">
        <f aca="false">G191</f>
        <v>10453945</v>
      </c>
      <c r="H18" s="165" t="n">
        <f aca="false">H191</f>
        <v>21.9262393287893</v>
      </c>
      <c r="I18" s="161" t="n">
        <f aca="false">I191</f>
        <v>100045013</v>
      </c>
      <c r="J18" s="161" t="n">
        <f aca="false">J191</f>
        <v>82384300</v>
      </c>
      <c r="K18" s="165" t="n">
        <f aca="false">K191</f>
        <v>21.4369886009834</v>
      </c>
      <c r="L18" s="161" t="n">
        <f aca="false">L191</f>
        <v>47112953</v>
      </c>
      <c r="M18" s="161" t="n">
        <f aca="false">M191</f>
        <v>36998584</v>
      </c>
      <c r="N18" s="165" t="n">
        <f aca="false">N191</f>
        <v>27.3371786336472</v>
      </c>
      <c r="O18" s="161" t="n">
        <f aca="false">O191</f>
        <v>5433</v>
      </c>
      <c r="P18" s="165" t="n">
        <f aca="false">P191</f>
        <v>54.8746548868029</v>
      </c>
      <c r="Q18" s="161" t="n">
        <f aca="false">Q191</f>
        <v>5781</v>
      </c>
      <c r="R18" s="161" t="n">
        <f aca="false">R191</f>
        <v>298134</v>
      </c>
    </row>
    <row r="19" customFormat="false" ht="33" hidden="false" customHeight="false" outlineLevel="0" collapsed="false">
      <c r="A19" s="163" t="n">
        <v>9</v>
      </c>
      <c r="B19" s="164" t="s">
        <v>23</v>
      </c>
      <c r="C19" s="161" t="n">
        <f aca="false">C121</f>
        <v>3286626</v>
      </c>
      <c r="D19" s="166" t="n">
        <f aca="false">D121</f>
        <v>3349794</v>
      </c>
      <c r="E19" s="167" t="n">
        <f aca="false">E121</f>
        <v>-1.88572789849168</v>
      </c>
      <c r="F19" s="166" t="n">
        <f aca="false">F121</f>
        <v>428737</v>
      </c>
      <c r="G19" s="166" t="n">
        <f aca="false">G121</f>
        <v>350262</v>
      </c>
      <c r="H19" s="167" t="n">
        <f aca="false">H121</f>
        <v>22.4046570852676</v>
      </c>
      <c r="I19" s="166" t="n">
        <f aca="false">I121</f>
        <v>6703716</v>
      </c>
      <c r="J19" s="166" t="n">
        <f aca="false">J121</f>
        <v>3432092</v>
      </c>
      <c r="K19" s="167" t="n">
        <f aca="false">K121</f>
        <v>95.3244843086957</v>
      </c>
      <c r="L19" s="166" t="n">
        <f aca="false">L121</f>
        <v>1826459</v>
      </c>
      <c r="M19" s="166" t="n">
        <f aca="false">M121</f>
        <v>1636045</v>
      </c>
      <c r="N19" s="167" t="n">
        <f aca="false">N121</f>
        <v>11.6386774202421</v>
      </c>
      <c r="O19" s="166" t="n">
        <f aca="false">O121</f>
        <v>1663</v>
      </c>
      <c r="P19" s="167" t="n">
        <f aca="false">P121</f>
        <v>82.8346361996392</v>
      </c>
      <c r="Q19" s="166" t="n">
        <f aca="false">Q121</f>
        <v>1670</v>
      </c>
      <c r="R19" s="168" t="n">
        <f aca="false">O19*P19</f>
        <v>137754</v>
      </c>
    </row>
    <row r="20" customFormat="false" ht="16.5" hidden="false" customHeight="false" outlineLevel="0" collapsed="false">
      <c r="A20" s="163" t="n">
        <v>10</v>
      </c>
      <c r="B20" s="164" t="s">
        <v>24</v>
      </c>
      <c r="C20" s="161" t="n">
        <f aca="false">C131</f>
        <v>148836</v>
      </c>
      <c r="D20" s="166" t="n">
        <f aca="false">D131</f>
        <v>228530</v>
      </c>
      <c r="E20" s="167" t="n">
        <f aca="false">E131</f>
        <v>-34.8724456307706</v>
      </c>
      <c r="F20" s="166" t="n">
        <f aca="false">F131</f>
        <v>8097</v>
      </c>
      <c r="G20" s="166" t="n">
        <f aca="false">G131</f>
        <v>7703</v>
      </c>
      <c r="H20" s="167" t="n">
        <f aca="false">H131</f>
        <v>5.11489030247955</v>
      </c>
      <c r="I20" s="166" t="n">
        <f aca="false">I131</f>
        <v>132943</v>
      </c>
      <c r="J20" s="166" t="n">
        <f aca="false">J131</f>
        <v>258724</v>
      </c>
      <c r="K20" s="167" t="n">
        <f aca="false">K131</f>
        <v>-48.6158995686523</v>
      </c>
      <c r="L20" s="166" t="n">
        <f aca="false">L131</f>
        <v>29329</v>
      </c>
      <c r="M20" s="166" t="n">
        <f aca="false">M131</f>
        <v>0</v>
      </c>
      <c r="N20" s="167" t="n">
        <f aca="false">N131</f>
        <v>0</v>
      </c>
      <c r="O20" s="166" t="n">
        <f aca="false">O131</f>
        <v>150</v>
      </c>
      <c r="P20" s="167" t="n">
        <f aca="false">P131</f>
        <v>79.8666666666667</v>
      </c>
      <c r="Q20" s="166" t="n">
        <f aca="false">Q131</f>
        <v>105</v>
      </c>
      <c r="R20" s="168" t="n">
        <f aca="false">O20*P20</f>
        <v>11980</v>
      </c>
    </row>
    <row r="21" customFormat="false" ht="33" hidden="false" customHeight="false" outlineLevel="0" collapsed="false">
      <c r="A21" s="163" t="n">
        <v>11</v>
      </c>
      <c r="B21" s="164" t="s">
        <v>25</v>
      </c>
      <c r="C21" s="161" t="n">
        <f aca="false">C223</f>
        <v>1065779.3</v>
      </c>
      <c r="D21" s="166" t="n">
        <f aca="false">D223</f>
        <v>1111521</v>
      </c>
      <c r="E21" s="167" t="n">
        <f aca="false">E223</f>
        <v>-4.11523488984913</v>
      </c>
      <c r="F21" s="166" t="n">
        <f aca="false">F223</f>
        <v>133228</v>
      </c>
      <c r="G21" s="166" t="n">
        <f aca="false">G223</f>
        <v>99657</v>
      </c>
      <c r="H21" s="167" t="n">
        <f aca="false">H223</f>
        <v>33.6865448488315</v>
      </c>
      <c r="I21" s="166" t="n">
        <f aca="false">I223</f>
        <v>686753</v>
      </c>
      <c r="J21" s="166" t="n">
        <f aca="false">J223</f>
        <v>760585</v>
      </c>
      <c r="K21" s="167" t="n">
        <f aca="false">K223</f>
        <v>-9.70726480275052</v>
      </c>
      <c r="L21" s="166" t="n">
        <f aca="false">L223</f>
        <v>4630</v>
      </c>
      <c r="M21" s="166" t="n">
        <f aca="false">M223</f>
        <v>106796</v>
      </c>
      <c r="N21" s="167" t="n">
        <f aca="false">N223</f>
        <v>-95.6646316341436</v>
      </c>
      <c r="O21" s="166" t="n">
        <f aca="false">O223</f>
        <v>504</v>
      </c>
      <c r="P21" s="167" t="n">
        <f aca="false">P223</f>
        <v>201.078968253968</v>
      </c>
      <c r="Q21" s="166" t="n">
        <f aca="false">Q223</f>
        <v>527</v>
      </c>
      <c r="R21" s="168" t="n">
        <f aca="false">O21*P21</f>
        <v>101343.8</v>
      </c>
    </row>
    <row r="22" customFormat="false" ht="16.5" hidden="false" customHeight="false" outlineLevel="0" collapsed="false">
      <c r="A22" s="163" t="n">
        <v>12</v>
      </c>
      <c r="B22" s="164" t="s">
        <v>26</v>
      </c>
      <c r="C22" s="161" t="n">
        <f aca="false">C228</f>
        <v>256685</v>
      </c>
      <c r="D22" s="166" t="n">
        <f aca="false">D228</f>
        <v>301113</v>
      </c>
      <c r="E22" s="167" t="n">
        <f aca="false">E228</f>
        <v>-14.7545937903711</v>
      </c>
      <c r="F22" s="166" t="n">
        <f aca="false">F228</f>
        <v>49605</v>
      </c>
      <c r="G22" s="166" t="n">
        <f aca="false">G228</f>
        <v>31895</v>
      </c>
      <c r="H22" s="167" t="n">
        <f aca="false">H228</f>
        <v>55.5259445054084</v>
      </c>
      <c r="I22" s="166" t="n">
        <f aca="false">I228</f>
        <v>253843</v>
      </c>
      <c r="J22" s="166" t="n">
        <f aca="false">J228</f>
        <v>299147</v>
      </c>
      <c r="K22" s="167" t="n">
        <f aca="false">K228</f>
        <v>-15.1443938933033</v>
      </c>
      <c r="L22" s="166" t="n">
        <f aca="false">L228</f>
        <v>18568</v>
      </c>
      <c r="M22" s="166" t="n">
        <f aca="false">M228</f>
        <v>6831</v>
      </c>
      <c r="N22" s="167" t="n">
        <f aca="false">N228</f>
        <v>171.819645732689</v>
      </c>
      <c r="O22" s="166" t="n">
        <f aca="false">O228</f>
        <v>185</v>
      </c>
      <c r="P22" s="167" t="n">
        <f aca="false">P228</f>
        <v>82</v>
      </c>
      <c r="Q22" s="166" t="n">
        <f aca="false">Q228</f>
        <v>173</v>
      </c>
      <c r="R22" s="168" t="n">
        <f aca="false">O22*P22</f>
        <v>15170</v>
      </c>
    </row>
    <row r="23" customFormat="false" ht="15" hidden="false" customHeight="false" outlineLevel="0" collapsed="false">
      <c r="A23" s="307"/>
      <c r="B23" s="308" t="s">
        <v>27</v>
      </c>
      <c r="C23" s="309" t="n">
        <f aca="false">SUM(C10:C22)</f>
        <v>471085260.3</v>
      </c>
      <c r="D23" s="309" t="n">
        <f aca="false">SUM(D10:D22)</f>
        <v>450682945</v>
      </c>
      <c r="E23" s="310" t="n">
        <f aca="false">C23/D23*100-100</f>
        <v>4.5269774519646</v>
      </c>
      <c r="F23" s="309" t="n">
        <f aca="false">SUM(F10:F22)</f>
        <v>45880310</v>
      </c>
      <c r="G23" s="309" t="n">
        <f aca="false">SUM(G10:G22)</f>
        <v>45017223</v>
      </c>
      <c r="H23" s="310" t="n">
        <f aca="false">F23/G23*100-100</f>
        <v>1.91723732048065</v>
      </c>
      <c r="I23" s="309" t="n">
        <f aca="false">SUM(I10:I22)</f>
        <v>445155208</v>
      </c>
      <c r="J23" s="309" t="n">
        <f aca="false">SUM(J10:J22)</f>
        <v>429673480</v>
      </c>
      <c r="K23" s="310" t="n">
        <f aca="false">I23/J23*100-100</f>
        <v>3.60313789903905</v>
      </c>
      <c r="L23" s="309" t="n">
        <f aca="false">SUM(L10:L22)</f>
        <v>308731183</v>
      </c>
      <c r="M23" s="309" t="n">
        <f aca="false">SUM(M10:M22)</f>
        <v>293801894</v>
      </c>
      <c r="N23" s="310" t="n">
        <f aca="false">L23/M23*100-100</f>
        <v>5.08141346427126</v>
      </c>
      <c r="O23" s="309" t="n">
        <f aca="false">SUM(O10:O22)</f>
        <v>25641</v>
      </c>
      <c r="P23" s="311" t="n">
        <f aca="false">R23/O23</f>
        <v>115.058453258453</v>
      </c>
      <c r="Q23" s="309" t="n">
        <f aca="false">SUM(Q10:Q22)</f>
        <v>25888</v>
      </c>
      <c r="R23" s="312" t="n">
        <f aca="false">SUM(R10:R22)</f>
        <v>2950213.8</v>
      </c>
    </row>
    <row r="24" customFormat="false" ht="15" hidden="false" customHeight="fals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15" hidden="false" customHeight="fals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5" hidden="false" customHeight="fals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15" hidden="false" customHeight="fals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fals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86.25" hidden="fals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22.5" hidden="false" customHeight="true" outlineLevel="0" collapsed="false">
      <c r="A30" s="399" t="s">
        <v>263</v>
      </c>
      <c r="B30" s="399"/>
      <c r="C30" s="399"/>
      <c r="D30" s="399"/>
      <c r="E30" s="399"/>
      <c r="F30" s="399"/>
      <c r="G30" s="399"/>
      <c r="H30" s="399"/>
      <c r="I30" s="399"/>
      <c r="J30" s="399"/>
      <c r="K30" s="399"/>
      <c r="L30" s="399"/>
      <c r="M30" s="399"/>
      <c r="N30" s="399"/>
      <c r="O30" s="399"/>
      <c r="P30" s="399"/>
      <c r="Q30" s="399"/>
      <c r="R30" s="179"/>
    </row>
    <row r="31" customFormat="false" ht="15" hidden="false" customHeight="false" outlineLevel="0" collapsed="false">
      <c r="A31" s="399"/>
      <c r="B31" s="399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399"/>
      <c r="P31" s="399"/>
      <c r="Q31" s="399"/>
      <c r="R31" s="179"/>
    </row>
    <row r="32" customFormat="false" ht="15.75" hidden="false" customHeight="true" outlineLevel="0" collapsed="false">
      <c r="A32" s="399"/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180"/>
    </row>
    <row r="33" customFormat="false" ht="1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81.75" hidden="false" customHeight="true" outlineLevel="0" collapsed="false">
      <c r="A34" s="181"/>
      <c r="B34" s="182"/>
      <c r="C34" s="186" t="s">
        <v>9</v>
      </c>
      <c r="D34" s="186" t="s">
        <v>33</v>
      </c>
      <c r="E34" s="188" t="s">
        <v>189</v>
      </c>
      <c r="F34" s="186" t="s">
        <v>12</v>
      </c>
      <c r="G34" s="186" t="s">
        <v>35</v>
      </c>
      <c r="H34" s="188" t="s">
        <v>189</v>
      </c>
      <c r="I34" s="186" t="s">
        <v>13</v>
      </c>
      <c r="J34" s="186" t="s">
        <v>33</v>
      </c>
      <c r="K34" s="188" t="s">
        <v>189</v>
      </c>
      <c r="L34" s="186" t="s">
        <v>13</v>
      </c>
      <c r="M34" s="186" t="s">
        <v>33</v>
      </c>
      <c r="N34" s="188" t="s">
        <v>189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110954</v>
      </c>
      <c r="D37" s="200" t="n">
        <v>148102</v>
      </c>
      <c r="E37" s="201" t="n">
        <f aca="false">C37/D37*100-100</f>
        <v>-25.0827132651821</v>
      </c>
      <c r="F37" s="200" t="n">
        <v>9008</v>
      </c>
      <c r="G37" s="200" t="n">
        <v>12864</v>
      </c>
      <c r="H37" s="201" t="n">
        <f aca="false">F37/G37*100-100</f>
        <v>-29.9751243781095</v>
      </c>
      <c r="I37" s="200" t="n">
        <v>105954</v>
      </c>
      <c r="J37" s="200" t="n">
        <v>148102</v>
      </c>
      <c r="K37" s="201" t="n">
        <f aca="false">I37/J37*100-100</f>
        <v>-28.458764905268</v>
      </c>
      <c r="L37" s="200" t="n">
        <v>1672</v>
      </c>
      <c r="M37" s="200" t="n">
        <v>7391</v>
      </c>
      <c r="N37" s="201" t="n">
        <f aca="false">L37/M37*100-100</f>
        <v>-77.3778920308483</v>
      </c>
      <c r="O37" s="200" t="n">
        <v>72</v>
      </c>
      <c r="P37" s="200" t="n">
        <v>115</v>
      </c>
      <c r="Q37" s="200" t="n">
        <v>75</v>
      </c>
      <c r="R37" s="202" t="n">
        <f aca="false">O37*P37</f>
        <v>8280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299378</v>
      </c>
      <c r="D38" s="200" t="n">
        <v>329594</v>
      </c>
      <c r="E38" s="201" t="n">
        <f aca="false">C38/D38*100-100</f>
        <v>-9.16764261485342</v>
      </c>
      <c r="F38" s="200" t="n">
        <v>17142</v>
      </c>
      <c r="G38" s="200" t="n">
        <v>54682</v>
      </c>
      <c r="H38" s="201" t="n">
        <f aca="false">F38/G38*100-100</f>
        <v>-68.6514758055667</v>
      </c>
      <c r="I38" s="200" t="n">
        <v>29448</v>
      </c>
      <c r="J38" s="200" t="n">
        <v>299378</v>
      </c>
      <c r="K38" s="201" t="n">
        <f aca="false">I38/J38*100-100</f>
        <v>-90.1636058761833</v>
      </c>
      <c r="L38" s="200" t="n">
        <v>170885</v>
      </c>
      <c r="M38" s="200" t="n">
        <v>190068</v>
      </c>
      <c r="N38" s="201" t="n">
        <v>0</v>
      </c>
      <c r="O38" s="203" t="n">
        <v>91</v>
      </c>
      <c r="P38" s="204" t="n">
        <v>171</v>
      </c>
      <c r="Q38" s="203" t="n">
        <v>93</v>
      </c>
      <c r="R38" s="202" t="n">
        <f aca="false">O38*P38</f>
        <v>15561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62697</v>
      </c>
      <c r="D39" s="200" t="n">
        <v>89845</v>
      </c>
      <c r="E39" s="201" t="n">
        <f aca="false">C39/D39*100-100</f>
        <v>-30.2164839445712</v>
      </c>
      <c r="F39" s="200" t="n">
        <v>1474</v>
      </c>
      <c r="G39" s="200" t="n">
        <v>10735</v>
      </c>
      <c r="H39" s="201" t="n">
        <f aca="false">F39/G39*100-100</f>
        <v>-86.2692128551467</v>
      </c>
      <c r="I39" s="200" t="n">
        <v>100300</v>
      </c>
      <c r="J39" s="200" t="n">
        <v>127611</v>
      </c>
      <c r="K39" s="201" t="n">
        <f aca="false">I39/J39*100-100</f>
        <v>-21.4017600363605</v>
      </c>
      <c r="L39" s="200" t="n">
        <v>0</v>
      </c>
      <c r="M39" s="200" t="n">
        <v>0</v>
      </c>
      <c r="N39" s="201" t="n">
        <v>0</v>
      </c>
      <c r="O39" s="203" t="n">
        <v>32</v>
      </c>
      <c r="P39" s="204" t="n">
        <v>90</v>
      </c>
      <c r="Q39" s="203" t="n">
        <v>33</v>
      </c>
      <c r="R39" s="202" t="n">
        <f aca="false">O39*P39</f>
        <v>2880</v>
      </c>
    </row>
    <row r="40" customFormat="false" ht="15" hidden="false" customHeight="false" outlineLevel="0" collapsed="false">
      <c r="A40" s="198" t="n">
        <v>4</v>
      </c>
      <c r="B40" s="199" t="s">
        <v>215</v>
      </c>
      <c r="C40" s="200" t="n">
        <v>24230</v>
      </c>
      <c r="D40" s="200" t="n">
        <v>20750</v>
      </c>
      <c r="E40" s="201" t="n">
        <f aca="false">C40/D40*100-100</f>
        <v>16.7710843373494</v>
      </c>
      <c r="F40" s="200" t="n">
        <v>2400</v>
      </c>
      <c r="G40" s="200" t="n">
        <v>3500</v>
      </c>
      <c r="H40" s="201" t="n">
        <f aca="false">F40/G40*100-100</f>
        <v>-31.4285714285714</v>
      </c>
      <c r="I40" s="200" t="n">
        <v>23697</v>
      </c>
      <c r="J40" s="200" t="n">
        <v>24653</v>
      </c>
      <c r="K40" s="201" t="n">
        <f aca="false">I40/J40*100-100</f>
        <v>-3.87782419989453</v>
      </c>
      <c r="L40" s="200" t="n">
        <v>23697</v>
      </c>
      <c r="M40" s="200" t="n">
        <v>24653</v>
      </c>
      <c r="N40" s="201" t="n">
        <v>0</v>
      </c>
      <c r="O40" s="203" t="n">
        <v>14</v>
      </c>
      <c r="P40" s="204" t="n">
        <v>60</v>
      </c>
      <c r="Q40" s="203" t="n">
        <v>14</v>
      </c>
      <c r="R40" s="202" t="n">
        <f aca="false">O40*P40</f>
        <v>840</v>
      </c>
    </row>
    <row r="41" customFormat="false" ht="15" hidden="false" customHeight="false" outlineLevel="0" collapsed="false">
      <c r="A41" s="198" t="n">
        <v>5</v>
      </c>
      <c r="B41" s="199" t="s">
        <v>248</v>
      </c>
      <c r="C41" s="206" t="n">
        <v>37520</v>
      </c>
      <c r="D41" s="206" t="n">
        <v>48656</v>
      </c>
      <c r="E41" s="201" t="n">
        <f aca="false">C41/D41*100-100</f>
        <v>-22.8872081552121</v>
      </c>
      <c r="F41" s="206" t="n">
        <v>3000</v>
      </c>
      <c r="G41" s="206" t="n">
        <v>4063</v>
      </c>
      <c r="H41" s="201" t="n">
        <f aca="false">F41/G41*100-100</f>
        <v>-26.162933792764</v>
      </c>
      <c r="I41" s="206" t="n">
        <v>51460</v>
      </c>
      <c r="J41" s="206" t="n">
        <v>93799</v>
      </c>
      <c r="K41" s="201" t="n">
        <f aca="false">I41/J41*100-100</f>
        <v>-45.1380078678877</v>
      </c>
      <c r="L41" s="206" t="n">
        <v>5695</v>
      </c>
      <c r="M41" s="206" t="n">
        <f aca="false">7464+3044</f>
        <v>10508</v>
      </c>
      <c r="N41" s="201" t="n">
        <f aca="false">L41/M41*100-100</f>
        <v>-45.8031975637609</v>
      </c>
      <c r="O41" s="203" t="n">
        <v>58</v>
      </c>
      <c r="P41" s="204" t="n">
        <v>68</v>
      </c>
      <c r="Q41" s="203" t="n">
        <v>58</v>
      </c>
      <c r="R41" s="202" t="n">
        <f aca="false">O41*P41</f>
        <v>3944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127898</v>
      </c>
      <c r="D42" s="200" t="n">
        <v>96758</v>
      </c>
      <c r="E42" s="201" t="n">
        <f aca="false">C42/D42*100-100</f>
        <v>32.1833853531491</v>
      </c>
      <c r="F42" s="200" t="n">
        <v>8884</v>
      </c>
      <c r="G42" s="200" t="n">
        <v>12926</v>
      </c>
      <c r="H42" s="201" t="n">
        <f aca="false">F42/G42*100-100</f>
        <v>-31.2703079065449</v>
      </c>
      <c r="I42" s="200" t="n">
        <v>121174</v>
      </c>
      <c r="J42" s="200" t="n">
        <v>93799</v>
      </c>
      <c r="K42" s="201" t="n">
        <f aca="false">I42/J42*100-100</f>
        <v>29.1847461060352</v>
      </c>
      <c r="L42" s="200" t="n">
        <v>0</v>
      </c>
      <c r="M42" s="200" t="n">
        <v>1888</v>
      </c>
      <c r="N42" s="201" t="n">
        <v>0</v>
      </c>
      <c r="O42" s="203" t="n">
        <v>66</v>
      </c>
      <c r="P42" s="204" t="n">
        <v>90</v>
      </c>
      <c r="Q42" s="203" t="n">
        <v>67</v>
      </c>
      <c r="R42" s="202" t="n">
        <f aca="false">O42*P42</f>
        <v>5940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0</v>
      </c>
      <c r="D43" s="200" t="n">
        <v>0</v>
      </c>
      <c r="E43" s="201" t="n">
        <v>0</v>
      </c>
      <c r="F43" s="200" t="n">
        <v>0</v>
      </c>
      <c r="G43" s="200" t="n">
        <v>0</v>
      </c>
      <c r="H43" s="201" t="n">
        <v>0</v>
      </c>
      <c r="I43" s="200" t="n">
        <v>0</v>
      </c>
      <c r="J43" s="200" t="n">
        <v>0</v>
      </c>
      <c r="K43" s="201" t="n">
        <v>0</v>
      </c>
      <c r="L43" s="200" t="n">
        <v>0</v>
      </c>
      <c r="M43" s="200" t="n">
        <v>0</v>
      </c>
      <c r="N43" s="201" t="n">
        <v>0</v>
      </c>
      <c r="O43" s="203" t="n">
        <v>0</v>
      </c>
      <c r="P43" s="204" t="n">
        <v>0</v>
      </c>
      <c r="Q43" s="203" t="n">
        <v>0</v>
      </c>
      <c r="R43" s="202" t="n">
        <f aca="false">O43*P43</f>
        <v>0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6" t="n">
        <v>126913</v>
      </c>
      <c r="D44" s="206" t="n">
        <v>99658</v>
      </c>
      <c r="E44" s="201" t="n">
        <f aca="false">C44/D44*100-100</f>
        <v>27.3485319793694</v>
      </c>
      <c r="F44" s="206" t="n">
        <v>17653</v>
      </c>
      <c r="G44" s="206" t="n">
        <v>12955</v>
      </c>
      <c r="H44" s="201" t="n">
        <f aca="false">F44/G44*100-100</f>
        <v>36.2639907371671</v>
      </c>
      <c r="I44" s="206" t="n">
        <v>126913</v>
      </c>
      <c r="J44" s="206" t="n">
        <v>102796</v>
      </c>
      <c r="K44" s="201" t="n">
        <f aca="false">I44/J44*100-100</f>
        <v>23.4610296120472</v>
      </c>
      <c r="L44" s="200" t="n">
        <v>0</v>
      </c>
      <c r="M44" s="200" t="n">
        <v>0</v>
      </c>
      <c r="N44" s="201" t="n">
        <v>0</v>
      </c>
      <c r="O44" s="203" t="n">
        <v>44</v>
      </c>
      <c r="P44" s="204" t="n">
        <v>96</v>
      </c>
      <c r="Q44" s="203" t="n">
        <v>43</v>
      </c>
      <c r="R44" s="202" t="n">
        <f aca="false">O44*P44</f>
        <v>4224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242045</v>
      </c>
      <c r="D45" s="200" t="n">
        <v>251761</v>
      </c>
      <c r="E45" s="201" t="n">
        <f aca="false">C45/D45*100-100</f>
        <v>-3.85921568471686</v>
      </c>
      <c r="F45" s="208" t="n">
        <v>15755</v>
      </c>
      <c r="G45" s="200" t="n">
        <v>38002</v>
      </c>
      <c r="H45" s="201" t="n">
        <f aca="false">F45/G45*100-100</f>
        <v>-58.5416557023315</v>
      </c>
      <c r="I45" s="200" t="n">
        <v>216844</v>
      </c>
      <c r="J45" s="200" t="n">
        <v>203116</v>
      </c>
      <c r="K45" s="201" t="n">
        <f aca="false">I45/J45*100-100</f>
        <v>6.75869946237617</v>
      </c>
      <c r="L45" s="200" t="n">
        <v>0</v>
      </c>
      <c r="M45" s="200" t="n">
        <v>0</v>
      </c>
      <c r="N45" s="201" t="n">
        <v>0</v>
      </c>
      <c r="O45" s="203" t="n">
        <v>68</v>
      </c>
      <c r="P45" s="204" t="n">
        <v>140</v>
      </c>
      <c r="Q45" s="203" t="n">
        <v>68</v>
      </c>
      <c r="R45" s="202" t="n">
        <f aca="false">O45*P45</f>
        <v>9520</v>
      </c>
    </row>
    <row r="46" customFormat="false" ht="15" hidden="false" customHeight="false" outlineLevel="0" collapsed="false">
      <c r="A46" s="210" t="n">
        <v>10</v>
      </c>
      <c r="B46" s="199" t="s">
        <v>47</v>
      </c>
      <c r="C46" s="208" t="n">
        <v>695893</v>
      </c>
      <c r="D46" s="200" t="n">
        <v>995114</v>
      </c>
      <c r="E46" s="201" t="n">
        <f aca="false">C46/D46*100-100</f>
        <v>-30.0690172181278</v>
      </c>
      <c r="F46" s="208" t="n">
        <v>80811</v>
      </c>
      <c r="G46" s="200" t="n">
        <v>89465</v>
      </c>
      <c r="H46" s="201" t="n">
        <f aca="false">F46/G46*100-100</f>
        <v>-9.67305650254289</v>
      </c>
      <c r="I46" s="200" t="n">
        <v>715756</v>
      </c>
      <c r="J46" s="200" t="n">
        <v>821810</v>
      </c>
      <c r="K46" s="201" t="n">
        <f aca="false">I46/J46*100-100</f>
        <v>-12.9049293632348</v>
      </c>
      <c r="L46" s="200" t="n">
        <v>715658</v>
      </c>
      <c r="M46" s="200" t="n">
        <v>815732</v>
      </c>
      <c r="N46" s="201" t="n">
        <f aca="false">L46/M46*100-100</f>
        <v>-12.2679997842429</v>
      </c>
      <c r="O46" s="203" t="n">
        <v>180</v>
      </c>
      <c r="P46" s="204" t="n">
        <v>84</v>
      </c>
      <c r="Q46" s="203" t="n">
        <v>180</v>
      </c>
      <c r="R46" s="202" t="n">
        <f aca="false">O46*P46</f>
        <v>15120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14488</v>
      </c>
      <c r="D47" s="200" t="n">
        <v>41251</v>
      </c>
      <c r="E47" s="201" t="n">
        <f aca="false">C47/D47*100-100</f>
        <v>-64.8784271896439</v>
      </c>
      <c r="F47" s="200" t="n">
        <v>0</v>
      </c>
      <c r="G47" s="200" t="n">
        <v>17369</v>
      </c>
      <c r="H47" s="201" t="n">
        <v>0</v>
      </c>
      <c r="I47" s="200" t="n">
        <v>20589</v>
      </c>
      <c r="J47" s="200" t="n">
        <v>48837</v>
      </c>
      <c r="K47" s="201" t="n">
        <v>0</v>
      </c>
      <c r="L47" s="208" t="n">
        <v>20589</v>
      </c>
      <c r="M47" s="200" t="n">
        <v>48837</v>
      </c>
      <c r="N47" s="201" t="n">
        <v>0</v>
      </c>
      <c r="O47" s="203" t="n">
        <v>22</v>
      </c>
      <c r="P47" s="204" t="n">
        <v>100</v>
      </c>
      <c r="Q47" s="203" t="n">
        <v>24</v>
      </c>
      <c r="R47" s="202" t="n">
        <f aca="false">O47*P47</f>
        <v>2200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67762</v>
      </c>
      <c r="D48" s="200" t="n">
        <v>88984</v>
      </c>
      <c r="E48" s="201" t="n">
        <f aca="false">C48/D48*100-100</f>
        <v>-23.8492313224849</v>
      </c>
      <c r="F48" s="212" t="n">
        <v>210</v>
      </c>
      <c r="G48" s="212" t="n">
        <v>3485</v>
      </c>
      <c r="H48" s="201" t="n">
        <f aca="false">F48/G48*100-100</f>
        <v>-93.974175035868</v>
      </c>
      <c r="I48" s="212" t="n">
        <v>78500</v>
      </c>
      <c r="J48" s="212" t="n">
        <v>99936</v>
      </c>
      <c r="K48" s="201" t="n">
        <f aca="false">I48/J48*100-100</f>
        <v>-21.4497278258085</v>
      </c>
      <c r="L48" s="213" t="n">
        <v>69431</v>
      </c>
      <c r="M48" s="212" t="n">
        <v>94375</v>
      </c>
      <c r="N48" s="201" t="n">
        <f aca="false">L48/M48*100-100</f>
        <v>-26.4307284768212</v>
      </c>
      <c r="O48" s="203" t="n">
        <v>27</v>
      </c>
      <c r="P48" s="204" t="n">
        <v>138</v>
      </c>
      <c r="Q48" s="203" t="n">
        <v>27</v>
      </c>
      <c r="R48" s="202" t="n">
        <f aca="false">O48*P48</f>
        <v>3726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292887</v>
      </c>
      <c r="D49" s="207" t="n">
        <v>340917</v>
      </c>
      <c r="E49" s="201" t="n">
        <f aca="false">C49/D49*100-100</f>
        <v>-14.088473147423</v>
      </c>
      <c r="F49" s="207" t="n">
        <v>17151</v>
      </c>
      <c r="G49" s="207" t="n">
        <v>41249</v>
      </c>
      <c r="H49" s="201" t="n">
        <f aca="false">F49/G49*100-100</f>
        <v>-58.4208102014594</v>
      </c>
      <c r="I49" s="200" t="n">
        <v>290150</v>
      </c>
      <c r="J49" s="200" t="n">
        <v>317558</v>
      </c>
      <c r="K49" s="201" t="n">
        <f aca="false">I49/J49*100-100</f>
        <v>-8.63086428306011</v>
      </c>
      <c r="L49" s="207" t="n">
        <v>0</v>
      </c>
      <c r="M49" s="207" t="n">
        <v>3429</v>
      </c>
      <c r="N49" s="201" t="n">
        <v>0</v>
      </c>
      <c r="O49" s="203" t="n">
        <v>66</v>
      </c>
      <c r="P49" s="204" t="n">
        <v>150</v>
      </c>
      <c r="Q49" s="203" t="n">
        <v>65</v>
      </c>
      <c r="R49" s="202" t="n">
        <f aca="false">O49*P49</f>
        <v>9900</v>
      </c>
    </row>
    <row r="50" customFormat="false" ht="15" hidden="false" customHeight="false" outlineLevel="0" collapsed="false">
      <c r="A50" s="198" t="n">
        <v>14</v>
      </c>
      <c r="B50" s="199" t="s">
        <v>216</v>
      </c>
      <c r="C50" s="203" t="n">
        <v>19391</v>
      </c>
      <c r="D50" s="203" t="n">
        <v>15306</v>
      </c>
      <c r="E50" s="201" t="n">
        <f aca="false">C50/D50*100-100</f>
        <v>26.6888801777081</v>
      </c>
      <c r="F50" s="203" t="n">
        <v>2123</v>
      </c>
      <c r="G50" s="203" t="n">
        <v>891</v>
      </c>
      <c r="H50" s="201" t="n">
        <v>0</v>
      </c>
      <c r="I50" s="203" t="n">
        <v>18342</v>
      </c>
      <c r="J50" s="203" t="n">
        <v>17900</v>
      </c>
      <c r="K50" s="201" t="n">
        <f aca="false">I50/J50*100-100</f>
        <v>2.46927374301676</v>
      </c>
      <c r="L50" s="203" t="n">
        <v>1576</v>
      </c>
      <c r="M50" s="203" t="n">
        <v>0</v>
      </c>
      <c r="N50" s="201" t="n">
        <v>0</v>
      </c>
      <c r="O50" s="203" t="n">
        <v>13</v>
      </c>
      <c r="P50" s="204" t="n">
        <v>80</v>
      </c>
      <c r="Q50" s="203" t="n">
        <v>14</v>
      </c>
      <c r="R50" s="202" t="n">
        <f aca="false">O50*P50</f>
        <v>1040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199015</v>
      </c>
      <c r="D51" s="203" t="n">
        <v>332256</v>
      </c>
      <c r="E51" s="203" t="n">
        <f aca="false">C51/D51*100-100</f>
        <v>-40.1019093710874</v>
      </c>
      <c r="F51" s="203" t="n">
        <v>0</v>
      </c>
      <c r="G51" s="203" t="n">
        <v>26203</v>
      </c>
      <c r="H51" s="203" t="n">
        <f aca="false">F51/G51*100-100</f>
        <v>-100</v>
      </c>
      <c r="I51" s="203" t="n">
        <v>173032</v>
      </c>
      <c r="J51" s="203" t="n">
        <v>476929</v>
      </c>
      <c r="K51" s="203" t="n">
        <f aca="false">I51/J51*100-100</f>
        <v>-63.7195473540087</v>
      </c>
      <c r="L51" s="203" t="n">
        <v>166156</v>
      </c>
      <c r="M51" s="203" t="n">
        <f aca="false">449031+16473</f>
        <v>465504</v>
      </c>
      <c r="N51" s="201" t="n">
        <f aca="false">L51/M51*100-100</f>
        <v>-64.3062143397264</v>
      </c>
      <c r="O51" s="203" t="n">
        <v>50</v>
      </c>
      <c r="P51" s="204" t="n">
        <v>114</v>
      </c>
      <c r="Q51" s="203" t="n">
        <v>56</v>
      </c>
      <c r="R51" s="202" t="n">
        <f aca="false">O51*P51</f>
        <v>5700</v>
      </c>
    </row>
    <row r="52" customFormat="false" ht="15" hidden="false" customHeight="false" outlineLevel="0" collapsed="false">
      <c r="A52" s="198" t="n">
        <v>16</v>
      </c>
      <c r="B52" s="199" t="s">
        <v>53</v>
      </c>
      <c r="C52" s="200" t="n">
        <v>2984</v>
      </c>
      <c r="D52" s="209" t="n">
        <v>3106</v>
      </c>
      <c r="E52" s="201" t="n">
        <f aca="false">C52/D52*100-100</f>
        <v>-3.92788151963941</v>
      </c>
      <c r="F52" s="200" t="n">
        <v>240</v>
      </c>
      <c r="G52" s="200" t="n">
        <v>0</v>
      </c>
      <c r="H52" s="201" t="n">
        <v>0</v>
      </c>
      <c r="I52" s="200" t="n">
        <v>2984</v>
      </c>
      <c r="J52" s="200" t="n">
        <v>3106</v>
      </c>
      <c r="K52" s="201" t="n">
        <f aca="false">I52/J52*100-100</f>
        <v>-3.92788151963941</v>
      </c>
      <c r="L52" s="200" t="n">
        <v>0</v>
      </c>
      <c r="M52" s="200" t="n">
        <v>0</v>
      </c>
      <c r="N52" s="201" t="n">
        <v>0</v>
      </c>
      <c r="O52" s="203" t="n">
        <v>3</v>
      </c>
      <c r="P52" s="204" t="n">
        <v>45</v>
      </c>
      <c r="Q52" s="203" t="n">
        <v>3</v>
      </c>
      <c r="R52" s="202" t="n">
        <f aca="false">O52*P52</f>
        <v>135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17421</v>
      </c>
      <c r="D53" s="203" t="n">
        <v>725750</v>
      </c>
      <c r="E53" s="201" t="n">
        <f aca="false">C53/D53*100-100</f>
        <v>-97.599586634516</v>
      </c>
      <c r="F53" s="203" t="n">
        <v>0</v>
      </c>
      <c r="G53" s="203" t="n">
        <v>25000</v>
      </c>
      <c r="H53" s="201" t="n">
        <v>0</v>
      </c>
      <c r="I53" s="203" t="n">
        <v>61100</v>
      </c>
      <c r="J53" s="203" t="n">
        <v>61100</v>
      </c>
      <c r="K53" s="223" t="n">
        <v>0</v>
      </c>
      <c r="L53" s="203" t="n">
        <v>0</v>
      </c>
      <c r="M53" s="203" t="n">
        <v>0</v>
      </c>
      <c r="N53" s="201" t="n">
        <v>0</v>
      </c>
      <c r="O53" s="203" t="n">
        <v>4</v>
      </c>
      <c r="P53" s="204" t="n">
        <v>70</v>
      </c>
      <c r="Q53" s="203" t="n">
        <v>4</v>
      </c>
      <c r="R53" s="202" t="n">
        <f aca="false">O53*P53</f>
        <v>280</v>
      </c>
    </row>
    <row r="54" customFormat="false" ht="15" hidden="false" customHeight="false" outlineLevel="0" collapsed="false">
      <c r="A54" s="198" t="n">
        <v>18</v>
      </c>
      <c r="B54" s="220" t="s">
        <v>231</v>
      </c>
      <c r="C54" s="203" t="n">
        <v>589289</v>
      </c>
      <c r="D54" s="203" t="n">
        <v>296334</v>
      </c>
      <c r="E54" s="201" t="n">
        <f aca="false">C54/D54*100-100</f>
        <v>98.8597325990268</v>
      </c>
      <c r="F54" s="203" t="n">
        <v>0</v>
      </c>
      <c r="G54" s="203" t="n">
        <v>95771</v>
      </c>
      <c r="H54" s="201" t="n">
        <v>0</v>
      </c>
      <c r="I54" s="203" t="n">
        <v>589189</v>
      </c>
      <c r="J54" s="203" t="n">
        <v>296334</v>
      </c>
      <c r="K54" s="201" t="n">
        <v>0</v>
      </c>
      <c r="L54" s="203" t="n">
        <v>558243</v>
      </c>
      <c r="M54" s="203" t="n">
        <v>208403</v>
      </c>
      <c r="N54" s="201" t="n">
        <v>0</v>
      </c>
      <c r="O54" s="203" t="n">
        <v>125</v>
      </c>
      <c r="P54" s="204" t="n">
        <v>85</v>
      </c>
      <c r="Q54" s="203" t="n">
        <v>125</v>
      </c>
      <c r="R54" s="202" t="n">
        <f aca="false">O54*P54</f>
        <v>10625</v>
      </c>
    </row>
    <row r="55" customFormat="false" ht="15" hidden="false" customHeight="false" outlineLevel="0" collapsed="false">
      <c r="A55" s="215" t="s">
        <v>55</v>
      </c>
      <c r="B55" s="215"/>
      <c r="C55" s="216" t="n">
        <f aca="false">SUM(C37:C54)</f>
        <v>2930765</v>
      </c>
      <c r="D55" s="216" t="n">
        <f aca="false">SUM(D37:D54)</f>
        <v>3924142</v>
      </c>
      <c r="E55" s="313" t="n">
        <f aca="false">C55/D55*100-100</f>
        <v>-25.3145018707274</v>
      </c>
      <c r="F55" s="216" t="n">
        <f aca="false">SUM(F37:F54)</f>
        <v>175851</v>
      </c>
      <c r="G55" s="216" t="n">
        <f aca="false">SUM(G37:G54)</f>
        <v>449160</v>
      </c>
      <c r="H55" s="313" t="n">
        <f aca="false">F55/G55*100-100</f>
        <v>-60.8489179802298</v>
      </c>
      <c r="I55" s="216" t="n">
        <f aca="false">SUM(I37:I54)</f>
        <v>2725432</v>
      </c>
      <c r="J55" s="216" t="n">
        <f aca="false">SUM(J37:J54)</f>
        <v>3236764</v>
      </c>
      <c r="K55" s="313" t="n">
        <f aca="false">I55/J55*100-100</f>
        <v>-15.7976299785835</v>
      </c>
      <c r="L55" s="216" t="n">
        <f aca="false">SUM(L37:L54)</f>
        <v>1733602</v>
      </c>
      <c r="M55" s="216" t="n">
        <f aca="false">SUM(M37:M54)</f>
        <v>1870788</v>
      </c>
      <c r="N55" s="313" t="n">
        <f aca="false">L55/M55*100-100</f>
        <v>-7.33305965186862</v>
      </c>
      <c r="O55" s="216" t="n">
        <f aca="false">SUM(O37:O54)</f>
        <v>935</v>
      </c>
      <c r="P55" s="217" t="n">
        <f aca="false">R55/O55</f>
        <v>106.860962566845</v>
      </c>
      <c r="Q55" s="216" t="n">
        <f aca="false">SUM(Q37:Q54)</f>
        <v>949</v>
      </c>
      <c r="R55" s="216" t="n">
        <f aca="false">SUM(R37:R54)</f>
        <v>99915</v>
      </c>
    </row>
    <row r="56" customFormat="false" ht="15" hidden="false" customHeight="false" outlineLevel="0" collapsed="false">
      <c r="A56" s="203"/>
      <c r="B56" s="218"/>
      <c r="C56" s="203"/>
      <c r="D56" s="203"/>
      <c r="E56" s="203"/>
      <c r="F56" s="203"/>
      <c r="G56" s="203"/>
      <c r="H56" s="203"/>
      <c r="I56" s="203"/>
      <c r="J56" s="203"/>
      <c r="K56" s="192"/>
      <c r="L56" s="203"/>
      <c r="M56" s="203"/>
      <c r="N56" s="203"/>
      <c r="O56" s="203"/>
      <c r="P56" s="219"/>
      <c r="Q56" s="203"/>
      <c r="R56" s="197"/>
    </row>
    <row r="57" customFormat="false" ht="15" hidden="false" customHeight="false" outlineLevel="0" collapsed="false">
      <c r="A57" s="195" t="s">
        <v>56</v>
      </c>
      <c r="B57" s="195"/>
      <c r="C57" s="195" t="n">
        <v>3</v>
      </c>
      <c r="D57" s="195" t="n">
        <v>4</v>
      </c>
      <c r="E57" s="196" t="n">
        <v>5</v>
      </c>
      <c r="F57" s="195" t="n">
        <v>6</v>
      </c>
      <c r="G57" s="195" t="n">
        <v>7</v>
      </c>
      <c r="H57" s="195" t="n">
        <v>8</v>
      </c>
      <c r="I57" s="195" t="n">
        <v>9</v>
      </c>
      <c r="J57" s="195" t="n">
        <v>10</v>
      </c>
      <c r="K57" s="195" t="n">
        <v>11</v>
      </c>
      <c r="L57" s="195" t="n">
        <v>12</v>
      </c>
      <c r="M57" s="195" t="n">
        <v>13</v>
      </c>
      <c r="N57" s="195" t="n">
        <v>14</v>
      </c>
      <c r="O57" s="195" t="n">
        <v>15</v>
      </c>
      <c r="P57" s="196" t="n">
        <v>16</v>
      </c>
      <c r="Q57" s="195" t="n">
        <v>17</v>
      </c>
      <c r="R57" s="197"/>
    </row>
    <row r="58" customFormat="false" ht="15" hidden="false" customHeight="false" outlineLevel="0" collapsed="false">
      <c r="A58" s="204" t="n">
        <v>1</v>
      </c>
      <c r="B58" s="220" t="s">
        <v>57</v>
      </c>
      <c r="C58" s="221" t="n">
        <v>450360</v>
      </c>
      <c r="D58" s="222" t="n">
        <v>503136</v>
      </c>
      <c r="E58" s="201" t="n">
        <f aca="false">C58/D58*100-100</f>
        <v>-10.4894104178592</v>
      </c>
      <c r="F58" s="222" t="n">
        <v>28894</v>
      </c>
      <c r="G58" s="223" t="n">
        <v>47814</v>
      </c>
      <c r="H58" s="223" t="n">
        <f aca="false">F58/G58*100-100</f>
        <v>-39.5700004182875</v>
      </c>
      <c r="I58" s="222" t="n">
        <v>442717</v>
      </c>
      <c r="J58" s="222" t="n">
        <v>504580</v>
      </c>
      <c r="K58" s="201" t="n">
        <f aca="false">I58/J58*100-100</f>
        <v>-12.2602956914662</v>
      </c>
      <c r="L58" s="222" t="n">
        <v>438584</v>
      </c>
      <c r="M58" s="222" t="n">
        <v>502519</v>
      </c>
      <c r="N58" s="201" t="n">
        <f aca="false">L58/M58*100-100</f>
        <v>-12.7229020196251</v>
      </c>
      <c r="O58" s="223" t="n">
        <v>158</v>
      </c>
      <c r="P58" s="222" t="n">
        <v>90</v>
      </c>
      <c r="Q58" s="223" t="n">
        <v>158</v>
      </c>
      <c r="R58" s="202" t="n">
        <f aca="false">O58*P58</f>
        <v>14220</v>
      </c>
    </row>
    <row r="59" customFormat="false" ht="15" hidden="false" customHeight="false" outlineLevel="0" collapsed="false">
      <c r="A59" s="224" t="n">
        <v>2</v>
      </c>
      <c r="B59" s="220" t="s">
        <v>58</v>
      </c>
      <c r="C59" s="200" t="n">
        <v>104087</v>
      </c>
      <c r="D59" s="200" t="n">
        <v>130650</v>
      </c>
      <c r="E59" s="201" t="n">
        <f aca="false">C59/D59*100-100</f>
        <v>-20.3314198239571</v>
      </c>
      <c r="F59" s="223" t="n">
        <v>27286</v>
      </c>
      <c r="G59" s="223" t="n">
        <v>2881</v>
      </c>
      <c r="H59" s="223" t="n">
        <f aca="false">F59/G59*100-100</f>
        <v>847.101700798334</v>
      </c>
      <c r="I59" s="223" t="n">
        <v>77700</v>
      </c>
      <c r="J59" s="223" t="n">
        <v>142206</v>
      </c>
      <c r="K59" s="201" t="n">
        <f aca="false">I59/J59*100-100</f>
        <v>-45.3609552339564</v>
      </c>
      <c r="L59" s="223" t="n">
        <v>0</v>
      </c>
      <c r="M59" s="223" t="n">
        <v>0</v>
      </c>
      <c r="N59" s="201" t="n">
        <v>0</v>
      </c>
      <c r="O59" s="223" t="n">
        <v>103</v>
      </c>
      <c r="P59" s="223" t="n">
        <v>105</v>
      </c>
      <c r="Q59" s="223" t="n">
        <v>103</v>
      </c>
      <c r="R59" s="202" t="n">
        <f aca="false">O59*P59</f>
        <v>10815</v>
      </c>
    </row>
    <row r="60" customFormat="false" ht="15" hidden="false" customHeight="false" outlineLevel="0" collapsed="false">
      <c r="A60" s="224" t="n">
        <v>3</v>
      </c>
      <c r="B60" s="220" t="s">
        <v>59</v>
      </c>
      <c r="C60" s="223" t="n">
        <v>306839</v>
      </c>
      <c r="D60" s="223" t="n">
        <v>282191</v>
      </c>
      <c r="E60" s="201" t="n">
        <f aca="false">C60/D60*100-100</f>
        <v>8.73450960519648</v>
      </c>
      <c r="F60" s="223" t="n">
        <v>19876</v>
      </c>
      <c r="G60" s="223" t="n">
        <v>42224</v>
      </c>
      <c r="H60" s="201" t="n">
        <f aca="false">F60/G60*100-100</f>
        <v>-52.9272451686245</v>
      </c>
      <c r="I60" s="223" t="n">
        <v>306839</v>
      </c>
      <c r="J60" s="223" t="n">
        <v>282191</v>
      </c>
      <c r="K60" s="201" t="n">
        <v>0</v>
      </c>
      <c r="L60" s="223" t="n">
        <v>0</v>
      </c>
      <c r="M60" s="223" t="n">
        <v>0</v>
      </c>
      <c r="N60" s="201" t="n">
        <v>0</v>
      </c>
      <c r="O60" s="223" t="n">
        <v>113</v>
      </c>
      <c r="P60" s="223" t="n">
        <v>136</v>
      </c>
      <c r="Q60" s="223" t="n">
        <v>114</v>
      </c>
      <c r="R60" s="202" t="n">
        <f aca="false">O60*P60</f>
        <v>15368</v>
      </c>
    </row>
    <row r="61" customFormat="false" ht="15" hidden="false" customHeight="false" outlineLevel="0" collapsed="false">
      <c r="A61" s="204" t="n">
        <v>4</v>
      </c>
      <c r="B61" s="220" t="s">
        <v>60</v>
      </c>
      <c r="C61" s="223" t="n">
        <v>327377</v>
      </c>
      <c r="D61" s="223" t="n">
        <v>290117</v>
      </c>
      <c r="E61" s="201" t="n">
        <f aca="false">C61/D61*100-100</f>
        <v>12.8430943378016</v>
      </c>
      <c r="F61" s="223" t="n">
        <v>42628</v>
      </c>
      <c r="G61" s="223" t="n">
        <v>47401</v>
      </c>
      <c r="H61" s="201" t="n">
        <f aca="false">F61/G61*100-100</f>
        <v>-10.0694078184004</v>
      </c>
      <c r="I61" s="206" t="n">
        <v>328191</v>
      </c>
      <c r="J61" s="206" t="n">
        <v>304599</v>
      </c>
      <c r="K61" s="201" t="n">
        <f aca="false">I61/J61*100-100</f>
        <v>7.74526508622813</v>
      </c>
      <c r="L61" s="223" t="n">
        <f aca="false">113335+2620</f>
        <v>115955</v>
      </c>
      <c r="M61" s="223" t="n">
        <f aca="false">132616+5338</f>
        <v>137954</v>
      </c>
      <c r="N61" s="201" t="n">
        <v>0</v>
      </c>
      <c r="O61" s="223" t="n">
        <v>69</v>
      </c>
      <c r="P61" s="223" t="n">
        <v>124</v>
      </c>
      <c r="Q61" s="223" t="n">
        <v>70</v>
      </c>
      <c r="R61" s="202" t="n">
        <f aca="false">O61*P61</f>
        <v>8556</v>
      </c>
    </row>
    <row r="62" customFormat="false" ht="15" hidden="false" customHeight="false" outlineLevel="0" collapsed="false">
      <c r="A62" s="224" t="n">
        <v>5</v>
      </c>
      <c r="B62" s="220" t="s">
        <v>61</v>
      </c>
      <c r="C62" s="200" t="n">
        <v>0</v>
      </c>
      <c r="D62" s="200" t="n">
        <v>0</v>
      </c>
      <c r="E62" s="201" t="n">
        <v>0</v>
      </c>
      <c r="F62" s="200" t="n">
        <v>0</v>
      </c>
      <c r="G62" s="200" t="n">
        <v>0</v>
      </c>
      <c r="H62" s="201" t="n">
        <v>0</v>
      </c>
      <c r="I62" s="200" t="n">
        <v>0</v>
      </c>
      <c r="J62" s="200" t="n">
        <v>0</v>
      </c>
      <c r="K62" s="201" t="n">
        <v>0</v>
      </c>
      <c r="L62" s="200" t="n">
        <v>0</v>
      </c>
      <c r="M62" s="200" t="n">
        <v>0</v>
      </c>
      <c r="N62" s="201" t="n">
        <v>0</v>
      </c>
      <c r="O62" s="203" t="n">
        <v>0</v>
      </c>
      <c r="P62" s="204" t="n">
        <v>0</v>
      </c>
      <c r="Q62" s="203" t="n">
        <v>0</v>
      </c>
      <c r="R62" s="202" t="n">
        <f aca="false">O62*P62</f>
        <v>0</v>
      </c>
    </row>
    <row r="63" customFormat="false" ht="15" hidden="false" customHeight="false" outlineLevel="0" collapsed="false">
      <c r="A63" s="224" t="n">
        <v>6</v>
      </c>
      <c r="B63" s="220" t="s">
        <v>217</v>
      </c>
      <c r="C63" s="223" t="n">
        <v>51958</v>
      </c>
      <c r="D63" s="223" t="n">
        <v>51752</v>
      </c>
      <c r="E63" s="201" t="n">
        <f aca="false">C63/D63*100-100</f>
        <v>0.398052249188424</v>
      </c>
      <c r="F63" s="223" t="n">
        <v>6408</v>
      </c>
      <c r="G63" s="223" t="n">
        <v>6059</v>
      </c>
      <c r="H63" s="201" t="n">
        <f aca="false">F63/G63*100-100</f>
        <v>5.76002640699787</v>
      </c>
      <c r="I63" s="223" t="n">
        <v>49763</v>
      </c>
      <c r="J63" s="223" t="n">
        <v>56778</v>
      </c>
      <c r="K63" s="201" t="n">
        <f aca="false">I63/J63*100-100</f>
        <v>-12.3551375532777</v>
      </c>
      <c r="L63" s="223" t="n">
        <v>49763</v>
      </c>
      <c r="M63" s="223" t="n">
        <v>56643</v>
      </c>
      <c r="N63" s="201" t="n">
        <v>0</v>
      </c>
      <c r="O63" s="223" t="n">
        <v>37</v>
      </c>
      <c r="P63" s="223" t="n">
        <v>66</v>
      </c>
      <c r="Q63" s="223" t="n">
        <v>42</v>
      </c>
      <c r="R63" s="202" t="n">
        <f aca="false">O63*P63</f>
        <v>2442</v>
      </c>
    </row>
    <row r="64" customFormat="false" ht="15" hidden="false" customHeight="false" outlineLevel="0" collapsed="false">
      <c r="A64" s="204" t="n">
        <v>7</v>
      </c>
      <c r="B64" s="220" t="s">
        <v>63</v>
      </c>
      <c r="C64" s="200" t="n">
        <v>48560</v>
      </c>
      <c r="D64" s="200" t="n">
        <v>45713</v>
      </c>
      <c r="E64" s="201" t="n">
        <f aca="false">C64/D64*100-100</f>
        <v>6.227987662153</v>
      </c>
      <c r="F64" s="200" t="n">
        <v>8407</v>
      </c>
      <c r="G64" s="200" t="n">
        <v>0</v>
      </c>
      <c r="H64" s="201" t="n">
        <v>0</v>
      </c>
      <c r="I64" s="200" t="n">
        <v>65554</v>
      </c>
      <c r="J64" s="200" t="n">
        <v>59980</v>
      </c>
      <c r="K64" s="201" t="n">
        <f aca="false">I64/J64*100-100</f>
        <v>9.29309769923307</v>
      </c>
      <c r="L64" s="225" t="n">
        <v>65515</v>
      </c>
      <c r="M64" s="200" t="n">
        <v>59826</v>
      </c>
      <c r="N64" s="201" t="n">
        <v>0</v>
      </c>
      <c r="O64" s="223" t="n">
        <v>39</v>
      </c>
      <c r="P64" s="223" t="n">
        <v>82</v>
      </c>
      <c r="Q64" s="223" t="n">
        <v>37</v>
      </c>
      <c r="R64" s="202" t="n">
        <f aca="false">O64*P64</f>
        <v>3198</v>
      </c>
    </row>
    <row r="65" customFormat="false" ht="15" hidden="false" customHeight="false" outlineLevel="0" collapsed="false">
      <c r="A65" s="224" t="n">
        <v>8</v>
      </c>
      <c r="B65" s="220" t="s">
        <v>64</v>
      </c>
      <c r="C65" s="226" t="n">
        <v>226900</v>
      </c>
      <c r="D65" s="200" t="n">
        <v>283400</v>
      </c>
      <c r="E65" s="201" t="n">
        <f aca="false">C65/D65*100-100</f>
        <v>-19.9364855328158</v>
      </c>
      <c r="F65" s="200" t="n">
        <v>79000</v>
      </c>
      <c r="G65" s="227" t="n">
        <v>0</v>
      </c>
      <c r="H65" s="201" t="n">
        <v>0</v>
      </c>
      <c r="I65" s="200" t="n">
        <v>198858</v>
      </c>
      <c r="J65" s="227" t="n">
        <v>392724</v>
      </c>
      <c r="K65" s="201" t="n">
        <f aca="false">I65/J65*100-100</f>
        <v>-49.364439148104</v>
      </c>
      <c r="L65" s="200" t="n">
        <v>198858</v>
      </c>
      <c r="M65" s="227" t="n">
        <v>392724</v>
      </c>
      <c r="N65" s="201" t="n">
        <v>0</v>
      </c>
      <c r="O65" s="223" t="n">
        <v>35</v>
      </c>
      <c r="P65" s="222" t="n">
        <v>90</v>
      </c>
      <c r="Q65" s="223" t="n">
        <v>35</v>
      </c>
      <c r="R65" s="202" t="n">
        <f aca="false">O65*P65</f>
        <v>3150</v>
      </c>
    </row>
    <row r="66" customFormat="false" ht="15" hidden="false" customHeight="false" outlineLevel="0" collapsed="false">
      <c r="A66" s="224" t="n">
        <v>9</v>
      </c>
      <c r="B66" s="220" t="s">
        <v>65</v>
      </c>
      <c r="C66" s="200" t="n">
        <v>0</v>
      </c>
      <c r="D66" s="200" t="n">
        <v>0</v>
      </c>
      <c r="E66" s="201" t="n">
        <v>0</v>
      </c>
      <c r="F66" s="200" t="n">
        <v>0</v>
      </c>
      <c r="G66" s="200" t="n">
        <v>0</v>
      </c>
      <c r="H66" s="201" t="n">
        <v>0</v>
      </c>
      <c r="I66" s="200" t="n">
        <v>0</v>
      </c>
      <c r="J66" s="200" t="n">
        <v>0</v>
      </c>
      <c r="K66" s="201" t="n">
        <v>0</v>
      </c>
      <c r="L66" s="200" t="n">
        <v>0</v>
      </c>
      <c r="M66" s="200" t="n">
        <v>0</v>
      </c>
      <c r="N66" s="201" t="n">
        <v>0</v>
      </c>
      <c r="O66" s="203" t="n">
        <v>0</v>
      </c>
      <c r="P66" s="204" t="n">
        <v>0</v>
      </c>
      <c r="Q66" s="203" t="n">
        <v>0</v>
      </c>
      <c r="R66" s="202" t="n">
        <f aca="false">O66*P66</f>
        <v>0</v>
      </c>
    </row>
    <row r="67" customFormat="false" ht="15" hidden="false" customHeight="false" outlineLevel="0" collapsed="false">
      <c r="A67" s="228" t="s">
        <v>66</v>
      </c>
      <c r="B67" s="228"/>
      <c r="C67" s="229" t="n">
        <f aca="false">SUM(C58:C66)</f>
        <v>1516081</v>
      </c>
      <c r="D67" s="229" t="n">
        <f aca="false">SUM(D58:D66)</f>
        <v>1586959</v>
      </c>
      <c r="E67" s="313" t="n">
        <f aca="false">C67/D67*100-100</f>
        <v>-4.46627795677142</v>
      </c>
      <c r="F67" s="229" t="n">
        <f aca="false">SUM(F58:F66)</f>
        <v>212499</v>
      </c>
      <c r="G67" s="229" t="n">
        <f aca="false">SUM(G58:G66)</f>
        <v>146379</v>
      </c>
      <c r="H67" s="313" t="n">
        <f aca="false">F67/G67*100-100</f>
        <v>45.1704137888632</v>
      </c>
      <c r="I67" s="231" t="n">
        <f aca="false">SUM(I58:I66)</f>
        <v>1469622</v>
      </c>
      <c r="J67" s="229" t="n">
        <f aca="false">SUM(J58:J66)</f>
        <v>1743058</v>
      </c>
      <c r="K67" s="313" t="n">
        <f aca="false">I67/J67*100-100</f>
        <v>-15.6871429407398</v>
      </c>
      <c r="L67" s="229" t="n">
        <f aca="false">SUM(L58:L66)</f>
        <v>868675</v>
      </c>
      <c r="M67" s="229" t="n">
        <f aca="false">SUM(M58:M66)</f>
        <v>1149666</v>
      </c>
      <c r="N67" s="313" t="n">
        <f aca="false">L67/M67*100-100</f>
        <v>-24.4410985451427</v>
      </c>
      <c r="O67" s="231" t="n">
        <f aca="false">SUM(O58:O66)</f>
        <v>554</v>
      </c>
      <c r="P67" s="230" t="n">
        <f aca="false">R67/O67</f>
        <v>104.240072202166</v>
      </c>
      <c r="Q67" s="231" t="n">
        <f aca="false">SUM(Q58:Q66)</f>
        <v>559</v>
      </c>
      <c r="R67" s="232" t="n">
        <f aca="false">SUM(R58:R66)</f>
        <v>57749</v>
      </c>
    </row>
    <row r="68" customFormat="false" ht="15" hidden="false" customHeight="false" outlineLevel="0" collapsed="false">
      <c r="A68" s="197"/>
      <c r="B68" s="233"/>
      <c r="C68" s="197"/>
      <c r="D68" s="197"/>
      <c r="E68" s="197"/>
      <c r="F68" s="197"/>
      <c r="G68" s="197"/>
      <c r="H68" s="197"/>
      <c r="I68" s="197"/>
      <c r="J68" s="197"/>
      <c r="K68" s="234"/>
      <c r="L68" s="197"/>
      <c r="M68" s="197"/>
      <c r="N68" s="197"/>
      <c r="O68" s="197"/>
      <c r="P68" s="235"/>
      <c r="Q68" s="197"/>
      <c r="R68" s="197"/>
    </row>
    <row r="69" customFormat="false" ht="15" hidden="false" customHeight="false" outlineLevel="0" collapsed="false">
      <c r="A69" s="195" t="s">
        <v>67</v>
      </c>
      <c r="B69" s="195"/>
      <c r="C69" s="195" t="n">
        <v>3</v>
      </c>
      <c r="D69" s="195" t="n">
        <v>4</v>
      </c>
      <c r="E69" s="196" t="n">
        <v>5</v>
      </c>
      <c r="F69" s="195" t="n">
        <v>6</v>
      </c>
      <c r="G69" s="195" t="n">
        <v>7</v>
      </c>
      <c r="H69" s="195" t="n">
        <v>8</v>
      </c>
      <c r="I69" s="195" t="n">
        <v>9</v>
      </c>
      <c r="J69" s="195" t="n">
        <v>10</v>
      </c>
      <c r="K69" s="195" t="n">
        <v>11</v>
      </c>
      <c r="L69" s="195" t="n">
        <v>12</v>
      </c>
      <c r="M69" s="195" t="n">
        <v>13</v>
      </c>
      <c r="N69" s="195" t="n">
        <v>14</v>
      </c>
      <c r="O69" s="195" t="n">
        <v>15</v>
      </c>
      <c r="P69" s="196" t="n">
        <v>16</v>
      </c>
      <c r="Q69" s="195" t="n">
        <v>17</v>
      </c>
      <c r="R69" s="197"/>
    </row>
    <row r="70" customFormat="false" ht="15" hidden="false" customHeight="false" outlineLevel="0" collapsed="false">
      <c r="A70" s="198" t="n">
        <v>1</v>
      </c>
      <c r="B70" s="199" t="s">
        <v>68</v>
      </c>
      <c r="C70" s="203" t="n">
        <v>9885</v>
      </c>
      <c r="D70" s="203" t="n">
        <v>57043</v>
      </c>
      <c r="E70" s="201" t="n">
        <f aca="false">C70/D70*100-100</f>
        <v>-82.6709675157337</v>
      </c>
      <c r="F70" s="203" t="n">
        <v>85</v>
      </c>
      <c r="G70" s="203" t="n">
        <v>800</v>
      </c>
      <c r="H70" s="223" t="n">
        <f aca="false">F70/G70*100-100</f>
        <v>-89.375</v>
      </c>
      <c r="I70" s="203" t="n">
        <v>109180</v>
      </c>
      <c r="J70" s="203" t="n">
        <v>145096</v>
      </c>
      <c r="K70" s="214" t="n">
        <f aca="false">I70/J70*100</f>
        <v>75.2467331973314</v>
      </c>
      <c r="L70" s="203" t="n">
        <v>14671</v>
      </c>
      <c r="M70" s="203" t="n">
        <v>53172</v>
      </c>
      <c r="N70" s="201" t="n">
        <f aca="false">L70/M70*100-100</f>
        <v>-72.4084104415858</v>
      </c>
      <c r="O70" s="203" t="n">
        <v>158</v>
      </c>
      <c r="P70" s="219" t="n">
        <v>55</v>
      </c>
      <c r="Q70" s="203" t="n">
        <v>147</v>
      </c>
      <c r="R70" s="202" t="n">
        <f aca="false">O70*P70</f>
        <v>8690</v>
      </c>
    </row>
    <row r="71" customFormat="false" ht="15" hidden="false" customHeight="false" outlineLevel="0" collapsed="false">
      <c r="A71" s="198" t="n">
        <v>2</v>
      </c>
      <c r="B71" s="199" t="s">
        <v>69</v>
      </c>
      <c r="C71" s="208" t="n">
        <v>534423</v>
      </c>
      <c r="D71" s="208" t="n">
        <v>556973</v>
      </c>
      <c r="E71" s="201" t="n">
        <f aca="false">C71/D71*100-100</f>
        <v>-4.04867022279356</v>
      </c>
      <c r="F71" s="208" t="n">
        <v>57565</v>
      </c>
      <c r="G71" s="208" t="n">
        <v>67298</v>
      </c>
      <c r="H71" s="201" t="n">
        <f aca="false">F71/G71*100-100</f>
        <v>-14.4625397485809</v>
      </c>
      <c r="I71" s="208" t="n">
        <v>515355</v>
      </c>
      <c r="J71" s="208" t="n">
        <v>524248</v>
      </c>
      <c r="K71" s="201" t="n">
        <f aca="false">I71/J71*100-100</f>
        <v>-1.69633455921625</v>
      </c>
      <c r="L71" s="208" t="n">
        <v>515355</v>
      </c>
      <c r="M71" s="208" t="n">
        <v>524248</v>
      </c>
      <c r="N71" s="201" t="n">
        <f aca="false">L71/M71*100-100</f>
        <v>-1.69633455921625</v>
      </c>
      <c r="O71" s="203" t="n">
        <v>23</v>
      </c>
      <c r="P71" s="204" t="n">
        <v>89</v>
      </c>
      <c r="Q71" s="203" t="n">
        <v>23</v>
      </c>
      <c r="R71" s="202" t="n">
        <f aca="false">O71*P71</f>
        <v>2047</v>
      </c>
    </row>
    <row r="72" customFormat="false" ht="15" hidden="false" customHeight="false" outlineLevel="0" collapsed="false">
      <c r="A72" s="198" t="n">
        <v>3</v>
      </c>
      <c r="B72" s="199" t="s">
        <v>70</v>
      </c>
      <c r="C72" s="203"/>
      <c r="D72" s="203"/>
      <c r="E72" s="201"/>
      <c r="F72" s="203"/>
      <c r="G72" s="203"/>
      <c r="H72" s="201"/>
      <c r="I72" s="203"/>
      <c r="J72" s="203"/>
      <c r="K72" s="201"/>
      <c r="L72" s="203"/>
      <c r="M72" s="203"/>
      <c r="N72" s="201"/>
      <c r="O72" s="203" t="n">
        <v>43</v>
      </c>
      <c r="P72" s="219" t="n">
        <v>71</v>
      </c>
      <c r="Q72" s="203" t="n">
        <v>43</v>
      </c>
      <c r="R72" s="202" t="n">
        <f aca="false">O72*P72</f>
        <v>3053</v>
      </c>
    </row>
    <row r="73" customFormat="false" ht="15" hidden="false" customHeight="false" outlineLevel="0" collapsed="false">
      <c r="A73" s="198" t="n">
        <v>4</v>
      </c>
      <c r="B73" s="199" t="s">
        <v>218</v>
      </c>
      <c r="C73" s="203" t="n">
        <v>58271</v>
      </c>
      <c r="D73" s="203" t="n">
        <v>45261</v>
      </c>
      <c r="E73" s="201" t="n">
        <f aca="false">C73/D73*100-100</f>
        <v>28.7443936280683</v>
      </c>
      <c r="F73" s="203" t="n">
        <v>3544</v>
      </c>
      <c r="G73" s="203" t="n">
        <v>12531</v>
      </c>
      <c r="H73" s="201" t="n">
        <f aca="false">F73/G73*100-100</f>
        <v>-71.7181390152422</v>
      </c>
      <c r="I73" s="203" t="n">
        <v>71484</v>
      </c>
      <c r="J73" s="203" t="n">
        <v>59296</v>
      </c>
      <c r="K73" s="201" t="n">
        <f aca="false">I73/J73*100-100</f>
        <v>20.5545062061522</v>
      </c>
      <c r="L73" s="203" t="n">
        <v>53436</v>
      </c>
      <c r="M73" s="203" t="n">
        <v>36849</v>
      </c>
      <c r="N73" s="201" t="n">
        <f aca="false">L73/M73*100-100</f>
        <v>45.0134332003582</v>
      </c>
      <c r="O73" s="203" t="n">
        <v>63</v>
      </c>
      <c r="P73" s="236" t="n">
        <v>50</v>
      </c>
      <c r="Q73" s="203" t="n">
        <v>65</v>
      </c>
      <c r="R73" s="202" t="n">
        <f aca="false">O73*P73</f>
        <v>3150</v>
      </c>
    </row>
    <row r="74" customFormat="false" ht="15" hidden="false" customHeight="false" outlineLevel="0" collapsed="false">
      <c r="A74" s="198" t="n">
        <v>5</v>
      </c>
      <c r="B74" s="199" t="s">
        <v>72</v>
      </c>
      <c r="C74" s="203" t="n">
        <v>60535</v>
      </c>
      <c r="D74" s="203" t="n">
        <v>111186</v>
      </c>
      <c r="E74" s="201" t="n">
        <f aca="false">C74/D74*100-100</f>
        <v>-45.5551957980321</v>
      </c>
      <c r="F74" s="203" t="n">
        <v>50</v>
      </c>
      <c r="G74" s="203" t="n">
        <v>100</v>
      </c>
      <c r="H74" s="201" t="n">
        <f aca="false">F74/G74*100-100</f>
        <v>-50</v>
      </c>
      <c r="I74" s="203" t="n">
        <v>60535</v>
      </c>
      <c r="J74" s="203" t="n">
        <v>112003</v>
      </c>
      <c r="K74" s="201" t="n">
        <f aca="false">I74/J74*100-100</f>
        <v>-45.9523405623064</v>
      </c>
      <c r="L74" s="203" t="n">
        <v>47792</v>
      </c>
      <c r="M74" s="203" t="n">
        <f aca="false">97149+2032</f>
        <v>99181</v>
      </c>
      <c r="N74" s="201" t="n">
        <f aca="false">L74/M74*100-100</f>
        <v>-51.8133513475363</v>
      </c>
      <c r="O74" s="203" t="n">
        <v>67</v>
      </c>
      <c r="P74" s="219" t="n">
        <v>120</v>
      </c>
      <c r="Q74" s="203" t="n">
        <v>68</v>
      </c>
      <c r="R74" s="202" t="n">
        <f aca="false">O74*P74</f>
        <v>8040</v>
      </c>
    </row>
    <row r="75" customFormat="false" ht="15" hidden="false" customHeight="false" outlineLevel="0" collapsed="false">
      <c r="A75" s="210" t="n">
        <v>6</v>
      </c>
      <c r="B75" s="199" t="s">
        <v>232</v>
      </c>
      <c r="C75" s="203" t="n">
        <v>12</v>
      </c>
      <c r="D75" s="203" t="n">
        <v>2696</v>
      </c>
      <c r="E75" s="223" t="n">
        <f aca="false">C75/D75*100-100</f>
        <v>-99.5548961424332</v>
      </c>
      <c r="F75" s="203" t="n">
        <v>36</v>
      </c>
      <c r="G75" s="203" t="n">
        <v>143</v>
      </c>
      <c r="H75" s="201" t="n">
        <f aca="false">F75/G75*100-100</f>
        <v>-74.8251748251748</v>
      </c>
      <c r="I75" s="203" t="n">
        <v>55545</v>
      </c>
      <c r="J75" s="203" t="n">
        <v>2951</v>
      </c>
      <c r="K75" s="223" t="n">
        <f aca="false">I75/J75*100-100</f>
        <v>1782.24330735344</v>
      </c>
      <c r="L75" s="203" t="n">
        <v>33961</v>
      </c>
      <c r="M75" s="203" t="n">
        <v>48</v>
      </c>
      <c r="N75" s="201" t="n">
        <f aca="false">L75/M75*100-100</f>
        <v>70652.0833333333</v>
      </c>
      <c r="O75" s="203" t="n">
        <v>10</v>
      </c>
      <c r="P75" s="219" t="n">
        <v>60</v>
      </c>
      <c r="Q75" s="203" t="n">
        <v>9</v>
      </c>
      <c r="R75" s="202" t="n">
        <f aca="false">O75*P75</f>
        <v>600</v>
      </c>
    </row>
    <row r="76" customFormat="false" ht="15" hidden="false" customHeight="false" outlineLevel="0" collapsed="false">
      <c r="A76" s="198" t="n">
        <v>7</v>
      </c>
      <c r="B76" s="199" t="s">
        <v>74</v>
      </c>
      <c r="C76" s="203" t="n">
        <v>683478</v>
      </c>
      <c r="D76" s="203" t="n">
        <v>951602</v>
      </c>
      <c r="E76" s="201" t="n">
        <f aca="false">C76/D76*100-100</f>
        <v>-28.1760652037301</v>
      </c>
      <c r="F76" s="203" t="n">
        <v>88899</v>
      </c>
      <c r="G76" s="203" t="n">
        <v>100342</v>
      </c>
      <c r="H76" s="201" t="n">
        <f aca="false">F76/G76*100-100</f>
        <v>-11.403998325726</v>
      </c>
      <c r="I76" s="203" t="n">
        <v>702727</v>
      </c>
      <c r="J76" s="203" t="n">
        <v>932796</v>
      </c>
      <c r="K76" s="201" t="n">
        <f aca="false">I76/J76*100-100</f>
        <v>-24.6644496760278</v>
      </c>
      <c r="L76" s="203" t="n">
        <f aca="false">43720+110209</f>
        <v>153929</v>
      </c>
      <c r="M76" s="203" t="n">
        <f aca="false">17865+207221</f>
        <v>225086</v>
      </c>
      <c r="N76" s="201" t="n">
        <f aca="false">L76/M76*100-100</f>
        <v>-31.6132500466488</v>
      </c>
      <c r="O76" s="203" t="n">
        <v>134</v>
      </c>
      <c r="P76" s="204" t="n">
        <v>200</v>
      </c>
      <c r="Q76" s="203" t="n">
        <v>134</v>
      </c>
      <c r="R76" s="202" t="n">
        <f aca="false">O76*P76</f>
        <v>26800</v>
      </c>
    </row>
    <row r="77" customFormat="false" ht="15" hidden="false" customHeight="false" outlineLevel="0" collapsed="false">
      <c r="A77" s="198" t="n">
        <v>8</v>
      </c>
      <c r="B77" s="199" t="s">
        <v>75</v>
      </c>
      <c r="C77" s="203" t="n">
        <v>123846</v>
      </c>
      <c r="D77" s="203" t="n">
        <v>4043</v>
      </c>
      <c r="E77" s="223" t="n">
        <f aca="false">C77/D77*100-100</f>
        <v>2963.22038090527</v>
      </c>
      <c r="F77" s="203" t="n">
        <v>18837</v>
      </c>
      <c r="G77" s="203" t="n">
        <v>114</v>
      </c>
      <c r="H77" s="201" t="n">
        <v>0</v>
      </c>
      <c r="I77" s="203" t="n">
        <v>123846</v>
      </c>
      <c r="J77" s="203" t="n">
        <v>15264</v>
      </c>
      <c r="K77" s="223" t="n">
        <f aca="false">I77/J77*100-100</f>
        <v>711.360062893082</v>
      </c>
      <c r="L77" s="203" t="n">
        <v>1045</v>
      </c>
      <c r="M77" s="203" t="n">
        <v>0</v>
      </c>
      <c r="N77" s="201" t="e">
        <f aca="false">L77/M77*100-100</f>
        <v>#DIV/0!</v>
      </c>
      <c r="O77" s="203" t="n">
        <v>31</v>
      </c>
      <c r="P77" s="219" t="n">
        <v>40</v>
      </c>
      <c r="Q77" s="203" t="n">
        <v>30</v>
      </c>
      <c r="R77" s="202" t="n">
        <f aca="false">O77*P77</f>
        <v>1240</v>
      </c>
    </row>
    <row r="78" customFormat="false" ht="15" hidden="false" customHeight="false" outlineLevel="0" collapsed="false">
      <c r="A78" s="215" t="s">
        <v>76</v>
      </c>
      <c r="B78" s="215" t="s">
        <v>77</v>
      </c>
      <c r="C78" s="216" t="n">
        <f aca="false">SUM(C70:C77)</f>
        <v>1470450</v>
      </c>
      <c r="D78" s="216" t="n">
        <f aca="false">SUM(D70:D77)</f>
        <v>1728804</v>
      </c>
      <c r="E78" s="313" t="n">
        <f aca="false">C78/D78*100-100</f>
        <v>-14.9440885143718</v>
      </c>
      <c r="F78" s="216" t="n">
        <f aca="false">SUM(F70:F77)</f>
        <v>169016</v>
      </c>
      <c r="G78" s="216" t="n">
        <f aca="false">SUM(G70:G77)</f>
        <v>181328</v>
      </c>
      <c r="H78" s="313" t="n">
        <f aca="false">F78/G78*100-100</f>
        <v>-6.7899055854584</v>
      </c>
      <c r="I78" s="216" t="n">
        <f aca="false">SUM(I70:I77)</f>
        <v>1638672</v>
      </c>
      <c r="J78" s="216" t="n">
        <f aca="false">SUM(J70:J77)</f>
        <v>1791654</v>
      </c>
      <c r="K78" s="313" t="n">
        <f aca="false">I78/J78*100-100</f>
        <v>-8.53859059840795</v>
      </c>
      <c r="L78" s="216" t="n">
        <f aca="false">SUM(L70:L77)</f>
        <v>820189</v>
      </c>
      <c r="M78" s="216" t="n">
        <f aca="false">SUM(M70:M77)</f>
        <v>938584</v>
      </c>
      <c r="N78" s="313" t="n">
        <f aca="false">L78/M78*100-100</f>
        <v>-12.6142146041271</v>
      </c>
      <c r="O78" s="216" t="n">
        <f aca="false">SUM(O70:O77)</f>
        <v>529</v>
      </c>
      <c r="P78" s="217" t="n">
        <f aca="false">R78/O78</f>
        <v>101.361058601134</v>
      </c>
      <c r="Q78" s="216" t="n">
        <f aca="false">SUM(Q70:Q77)</f>
        <v>519</v>
      </c>
      <c r="R78" s="232" t="n">
        <f aca="false">SUM(R70:R77)</f>
        <v>53620</v>
      </c>
    </row>
    <row r="79" customFormat="false" ht="15" hidden="false" customHeight="false" outlineLevel="0" collapsed="false">
      <c r="A79" s="314" t="s">
        <v>78</v>
      </c>
      <c r="B79" s="314" t="s">
        <v>78</v>
      </c>
      <c r="C79" s="315" t="n">
        <f aca="false">C55+C67+C78</f>
        <v>5917296</v>
      </c>
      <c r="D79" s="315" t="n">
        <f aca="false">D55+D67+D78</f>
        <v>7239905</v>
      </c>
      <c r="E79" s="316" t="n">
        <f aca="false">C79/D79*100-100</f>
        <v>-18.2683198191136</v>
      </c>
      <c r="F79" s="315" t="n">
        <f aca="false">F55+F67+F78</f>
        <v>557366</v>
      </c>
      <c r="G79" s="315" t="n">
        <f aca="false">G55+G67+G78</f>
        <v>776867</v>
      </c>
      <c r="H79" s="316" t="n">
        <f aca="false">F79/G79*100-100</f>
        <v>-28.2546433301968</v>
      </c>
      <c r="I79" s="315" t="n">
        <f aca="false">I55+I67+I78</f>
        <v>5833726</v>
      </c>
      <c r="J79" s="315" t="n">
        <f aca="false">J55+J67+J78</f>
        <v>6771476</v>
      </c>
      <c r="K79" s="316" t="n">
        <f aca="false">I79/J79*100-100</f>
        <v>-13.8485316938286</v>
      </c>
      <c r="L79" s="315" t="n">
        <f aca="false">L55+L67+L78</f>
        <v>3422466</v>
      </c>
      <c r="M79" s="315" t="n">
        <f aca="false">M55+M67+M78</f>
        <v>3959038</v>
      </c>
      <c r="N79" s="316" t="n">
        <f aca="false">L79/M79*100-100</f>
        <v>-13.5530904224713</v>
      </c>
      <c r="O79" s="315" t="n">
        <f aca="false">O55+O67+O78</f>
        <v>2018</v>
      </c>
      <c r="P79" s="317" t="n">
        <f aca="false">R79/O79</f>
        <v>104.699702675917</v>
      </c>
      <c r="Q79" s="315" t="n">
        <f aca="false">Q55+Q67+Q78</f>
        <v>2027</v>
      </c>
      <c r="R79" s="318" t="n">
        <f aca="false">R55+R67+R78</f>
        <v>211284</v>
      </c>
    </row>
    <row r="80" customFormat="false" ht="15" hidden="false" customHeight="false" outlineLevel="0" collapsed="false">
      <c r="A80" s="203"/>
      <c r="B80" s="218"/>
      <c r="C80" s="203"/>
      <c r="D80" s="203"/>
      <c r="E80" s="203"/>
      <c r="F80" s="203"/>
      <c r="G80" s="203"/>
      <c r="H80" s="203"/>
      <c r="I80" s="203"/>
      <c r="J80" s="203"/>
      <c r="K80" s="192"/>
      <c r="L80" s="203"/>
      <c r="M80" s="203"/>
      <c r="N80" s="203"/>
      <c r="O80" s="203"/>
      <c r="P80" s="219"/>
      <c r="Q80" s="203"/>
      <c r="R80" s="197"/>
    </row>
    <row r="81" customFormat="false" ht="15" hidden="false" customHeight="false" outlineLevel="0" collapsed="false">
      <c r="A81" s="190" t="s">
        <v>79</v>
      </c>
      <c r="B81" s="190"/>
      <c r="C81" s="195" t="n">
        <v>3</v>
      </c>
      <c r="D81" s="195" t="n">
        <v>4</v>
      </c>
      <c r="E81" s="196" t="n">
        <v>5</v>
      </c>
      <c r="F81" s="195" t="n">
        <v>6</v>
      </c>
      <c r="G81" s="195" t="n">
        <v>7</v>
      </c>
      <c r="H81" s="195" t="n">
        <v>8</v>
      </c>
      <c r="I81" s="195" t="n">
        <v>9</v>
      </c>
      <c r="J81" s="195" t="n">
        <v>10</v>
      </c>
      <c r="K81" s="195" t="n">
        <v>11</v>
      </c>
      <c r="L81" s="195" t="n">
        <v>12</v>
      </c>
      <c r="M81" s="195" t="n">
        <v>13</v>
      </c>
      <c r="N81" s="195" t="n">
        <v>14</v>
      </c>
      <c r="O81" s="195" t="n">
        <v>15</v>
      </c>
      <c r="P81" s="196" t="n">
        <v>16</v>
      </c>
      <c r="Q81" s="195" t="n">
        <v>17</v>
      </c>
      <c r="R81" s="197"/>
    </row>
    <row r="82" customFormat="false" ht="15" hidden="false" customHeight="false" outlineLevel="0" collapsed="false">
      <c r="A82" s="242" t="n">
        <v>1</v>
      </c>
      <c r="B82" s="243" t="s">
        <v>80</v>
      </c>
      <c r="C82" s="208" t="n">
        <v>3377</v>
      </c>
      <c r="D82" s="208" t="n">
        <v>12158</v>
      </c>
      <c r="E82" s="201" t="n">
        <f aca="false">C82/D82*100-100</f>
        <v>-72.224050008225</v>
      </c>
      <c r="F82" s="208" t="n">
        <v>61</v>
      </c>
      <c r="G82" s="208" t="n">
        <v>450</v>
      </c>
      <c r="H82" s="201" t="n">
        <f aca="false">F82/G82*100-100</f>
        <v>-86.4444444444444</v>
      </c>
      <c r="I82" s="208" t="n">
        <v>3377</v>
      </c>
      <c r="J82" s="208" t="n">
        <v>9585</v>
      </c>
      <c r="K82" s="201" t="n">
        <v>0</v>
      </c>
      <c r="L82" s="203" t="n">
        <v>0</v>
      </c>
      <c r="M82" s="208" t="n">
        <v>0</v>
      </c>
      <c r="N82" s="201" t="n">
        <v>0</v>
      </c>
      <c r="O82" s="203" t="n">
        <v>2504</v>
      </c>
      <c r="P82" s="208" t="n">
        <v>113</v>
      </c>
      <c r="Q82" s="203" t="n">
        <v>2504</v>
      </c>
      <c r="R82" s="202" t="n">
        <f aca="false">O82*P82</f>
        <v>282952</v>
      </c>
    </row>
    <row r="83" customFormat="false" ht="15" hidden="false" customHeight="false" outlineLevel="0" collapsed="false">
      <c r="A83" s="244" t="n">
        <v>2</v>
      </c>
      <c r="B83" s="243" t="s">
        <v>81</v>
      </c>
      <c r="C83" s="208" t="n">
        <v>324408</v>
      </c>
      <c r="D83" s="208" t="n">
        <v>596837</v>
      </c>
      <c r="E83" s="201" t="n">
        <f aca="false">C83/D83*100-100</f>
        <v>-45.6454609885111</v>
      </c>
      <c r="F83" s="208" t="n">
        <v>2585</v>
      </c>
      <c r="G83" s="208" t="n">
        <v>69097</v>
      </c>
      <c r="H83" s="201" t="n">
        <f aca="false">F83/G83*100-100</f>
        <v>-96.258882440627</v>
      </c>
      <c r="I83" s="208" t="n">
        <v>376176</v>
      </c>
      <c r="J83" s="208" t="n">
        <v>634424</v>
      </c>
      <c r="K83" s="201" t="n">
        <f aca="false">I83/J83*100-100</f>
        <v>-40.7059001551013</v>
      </c>
      <c r="L83" s="208" t="n">
        <v>361588</v>
      </c>
      <c r="M83" s="208" t="n">
        <v>623993</v>
      </c>
      <c r="N83" s="201" t="n">
        <f aca="false">L83/M83*100-100</f>
        <v>-42.0525550767396</v>
      </c>
      <c r="O83" s="203" t="n">
        <v>720</v>
      </c>
      <c r="P83" s="208" t="n">
        <v>110</v>
      </c>
      <c r="Q83" s="203" t="n">
        <v>729</v>
      </c>
      <c r="R83" s="202" t="n">
        <f aca="false">O83*P83</f>
        <v>79200</v>
      </c>
    </row>
    <row r="84" customFormat="false" ht="15" hidden="false" customHeight="false" outlineLevel="0" collapsed="false">
      <c r="A84" s="242" t="n">
        <v>3</v>
      </c>
      <c r="B84" s="243" t="s">
        <v>82</v>
      </c>
      <c r="C84" s="208" t="n">
        <v>1302000</v>
      </c>
      <c r="D84" s="208" t="n">
        <v>1122409</v>
      </c>
      <c r="E84" s="201" t="n">
        <f aca="false">C84/D84*100-100</f>
        <v>16.0004953630985</v>
      </c>
      <c r="F84" s="208" t="n">
        <v>97981</v>
      </c>
      <c r="G84" s="208" t="n">
        <v>200724</v>
      </c>
      <c r="H84" s="201" t="n">
        <f aca="false">F84/G84*100-100</f>
        <v>-51.186205934517</v>
      </c>
      <c r="I84" s="208" t="n">
        <v>1396374</v>
      </c>
      <c r="J84" s="208" t="n">
        <v>2081887</v>
      </c>
      <c r="K84" s="201" t="n">
        <f aca="false">I84/J84*100-100</f>
        <v>-32.9274835761979</v>
      </c>
      <c r="L84" s="208" t="n">
        <v>298294</v>
      </c>
      <c r="M84" s="208" t="n">
        <v>461516</v>
      </c>
      <c r="N84" s="201" t="n">
        <f aca="false">L84/M84*100-100</f>
        <v>-35.3664878357413</v>
      </c>
      <c r="O84" s="203" t="n">
        <v>30</v>
      </c>
      <c r="P84" s="208" t="n">
        <v>306</v>
      </c>
      <c r="Q84" s="203" t="n">
        <v>30</v>
      </c>
      <c r="R84" s="202" t="n">
        <f aca="false">O84*P84</f>
        <v>9180</v>
      </c>
    </row>
    <row r="85" customFormat="false" ht="15" hidden="false" customHeight="false" outlineLevel="0" collapsed="false">
      <c r="A85" s="244" t="n">
        <v>4</v>
      </c>
      <c r="B85" s="243" t="s">
        <v>83</v>
      </c>
      <c r="C85" s="208" t="n">
        <v>994590</v>
      </c>
      <c r="D85" s="208" t="n">
        <v>830464</v>
      </c>
      <c r="E85" s="201" t="n">
        <f aca="false">C85/D85*100-100</f>
        <v>19.7631685419235</v>
      </c>
      <c r="F85" s="208" t="n">
        <v>98350</v>
      </c>
      <c r="G85" s="208" t="n">
        <v>80734</v>
      </c>
      <c r="H85" s="201" t="n">
        <f aca="false">F85/G85*100-100</f>
        <v>21.8198033046796</v>
      </c>
      <c r="I85" s="208" t="n">
        <v>940821</v>
      </c>
      <c r="J85" s="208" t="n">
        <v>798249</v>
      </c>
      <c r="K85" s="201" t="n">
        <f aca="false">I85/J85*100-100</f>
        <v>17.8605923715532</v>
      </c>
      <c r="L85" s="203" t="n">
        <v>653001</v>
      </c>
      <c r="M85" s="208" t="n">
        <v>557955</v>
      </c>
      <c r="N85" s="201" t="n">
        <f aca="false">L85/M85*100-100</f>
        <v>17.0347071000349</v>
      </c>
      <c r="O85" s="203" t="n">
        <v>180</v>
      </c>
      <c r="P85" s="208" t="n">
        <v>40</v>
      </c>
      <c r="Q85" s="203" t="n">
        <v>180</v>
      </c>
      <c r="R85" s="202" t="n">
        <f aca="false">O85*P85</f>
        <v>7200</v>
      </c>
    </row>
    <row r="86" customFormat="false" ht="15" hidden="false" customHeight="false" outlineLevel="0" collapsed="false">
      <c r="A86" s="242" t="n">
        <v>5</v>
      </c>
      <c r="B86" s="243" t="s">
        <v>84</v>
      </c>
      <c r="C86" s="219" t="n">
        <v>345461</v>
      </c>
      <c r="D86" s="219" t="n">
        <v>314278</v>
      </c>
      <c r="E86" s="201" t="n">
        <f aca="false">C86/D86*100-100</f>
        <v>9.9221071789944</v>
      </c>
      <c r="F86" s="219" t="n">
        <v>37421</v>
      </c>
      <c r="G86" s="219" t="n">
        <v>23757</v>
      </c>
      <c r="H86" s="201" t="n">
        <f aca="false">F86/G86*100-100</f>
        <v>57.5156795891737</v>
      </c>
      <c r="I86" s="219" t="n">
        <v>343753</v>
      </c>
      <c r="J86" s="219" t="n">
        <v>315782</v>
      </c>
      <c r="K86" s="201" t="n">
        <f aca="false">I86/J86*100-100</f>
        <v>8.85769296540018</v>
      </c>
      <c r="L86" s="203" t="n">
        <v>194352</v>
      </c>
      <c r="M86" s="219" t="n">
        <v>134085</v>
      </c>
      <c r="N86" s="201" t="n">
        <f aca="false">L86/M86*100-100</f>
        <v>44.946862065108</v>
      </c>
      <c r="O86" s="203" t="n">
        <v>90</v>
      </c>
      <c r="P86" s="219" t="n">
        <v>73</v>
      </c>
      <c r="Q86" s="203" t="n">
        <v>92</v>
      </c>
      <c r="R86" s="202" t="n">
        <f aca="false">O86*P86</f>
        <v>6570</v>
      </c>
    </row>
    <row r="87" customFormat="false" ht="15" hidden="false" customHeight="false" outlineLevel="0" collapsed="false">
      <c r="A87" s="244" t="n">
        <v>6</v>
      </c>
      <c r="B87" s="243" t="s">
        <v>85</v>
      </c>
      <c r="C87" s="200" t="n">
        <v>0</v>
      </c>
      <c r="D87" s="200" t="n">
        <v>0</v>
      </c>
      <c r="E87" s="201" t="n">
        <v>0</v>
      </c>
      <c r="F87" s="200" t="n">
        <v>0</v>
      </c>
      <c r="G87" s="200" t="n">
        <v>0</v>
      </c>
      <c r="H87" s="201" t="n">
        <v>0</v>
      </c>
      <c r="I87" s="200" t="n">
        <v>0</v>
      </c>
      <c r="J87" s="200" t="n">
        <v>0</v>
      </c>
      <c r="K87" s="201" t="n">
        <v>0</v>
      </c>
      <c r="L87" s="200" t="n">
        <v>0</v>
      </c>
      <c r="M87" s="200" t="n">
        <v>0</v>
      </c>
      <c r="N87" s="201" t="n">
        <v>0</v>
      </c>
      <c r="O87" s="203" t="n">
        <v>0</v>
      </c>
      <c r="P87" s="204" t="n">
        <v>0</v>
      </c>
      <c r="Q87" s="203" t="n">
        <v>0</v>
      </c>
      <c r="R87" s="202" t="n">
        <f aca="false">O87*P87</f>
        <v>0</v>
      </c>
    </row>
    <row r="88" customFormat="false" ht="15" hidden="false" customHeight="false" outlineLevel="0" collapsed="false">
      <c r="A88" s="244" t="n">
        <v>7</v>
      </c>
      <c r="B88" s="245" t="s">
        <v>87</v>
      </c>
      <c r="C88" s="219" t="n">
        <v>662559</v>
      </c>
      <c r="D88" s="219" t="n">
        <v>931498</v>
      </c>
      <c r="E88" s="201" t="n">
        <f aca="false">C88/D88*100-100</f>
        <v>-28.8716669278946</v>
      </c>
      <c r="F88" s="219" t="n">
        <v>68378</v>
      </c>
      <c r="G88" s="219" t="n">
        <v>94232</v>
      </c>
      <c r="H88" s="201" t="n">
        <f aca="false">F88/G88*100-100</f>
        <v>-27.4365396043807</v>
      </c>
      <c r="I88" s="219" t="n">
        <v>1106041</v>
      </c>
      <c r="J88" s="219" t="n">
        <v>1093638</v>
      </c>
      <c r="K88" s="201" t="n">
        <f aca="false">I88/J88*100-100</f>
        <v>1.13410470375024</v>
      </c>
      <c r="L88" s="203" t="n">
        <v>289330</v>
      </c>
      <c r="M88" s="219" t="n">
        <v>189492</v>
      </c>
      <c r="N88" s="201" t="n">
        <f aca="false">L88/M88*100-100</f>
        <v>52.6871846832584</v>
      </c>
      <c r="O88" s="203" t="n">
        <v>65</v>
      </c>
      <c r="P88" s="208" t="n">
        <v>128</v>
      </c>
      <c r="Q88" s="203" t="n">
        <v>65</v>
      </c>
      <c r="R88" s="202" t="n">
        <f aca="false">O88*P88</f>
        <v>8320</v>
      </c>
    </row>
    <row r="89" customFormat="false" ht="15" hidden="false" customHeight="false" outlineLevel="0" collapsed="false">
      <c r="A89" s="242" t="n">
        <v>8</v>
      </c>
      <c r="B89" s="243" t="s">
        <v>89</v>
      </c>
      <c r="C89" s="208" t="n">
        <v>1505529</v>
      </c>
      <c r="D89" s="208" t="n">
        <v>1187670</v>
      </c>
      <c r="E89" s="201" t="n">
        <f aca="false">C89/D89*100-100</f>
        <v>26.7632423147844</v>
      </c>
      <c r="F89" s="208" t="n">
        <v>198146</v>
      </c>
      <c r="G89" s="208" t="n">
        <v>136788</v>
      </c>
      <c r="H89" s="201" t="n">
        <f aca="false">F89/G89*100-100</f>
        <v>44.8562739421587</v>
      </c>
      <c r="I89" s="208" t="n">
        <v>1507957</v>
      </c>
      <c r="J89" s="208" t="n">
        <v>1207258</v>
      </c>
      <c r="K89" s="201" t="n">
        <f aca="false">I89/J89*100-100</f>
        <v>24.9076005294643</v>
      </c>
      <c r="L89" s="203" t="n">
        <f aca="false">447614+513287</f>
        <v>960901</v>
      </c>
      <c r="M89" s="208" t="n">
        <f aca="false">279949+348867</f>
        <v>628816</v>
      </c>
      <c r="N89" s="201" t="n">
        <f aca="false">L89/M89*100-100</f>
        <v>52.8111562046767</v>
      </c>
      <c r="O89" s="203" t="n">
        <v>105</v>
      </c>
      <c r="P89" s="208" t="n">
        <v>306</v>
      </c>
      <c r="Q89" s="203" t="n">
        <v>104</v>
      </c>
      <c r="R89" s="202" t="n">
        <f aca="false">O89*P89</f>
        <v>32130</v>
      </c>
    </row>
    <row r="90" customFormat="false" ht="15" hidden="false" customHeight="false" outlineLevel="0" collapsed="false">
      <c r="A90" s="242" t="n">
        <v>9</v>
      </c>
      <c r="B90" s="243" t="s">
        <v>233</v>
      </c>
      <c r="C90" s="208" t="n">
        <v>948785</v>
      </c>
      <c r="D90" s="208" t="n">
        <v>605864</v>
      </c>
      <c r="E90" s="201" t="n">
        <f aca="false">C90/D90*100-100</f>
        <v>56.6003261458017</v>
      </c>
      <c r="F90" s="208" t="n">
        <v>116416</v>
      </c>
      <c r="G90" s="208" t="n">
        <v>85472</v>
      </c>
      <c r="H90" s="201" t="n">
        <f aca="false">F90/G90*100-100</f>
        <v>36.2036690378136</v>
      </c>
      <c r="I90" s="208" t="n">
        <v>766795</v>
      </c>
      <c r="J90" s="208" t="n">
        <v>580066</v>
      </c>
      <c r="K90" s="201" t="n">
        <f aca="false">I90/J90*100-100</f>
        <v>32.1909920595243</v>
      </c>
      <c r="L90" s="203" t="n">
        <f aca="false">163128+51468</f>
        <v>214596</v>
      </c>
      <c r="M90" s="208" t="n">
        <f aca="false">163216+20892</f>
        <v>184108</v>
      </c>
      <c r="N90" s="201" t="n">
        <f aca="false">L90/M90*100-100</f>
        <v>16.5598453081887</v>
      </c>
      <c r="O90" s="203" t="n">
        <v>88</v>
      </c>
      <c r="P90" s="208" t="n">
        <v>134</v>
      </c>
      <c r="Q90" s="203" t="n">
        <v>78</v>
      </c>
      <c r="R90" s="202" t="n">
        <f aca="false">O90*P90</f>
        <v>11792</v>
      </c>
    </row>
    <row r="91" customFormat="false" ht="15" hidden="false" customHeight="false" outlineLevel="0" collapsed="false">
      <c r="A91" s="242" t="n">
        <v>10</v>
      </c>
      <c r="B91" s="243" t="s">
        <v>234</v>
      </c>
      <c r="C91" s="208" t="n">
        <v>181803</v>
      </c>
      <c r="D91" s="208" t="n">
        <v>100633</v>
      </c>
      <c r="E91" s="201" t="n">
        <f aca="false">C91/D91*100-100</f>
        <v>80.6594258344678</v>
      </c>
      <c r="F91" s="208" t="n">
        <v>7363</v>
      </c>
      <c r="G91" s="208" t="n">
        <v>9994</v>
      </c>
      <c r="H91" s="201" t="n">
        <f aca="false">F91/G91*100-100</f>
        <v>-26.3257954772864</v>
      </c>
      <c r="I91" s="208" t="n">
        <v>181803</v>
      </c>
      <c r="J91" s="208" t="n">
        <v>100633</v>
      </c>
      <c r="K91" s="201" t="n">
        <f aca="false">I91/J91*100-100</f>
        <v>80.6594258344678</v>
      </c>
      <c r="L91" s="203" t="n">
        <f aca="false">21747+70400</f>
        <v>92147</v>
      </c>
      <c r="M91" s="208" t="n">
        <f aca="false">23483+9469</f>
        <v>32952</v>
      </c>
      <c r="N91" s="201" t="n">
        <f aca="false">L91/M91*100-100</f>
        <v>179.640082544307</v>
      </c>
      <c r="O91" s="203" t="n">
        <v>51</v>
      </c>
      <c r="P91" s="208"/>
      <c r="Q91" s="203" t="n">
        <v>51</v>
      </c>
      <c r="R91" s="202"/>
    </row>
    <row r="92" customFormat="false" ht="15" hidden="false" customHeight="false" outlineLevel="0" collapsed="false">
      <c r="A92" s="244" t="n">
        <v>11</v>
      </c>
      <c r="B92" s="243" t="s">
        <v>90</v>
      </c>
      <c r="C92" s="242" t="n">
        <v>105391</v>
      </c>
      <c r="D92" s="364" t="n">
        <v>289887</v>
      </c>
      <c r="E92" s="201" t="n">
        <f aca="false">C92/D92*100-100</f>
        <v>-63.6441096013274</v>
      </c>
      <c r="F92" s="208" t="n">
        <v>29453</v>
      </c>
      <c r="G92" s="208" t="n">
        <v>30571</v>
      </c>
      <c r="H92" s="201" t="n">
        <f aca="false">F92/G92*100-100</f>
        <v>-3.65706061299925</v>
      </c>
      <c r="I92" s="247" t="n">
        <v>3199204</v>
      </c>
      <c r="J92" s="248" t="n">
        <v>3024847</v>
      </c>
      <c r="K92" s="201" t="n">
        <f aca="false">I92/J92*100-100</f>
        <v>5.76415931119823</v>
      </c>
      <c r="L92" s="247" t="n">
        <v>9310</v>
      </c>
      <c r="M92" s="248" t="n">
        <v>27964</v>
      </c>
      <c r="N92" s="201" t="n">
        <f aca="false">L92/M92*100-100</f>
        <v>-66.7071949649549</v>
      </c>
      <c r="O92" s="203" t="n">
        <v>50</v>
      </c>
      <c r="P92" s="208" t="n">
        <v>250</v>
      </c>
      <c r="Q92" s="203" t="n">
        <v>51</v>
      </c>
      <c r="R92" s="202" t="n">
        <f aca="false">O92*P92</f>
        <v>12500</v>
      </c>
    </row>
    <row r="93" customFormat="false" ht="15" hidden="false" customHeight="false" outlineLevel="0" collapsed="false">
      <c r="A93" s="215" t="s">
        <v>91</v>
      </c>
      <c r="B93" s="215" t="s">
        <v>92</v>
      </c>
      <c r="C93" s="237" t="n">
        <f aca="false">SUM(C82:C92)</f>
        <v>6373903</v>
      </c>
      <c r="D93" s="237" t="n">
        <f aca="false">SUM(D82:D92)</f>
        <v>5991698</v>
      </c>
      <c r="E93" s="313" t="n">
        <f aca="false">C93/D93*100-100</f>
        <v>6.37890961794136</v>
      </c>
      <c r="F93" s="237" t="n">
        <f aca="false">SUM(F82:F92)</f>
        <v>656154</v>
      </c>
      <c r="G93" s="237" t="n">
        <f aca="false">SUM(G82:G92)</f>
        <v>731819</v>
      </c>
      <c r="H93" s="313" t="n">
        <f aca="false">F93/G93*100-100</f>
        <v>-10.3393052107147</v>
      </c>
      <c r="I93" s="237" t="n">
        <f aca="false">SUM(I82:I92)</f>
        <v>9822301</v>
      </c>
      <c r="J93" s="237" t="n">
        <f aca="false">SUM(J82:J92)</f>
        <v>9846369</v>
      </c>
      <c r="K93" s="313" t="n">
        <f aca="false">I93/J93*100-100</f>
        <v>-0.244435283707119</v>
      </c>
      <c r="L93" s="237" t="n">
        <f aca="false">SUM(L82:L92)</f>
        <v>3073519</v>
      </c>
      <c r="M93" s="237" t="n">
        <f aca="false">SUM(M82:M92)</f>
        <v>2840881</v>
      </c>
      <c r="N93" s="313" t="n">
        <f aca="false">L93/M93*100-100</f>
        <v>8.1889385722246</v>
      </c>
      <c r="O93" s="216" t="n">
        <f aca="false">SUM(O82:O92)</f>
        <v>3883</v>
      </c>
      <c r="P93" s="217" t="n">
        <f aca="false">R93/O93</f>
        <v>115.849600824105</v>
      </c>
      <c r="Q93" s="216" t="n">
        <f aca="false">SUM(Q82:Q92)</f>
        <v>3884</v>
      </c>
      <c r="R93" s="232" t="n">
        <f aca="false">SUM(R82:R92)</f>
        <v>449844</v>
      </c>
    </row>
    <row r="94" customFormat="false" ht="15" hidden="false" customHeight="false" outlineLevel="0" collapsed="false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192"/>
      <c r="L94" s="203"/>
      <c r="M94" s="203"/>
      <c r="N94" s="203"/>
      <c r="O94" s="203"/>
      <c r="P94" s="219"/>
      <c r="Q94" s="203"/>
      <c r="R94" s="197"/>
    </row>
    <row r="95" customFormat="false" ht="15" hidden="false" customHeight="false" outlineLevel="0" collapsed="false">
      <c r="A95" s="190" t="s">
        <v>93</v>
      </c>
      <c r="B95" s="190"/>
      <c r="C95" s="195" t="n">
        <v>3</v>
      </c>
      <c r="D95" s="195" t="n">
        <v>4</v>
      </c>
      <c r="E95" s="196" t="n">
        <v>5</v>
      </c>
      <c r="F95" s="195" t="n">
        <v>6</v>
      </c>
      <c r="G95" s="195" t="n">
        <v>7</v>
      </c>
      <c r="H95" s="195" t="n">
        <v>8</v>
      </c>
      <c r="I95" s="195" t="n">
        <v>9</v>
      </c>
      <c r="J95" s="195" t="n">
        <v>10</v>
      </c>
      <c r="K95" s="195" t="n">
        <v>11</v>
      </c>
      <c r="L95" s="195" t="n">
        <v>12</v>
      </c>
      <c r="M95" s="195" t="n">
        <v>13</v>
      </c>
      <c r="N95" s="195" t="n">
        <v>14</v>
      </c>
      <c r="O95" s="195" t="n">
        <v>15</v>
      </c>
      <c r="P95" s="196" t="n">
        <v>16</v>
      </c>
      <c r="Q95" s="195" t="n">
        <v>17</v>
      </c>
      <c r="R95" s="197"/>
    </row>
    <row r="96" customFormat="false" ht="15" hidden="false" customHeight="false" outlineLevel="0" collapsed="false">
      <c r="A96" s="249" t="n">
        <v>1</v>
      </c>
      <c r="B96" s="245" t="s">
        <v>94</v>
      </c>
      <c r="C96" s="250" t="n">
        <v>380989</v>
      </c>
      <c r="D96" s="250" t="n">
        <v>285817</v>
      </c>
      <c r="E96" s="201" t="n">
        <f aca="false">C96/D96*100-100</f>
        <v>33.2982292865715</v>
      </c>
      <c r="F96" s="250" t="n">
        <v>57297</v>
      </c>
      <c r="G96" s="250" t="n">
        <v>36804</v>
      </c>
      <c r="H96" s="201" t="n">
        <f aca="false">F96/G96*100-100</f>
        <v>55.6814476687317</v>
      </c>
      <c r="I96" s="250" t="n">
        <v>3900148</v>
      </c>
      <c r="J96" s="251" t="n">
        <v>281120</v>
      </c>
      <c r="K96" s="223" t="n">
        <f aca="false">I96/J96*100-100</f>
        <v>1287.36055776892</v>
      </c>
      <c r="L96" s="250" t="n">
        <v>390128</v>
      </c>
      <c r="M96" s="250" t="n">
        <v>281075</v>
      </c>
      <c r="N96" s="201" t="n">
        <f aca="false">L96/M96*100-100</f>
        <v>38.7985413145958</v>
      </c>
      <c r="O96" s="250" t="n">
        <v>318</v>
      </c>
      <c r="P96" s="250" t="n">
        <v>135</v>
      </c>
      <c r="Q96" s="250" t="n">
        <v>317</v>
      </c>
      <c r="R96" s="202" t="n">
        <f aca="false">O96*P96</f>
        <v>42930</v>
      </c>
    </row>
    <row r="97" customFormat="false" ht="15" hidden="false" customHeight="false" outlineLevel="0" collapsed="false">
      <c r="A97" s="249" t="n">
        <v>2</v>
      </c>
      <c r="B97" s="245" t="s">
        <v>95</v>
      </c>
      <c r="C97" s="200" t="n">
        <v>0</v>
      </c>
      <c r="D97" s="200" t="n">
        <v>0</v>
      </c>
      <c r="E97" s="201" t="n">
        <v>0</v>
      </c>
      <c r="F97" s="200" t="n">
        <v>0</v>
      </c>
      <c r="G97" s="200" t="n">
        <v>0</v>
      </c>
      <c r="H97" s="201" t="n">
        <v>0</v>
      </c>
      <c r="I97" s="200" t="n">
        <v>0</v>
      </c>
      <c r="J97" s="200" t="n">
        <v>0</v>
      </c>
      <c r="K97" s="201" t="n">
        <v>0</v>
      </c>
      <c r="L97" s="200" t="n">
        <v>0</v>
      </c>
      <c r="M97" s="200" t="n">
        <v>0</v>
      </c>
      <c r="N97" s="201" t="n">
        <v>0</v>
      </c>
      <c r="O97" s="250" t="n">
        <v>0</v>
      </c>
      <c r="P97" s="250" t="n">
        <v>0</v>
      </c>
      <c r="Q97" s="250" t="n">
        <v>0</v>
      </c>
      <c r="R97" s="202" t="n">
        <f aca="false">O97*P97</f>
        <v>0</v>
      </c>
    </row>
    <row r="98" customFormat="false" ht="15" hidden="false" customHeight="false" outlineLevel="0" collapsed="false">
      <c r="A98" s="249" t="n">
        <v>3</v>
      </c>
      <c r="B98" s="243" t="s">
        <v>96</v>
      </c>
      <c r="C98" s="200" t="n">
        <v>0</v>
      </c>
      <c r="D98" s="200" t="n">
        <v>0</v>
      </c>
      <c r="E98" s="201" t="n">
        <v>0</v>
      </c>
      <c r="F98" s="200" t="n">
        <v>0</v>
      </c>
      <c r="G98" s="200" t="n">
        <v>0</v>
      </c>
      <c r="H98" s="201" t="n">
        <v>0</v>
      </c>
      <c r="I98" s="200" t="n">
        <v>0</v>
      </c>
      <c r="J98" s="200" t="n">
        <v>0</v>
      </c>
      <c r="K98" s="201" t="n">
        <v>0</v>
      </c>
      <c r="L98" s="200" t="n">
        <v>0</v>
      </c>
      <c r="M98" s="200" t="n">
        <v>0</v>
      </c>
      <c r="N98" s="201" t="n">
        <v>0</v>
      </c>
      <c r="O98" s="250" t="n">
        <v>0</v>
      </c>
      <c r="P98" s="250" t="n">
        <v>0</v>
      </c>
      <c r="Q98" s="250" t="n">
        <v>0</v>
      </c>
      <c r="R98" s="202" t="n">
        <v>0</v>
      </c>
      <c r="S98" s="347"/>
    </row>
    <row r="99" customFormat="false" ht="15" hidden="false" customHeight="false" outlineLevel="0" collapsed="false">
      <c r="A99" s="249" t="n">
        <v>4</v>
      </c>
      <c r="B99" s="243" t="s">
        <v>97</v>
      </c>
      <c r="C99" s="200" t="n">
        <v>31075</v>
      </c>
      <c r="D99" s="200" t="n">
        <v>0</v>
      </c>
      <c r="E99" s="201" t="n">
        <v>0</v>
      </c>
      <c r="F99" s="200" t="n">
        <v>2475</v>
      </c>
      <c r="G99" s="200" t="n">
        <v>0</v>
      </c>
      <c r="H99" s="201" t="n">
        <v>0</v>
      </c>
      <c r="I99" s="200" t="n">
        <v>20343</v>
      </c>
      <c r="J99" s="200" t="n">
        <v>9664</v>
      </c>
      <c r="K99" s="201" t="n">
        <v>0</v>
      </c>
      <c r="L99" s="200" t="n">
        <v>0</v>
      </c>
      <c r="M99" s="200" t="n">
        <v>0</v>
      </c>
      <c r="N99" s="201" t="n">
        <v>0</v>
      </c>
      <c r="O99" s="250" t="n">
        <v>30</v>
      </c>
      <c r="P99" s="250" t="n">
        <v>120</v>
      </c>
      <c r="Q99" s="250" t="n">
        <v>34</v>
      </c>
      <c r="R99" s="202" t="n">
        <f aca="false">O99*P99</f>
        <v>3600</v>
      </c>
    </row>
    <row r="100" customFormat="false" ht="15" hidden="false" customHeight="false" outlineLevel="0" collapsed="false">
      <c r="A100" s="249" t="n">
        <v>5</v>
      </c>
      <c r="B100" s="245" t="s">
        <v>98</v>
      </c>
      <c r="C100" s="250" t="n">
        <v>479209</v>
      </c>
      <c r="D100" s="250" t="n">
        <v>526089</v>
      </c>
      <c r="E100" s="201" t="n">
        <f aca="false">C100/D100*100-100</f>
        <v>-8.91103976703562</v>
      </c>
      <c r="F100" s="250" t="n">
        <v>50595</v>
      </c>
      <c r="G100" s="250" t="n">
        <v>27639</v>
      </c>
      <c r="H100" s="201" t="n">
        <f aca="false">F100/G100*100-100</f>
        <v>83.05655052643</v>
      </c>
      <c r="I100" s="250" t="n">
        <v>470064</v>
      </c>
      <c r="J100" s="250" t="n">
        <v>574147</v>
      </c>
      <c r="K100" s="201" t="n">
        <f aca="false">I100/J100*100-100</f>
        <v>-18.1282842198949</v>
      </c>
      <c r="L100" s="250" t="n">
        <f aca="false">9126+460938</f>
        <v>470064</v>
      </c>
      <c r="M100" s="250" t="n">
        <v>574147</v>
      </c>
      <c r="N100" s="201" t="n">
        <f aca="false">L100/M100*100-100</f>
        <v>-18.1282842198949</v>
      </c>
      <c r="O100" s="250" t="n">
        <v>408</v>
      </c>
      <c r="P100" s="250" t="n">
        <v>52</v>
      </c>
      <c r="Q100" s="250" t="n">
        <v>408</v>
      </c>
      <c r="R100" s="202" t="n">
        <f aca="false">O100*P100</f>
        <v>21216</v>
      </c>
    </row>
    <row r="101" customFormat="false" ht="15" hidden="false" customHeight="false" outlineLevel="0" collapsed="false">
      <c r="A101" s="249" t="n">
        <v>6</v>
      </c>
      <c r="B101" s="245" t="s">
        <v>99</v>
      </c>
      <c r="C101" s="200" t="n">
        <v>0</v>
      </c>
      <c r="D101" s="200" t="n">
        <v>0</v>
      </c>
      <c r="E101" s="201" t="n">
        <v>0</v>
      </c>
      <c r="F101" s="200" t="n">
        <v>0</v>
      </c>
      <c r="G101" s="200" t="n">
        <v>0</v>
      </c>
      <c r="H101" s="201" t="n">
        <v>0</v>
      </c>
      <c r="I101" s="200" t="n">
        <v>0</v>
      </c>
      <c r="J101" s="200" t="n">
        <v>0</v>
      </c>
      <c r="K101" s="201" t="n">
        <v>0</v>
      </c>
      <c r="L101" s="200" t="n">
        <v>0</v>
      </c>
      <c r="M101" s="200" t="n">
        <v>0</v>
      </c>
      <c r="N101" s="201" t="n">
        <v>0</v>
      </c>
      <c r="O101" s="250" t="n">
        <v>0</v>
      </c>
      <c r="P101" s="250" t="n">
        <v>0</v>
      </c>
      <c r="Q101" s="250" t="n">
        <v>0</v>
      </c>
      <c r="R101" s="202" t="n">
        <f aca="false">O101*P101</f>
        <v>0</v>
      </c>
    </row>
    <row r="102" customFormat="false" ht="15" hidden="false" customHeight="false" outlineLevel="0" collapsed="false">
      <c r="A102" s="249" t="n">
        <v>7</v>
      </c>
      <c r="B102" s="243" t="s">
        <v>100</v>
      </c>
      <c r="C102" s="200" t="n">
        <v>0</v>
      </c>
      <c r="D102" s="200" t="n">
        <v>0</v>
      </c>
      <c r="E102" s="201" t="n">
        <v>0</v>
      </c>
      <c r="F102" s="200" t="n">
        <v>0</v>
      </c>
      <c r="G102" s="200" t="n">
        <v>0</v>
      </c>
      <c r="H102" s="201" t="n">
        <v>0</v>
      </c>
      <c r="I102" s="200" t="n">
        <v>0</v>
      </c>
      <c r="J102" s="200" t="n">
        <v>0</v>
      </c>
      <c r="K102" s="201" t="n">
        <v>0</v>
      </c>
      <c r="L102" s="200" t="n">
        <v>0</v>
      </c>
      <c r="M102" s="200" t="n">
        <v>0</v>
      </c>
      <c r="N102" s="201" t="n">
        <v>0</v>
      </c>
      <c r="O102" s="250" t="n">
        <v>0</v>
      </c>
      <c r="P102" s="250" t="n">
        <v>0</v>
      </c>
      <c r="Q102" s="250" t="n">
        <v>0</v>
      </c>
      <c r="R102" s="202" t="n">
        <f aca="false">O102*P102</f>
        <v>0</v>
      </c>
    </row>
    <row r="103" customFormat="false" ht="15" hidden="false" customHeight="false" outlineLevel="0" collapsed="false">
      <c r="A103" s="249" t="n">
        <v>8</v>
      </c>
      <c r="B103" s="245" t="s">
        <v>101</v>
      </c>
      <c r="C103" s="208" t="n">
        <v>336736</v>
      </c>
      <c r="D103" s="208" t="n">
        <v>332311</v>
      </c>
      <c r="E103" s="201" t="n">
        <f aca="false">C103/D103*100-100</f>
        <v>1.33158396802995</v>
      </c>
      <c r="F103" s="208" t="n">
        <v>18017</v>
      </c>
      <c r="G103" s="208" t="n">
        <v>32950</v>
      </c>
      <c r="H103" s="201" t="n">
        <f aca="false">F103/G103*100-100</f>
        <v>-45.3201820940819</v>
      </c>
      <c r="I103" s="208" t="n">
        <v>373563</v>
      </c>
      <c r="J103" s="208" t="n">
        <v>298678</v>
      </c>
      <c r="K103" s="201" t="n">
        <f aca="false">I103/J103*100-100</f>
        <v>25.0721512799738</v>
      </c>
      <c r="L103" s="208" t="n">
        <f aca="false">38543+69157</f>
        <v>107700</v>
      </c>
      <c r="M103" s="208" t="n">
        <f aca="false">10836+96386</f>
        <v>107222</v>
      </c>
      <c r="N103" s="223" t="n">
        <f aca="false">L103/M103*100-100</f>
        <v>0.445804032754467</v>
      </c>
      <c r="O103" s="250" t="n">
        <v>118</v>
      </c>
      <c r="P103" s="250" t="n">
        <v>88</v>
      </c>
      <c r="Q103" s="250" t="n">
        <v>127</v>
      </c>
      <c r="R103" s="202" t="n">
        <f aca="false">O103*P103</f>
        <v>10384</v>
      </c>
    </row>
    <row r="104" customFormat="false" ht="15" hidden="false" customHeight="false" outlineLevel="0" collapsed="false">
      <c r="A104" s="249" t="n">
        <v>9</v>
      </c>
      <c r="B104" s="245" t="s">
        <v>102</v>
      </c>
      <c r="C104" s="200" t="n">
        <v>0</v>
      </c>
      <c r="D104" s="200" t="n">
        <v>0</v>
      </c>
      <c r="E104" s="201" t="n">
        <v>0</v>
      </c>
      <c r="F104" s="200" t="n">
        <v>0</v>
      </c>
      <c r="G104" s="200" t="n">
        <v>0</v>
      </c>
      <c r="H104" s="201" t="n">
        <v>0</v>
      </c>
      <c r="I104" s="200" t="n">
        <v>0</v>
      </c>
      <c r="J104" s="200" t="n">
        <v>0</v>
      </c>
      <c r="K104" s="201" t="n">
        <v>0</v>
      </c>
      <c r="L104" s="200" t="n">
        <v>0</v>
      </c>
      <c r="M104" s="200" t="n">
        <v>0</v>
      </c>
      <c r="N104" s="201" t="n">
        <v>0</v>
      </c>
      <c r="O104" s="250" t="n">
        <v>0</v>
      </c>
      <c r="P104" s="250" t="n">
        <v>0</v>
      </c>
      <c r="Q104" s="250" t="n">
        <v>0</v>
      </c>
      <c r="R104" s="202" t="n">
        <f aca="false">O104*P104</f>
        <v>0</v>
      </c>
    </row>
    <row r="105" customFormat="false" ht="15" hidden="false" customHeight="false" outlineLevel="0" collapsed="false">
      <c r="A105" s="249" t="n">
        <v>10</v>
      </c>
      <c r="B105" s="243" t="s">
        <v>220</v>
      </c>
      <c r="C105" s="203" t="n">
        <v>153896</v>
      </c>
      <c r="D105" s="203" t="n">
        <v>125671</v>
      </c>
      <c r="E105" s="201" t="n">
        <f aca="false">C105/D105*100-100</f>
        <v>22.4594377382212</v>
      </c>
      <c r="F105" s="203" t="n">
        <v>22222</v>
      </c>
      <c r="G105" s="203" t="n">
        <v>28844</v>
      </c>
      <c r="H105" s="201" t="n">
        <v>0</v>
      </c>
      <c r="I105" s="203" t="n">
        <v>153896</v>
      </c>
      <c r="J105" s="203" t="n">
        <v>125671</v>
      </c>
      <c r="K105" s="201" t="n">
        <f aca="false">I105/J105*100-100</f>
        <v>22.4594377382212</v>
      </c>
      <c r="L105" s="203" t="n">
        <v>153896</v>
      </c>
      <c r="M105" s="203" t="n">
        <v>125671</v>
      </c>
      <c r="N105" s="201" t="n">
        <f aca="false">L105/M105*100-100</f>
        <v>22.4594377382212</v>
      </c>
      <c r="O105" s="250" t="n">
        <v>87</v>
      </c>
      <c r="P105" s="250" t="n">
        <v>70</v>
      </c>
      <c r="Q105" s="250" t="n">
        <v>91</v>
      </c>
      <c r="R105" s="202" t="n">
        <f aca="false">O105*P105</f>
        <v>6090</v>
      </c>
    </row>
    <row r="106" customFormat="false" ht="15" hidden="false" customHeight="false" outlineLevel="0" collapsed="false">
      <c r="A106" s="249" t="n">
        <v>11</v>
      </c>
      <c r="B106" s="245" t="s">
        <v>104</v>
      </c>
      <c r="C106" s="200" t="n">
        <v>0</v>
      </c>
      <c r="D106" s="200" t="n">
        <v>0</v>
      </c>
      <c r="E106" s="201" t="n">
        <v>0</v>
      </c>
      <c r="F106" s="200" t="n">
        <v>0</v>
      </c>
      <c r="G106" s="200" t="n">
        <v>0</v>
      </c>
      <c r="H106" s="201" t="n">
        <v>0</v>
      </c>
      <c r="I106" s="200" t="n">
        <v>0</v>
      </c>
      <c r="J106" s="200" t="n">
        <v>0</v>
      </c>
      <c r="K106" s="201" t="n">
        <v>0</v>
      </c>
      <c r="L106" s="200" t="n">
        <v>0</v>
      </c>
      <c r="M106" s="200" t="n">
        <v>0</v>
      </c>
      <c r="N106" s="201" t="n">
        <v>0</v>
      </c>
      <c r="O106" s="250" t="n">
        <v>0</v>
      </c>
      <c r="P106" s="250" t="n">
        <v>0</v>
      </c>
      <c r="Q106" s="250" t="n">
        <v>0</v>
      </c>
      <c r="R106" s="202" t="n">
        <f aca="false">O106*P106</f>
        <v>0</v>
      </c>
    </row>
    <row r="107" customFormat="false" ht="15" hidden="false" customHeight="false" outlineLevel="0" collapsed="false">
      <c r="A107" s="249" t="n">
        <v>12</v>
      </c>
      <c r="B107" s="245" t="s">
        <v>221</v>
      </c>
      <c r="C107" s="251" t="n">
        <v>75582</v>
      </c>
      <c r="D107" s="250" t="n">
        <v>86524</v>
      </c>
      <c r="E107" s="201" t="n">
        <f aca="false">C107/D107*100-100</f>
        <v>-12.6462022097915</v>
      </c>
      <c r="F107" s="251" t="n">
        <v>4767</v>
      </c>
      <c r="G107" s="250" t="n">
        <v>7500</v>
      </c>
      <c r="H107" s="201" t="n">
        <f aca="false">F107/G107*100-100</f>
        <v>-36.44</v>
      </c>
      <c r="I107" s="251" t="n">
        <v>25582</v>
      </c>
      <c r="J107" s="251" t="n">
        <v>84650</v>
      </c>
      <c r="K107" s="201" t="n">
        <f aca="false">I107/J107*100-100</f>
        <v>-69.7790903721205</v>
      </c>
      <c r="L107" s="250" t="n">
        <v>0</v>
      </c>
      <c r="M107" s="250" t="n">
        <v>0</v>
      </c>
      <c r="N107" s="201" t="n">
        <v>0</v>
      </c>
      <c r="O107" s="250" t="n">
        <v>12</v>
      </c>
      <c r="P107" s="250" t="n">
        <v>58</v>
      </c>
      <c r="Q107" s="250" t="n">
        <v>12</v>
      </c>
      <c r="R107" s="202" t="n">
        <f aca="false">O107*P107</f>
        <v>696</v>
      </c>
    </row>
    <row r="108" customFormat="false" ht="15" hidden="false" customHeight="false" outlineLevel="0" collapsed="false">
      <c r="A108" s="249" t="n">
        <v>13</v>
      </c>
      <c r="B108" s="245" t="s">
        <v>222</v>
      </c>
      <c r="C108" s="251" t="n">
        <v>37903</v>
      </c>
      <c r="D108" s="251" t="n">
        <v>48339</v>
      </c>
      <c r="E108" s="260" t="n">
        <f aca="false">C108/D108*100-100</f>
        <v>-21.5891929911666</v>
      </c>
      <c r="F108" s="251" t="n">
        <v>5723</v>
      </c>
      <c r="G108" s="251" t="n">
        <v>3706</v>
      </c>
      <c r="H108" s="251" t="n">
        <f aca="false">F108/G108*100-100</f>
        <v>54.4252563410686</v>
      </c>
      <c r="I108" s="251" t="n">
        <v>39531</v>
      </c>
      <c r="J108" s="251" t="n">
        <v>88870</v>
      </c>
      <c r="K108" s="260" t="n">
        <f aca="false">I108/J108*100-100</f>
        <v>-55.51817261168</v>
      </c>
      <c r="L108" s="251" t="n">
        <v>26980</v>
      </c>
      <c r="M108" s="251" t="n">
        <f aca="false">28982+46546</f>
        <v>75528</v>
      </c>
      <c r="N108" s="260" t="n">
        <f aca="false">L108/M108*100-100</f>
        <v>-64.2781485012181</v>
      </c>
      <c r="O108" s="251" t="n">
        <v>74</v>
      </c>
      <c r="P108" s="251" t="n">
        <v>61</v>
      </c>
      <c r="Q108" s="251" t="n">
        <v>57</v>
      </c>
      <c r="R108" s="202" t="n">
        <f aca="false">O108*P108</f>
        <v>4514</v>
      </c>
    </row>
    <row r="109" customFormat="false" ht="15" hidden="false" customHeight="false" outlineLevel="0" collapsed="false">
      <c r="A109" s="249" t="n">
        <v>14</v>
      </c>
      <c r="B109" s="245" t="s">
        <v>223</v>
      </c>
      <c r="C109" s="200" t="n">
        <v>0</v>
      </c>
      <c r="D109" s="200" t="n">
        <v>0</v>
      </c>
      <c r="E109" s="201" t="n">
        <v>0</v>
      </c>
      <c r="F109" s="200" t="n">
        <v>0</v>
      </c>
      <c r="G109" s="200" t="n">
        <v>0</v>
      </c>
      <c r="H109" s="201" t="n">
        <v>0</v>
      </c>
      <c r="I109" s="200" t="n">
        <v>0</v>
      </c>
      <c r="J109" s="200" t="n">
        <v>0</v>
      </c>
      <c r="K109" s="201" t="n">
        <v>0</v>
      </c>
      <c r="L109" s="200" t="n">
        <v>0</v>
      </c>
      <c r="M109" s="200" t="n">
        <v>0</v>
      </c>
      <c r="N109" s="201" t="n">
        <v>0</v>
      </c>
      <c r="O109" s="250" t="n">
        <v>0</v>
      </c>
      <c r="P109" s="250" t="n">
        <v>0</v>
      </c>
      <c r="Q109" s="250" t="n">
        <v>0</v>
      </c>
      <c r="R109" s="202" t="n">
        <f aca="false">O109*P109</f>
        <v>0</v>
      </c>
    </row>
    <row r="110" customFormat="false" ht="15" hidden="false" customHeight="false" outlineLevel="0" collapsed="false">
      <c r="A110" s="249" t="n">
        <v>15</v>
      </c>
      <c r="B110" s="245" t="s">
        <v>224</v>
      </c>
      <c r="C110" s="208" t="n">
        <v>105981</v>
      </c>
      <c r="D110" s="208" t="n">
        <v>58411</v>
      </c>
      <c r="E110" s="201" t="n">
        <f aca="false">C110/D110*100-100</f>
        <v>81.4401396997141</v>
      </c>
      <c r="F110" s="208" t="n">
        <v>105981</v>
      </c>
      <c r="G110" s="208" t="n">
        <v>58411</v>
      </c>
      <c r="H110" s="201" t="n">
        <f aca="false">F110/G110*100-100</f>
        <v>81.4401396997141</v>
      </c>
      <c r="I110" s="208" t="n">
        <v>0</v>
      </c>
      <c r="J110" s="208" t="n">
        <v>0</v>
      </c>
      <c r="K110" s="201" t="n">
        <v>0</v>
      </c>
      <c r="L110" s="208" t="n">
        <v>105981</v>
      </c>
      <c r="M110" s="208" t="n">
        <v>58411</v>
      </c>
      <c r="N110" s="201" t="n">
        <f aca="false">L110/M110*100-100</f>
        <v>81.4401396997141</v>
      </c>
      <c r="O110" s="250" t="n">
        <v>91</v>
      </c>
      <c r="P110" s="250" t="n">
        <v>85</v>
      </c>
      <c r="Q110" s="250" t="n">
        <v>94</v>
      </c>
      <c r="R110" s="202" t="n">
        <f aca="false">O110*P110</f>
        <v>7735</v>
      </c>
    </row>
    <row r="111" customFormat="false" ht="15" hidden="false" customHeight="false" outlineLevel="0" collapsed="false">
      <c r="A111" s="249" t="n">
        <v>16</v>
      </c>
      <c r="B111" s="245" t="s">
        <v>109</v>
      </c>
      <c r="C111" s="208" t="n">
        <v>206959</v>
      </c>
      <c r="D111" s="208" t="n">
        <v>435713</v>
      </c>
      <c r="E111" s="201" t="n">
        <f aca="false">C111/D111*100-100</f>
        <v>-52.5010729539858</v>
      </c>
      <c r="F111" s="208" t="n">
        <v>21624</v>
      </c>
      <c r="G111" s="208" t="n">
        <v>18486</v>
      </c>
      <c r="H111" s="201" t="n">
        <f aca="false">F111/G111*100-100</f>
        <v>16.9750081142486</v>
      </c>
      <c r="I111" s="208" t="n">
        <v>203776</v>
      </c>
      <c r="J111" s="208" t="n">
        <v>426406</v>
      </c>
      <c r="K111" s="201" t="n">
        <f aca="false">I111/J111*100-100</f>
        <v>-52.2108037879392</v>
      </c>
      <c r="L111" s="208" t="n">
        <v>0</v>
      </c>
      <c r="M111" s="208" t="n">
        <v>0</v>
      </c>
      <c r="N111" s="201" t="n">
        <v>0</v>
      </c>
      <c r="O111" s="250" t="n">
        <v>100</v>
      </c>
      <c r="P111" s="250" t="n">
        <v>68</v>
      </c>
      <c r="Q111" s="250" t="n">
        <v>100</v>
      </c>
      <c r="R111" s="202" t="n">
        <f aca="false">O111*P111</f>
        <v>6800</v>
      </c>
    </row>
    <row r="112" customFormat="false" ht="15" hidden="false" customHeight="false" outlineLevel="0" collapsed="false">
      <c r="A112" s="249" t="n">
        <v>17</v>
      </c>
      <c r="B112" s="245" t="s">
        <v>110</v>
      </c>
      <c r="C112" s="251" t="n">
        <v>645130</v>
      </c>
      <c r="D112" s="250" t="n">
        <v>842772</v>
      </c>
      <c r="E112" s="201" t="n">
        <f aca="false">C112/D112*100-100</f>
        <v>-23.451419838343</v>
      </c>
      <c r="F112" s="251" t="n">
        <v>104090</v>
      </c>
      <c r="G112" s="251" t="n">
        <v>82296</v>
      </c>
      <c r="H112" s="201" t="n">
        <f aca="false">F112/G112*100-100</f>
        <v>26.4824535821911</v>
      </c>
      <c r="I112" s="251" t="n">
        <v>589231</v>
      </c>
      <c r="J112" s="251" t="n">
        <v>789185</v>
      </c>
      <c r="K112" s="201" t="n">
        <f aca="false">I112/J112*100-100</f>
        <v>-25.3367714794376</v>
      </c>
      <c r="L112" s="250" t="n">
        <v>0</v>
      </c>
      <c r="M112" s="250" t="n">
        <v>0</v>
      </c>
      <c r="N112" s="251" t="n">
        <v>0</v>
      </c>
      <c r="O112" s="250" t="n">
        <v>168</v>
      </c>
      <c r="P112" s="250" t="n">
        <v>100</v>
      </c>
      <c r="Q112" s="250" t="n">
        <v>171</v>
      </c>
      <c r="R112" s="202" t="n">
        <f aca="false">O112*P112</f>
        <v>16800</v>
      </c>
    </row>
    <row r="113" customFormat="false" ht="15" hidden="false" customHeight="false" outlineLevel="0" collapsed="false">
      <c r="A113" s="249" t="n">
        <v>18</v>
      </c>
      <c r="B113" s="243" t="s">
        <v>111</v>
      </c>
      <c r="C113" s="208" t="n">
        <v>509566</v>
      </c>
      <c r="D113" s="208" t="n">
        <v>366826</v>
      </c>
      <c r="E113" s="201" t="n">
        <f aca="false">C113/D113*100-100</f>
        <v>38.9121817973644</v>
      </c>
      <c r="F113" s="208" t="n">
        <v>0</v>
      </c>
      <c r="G113" s="208" t="n">
        <v>34729</v>
      </c>
      <c r="H113" s="201" t="n">
        <v>0</v>
      </c>
      <c r="I113" s="208" t="n">
        <v>509566</v>
      </c>
      <c r="J113" s="208" t="n">
        <v>366826</v>
      </c>
      <c r="K113" s="201" t="n">
        <f aca="false">I113/J113*100-100</f>
        <v>38.9121817973644</v>
      </c>
      <c r="L113" s="208" t="n">
        <v>509566</v>
      </c>
      <c r="M113" s="208" t="n">
        <v>366826</v>
      </c>
      <c r="N113" s="201" t="n">
        <f aca="false">L113/M113*100-100</f>
        <v>38.9121817973644</v>
      </c>
      <c r="O113" s="250" t="n">
        <v>117</v>
      </c>
      <c r="P113" s="250" t="n">
        <v>70</v>
      </c>
      <c r="Q113" s="250" t="n">
        <v>117</v>
      </c>
      <c r="R113" s="202" t="n">
        <f aca="false">O113*P113</f>
        <v>8190</v>
      </c>
    </row>
    <row r="114" customFormat="false" ht="15" hidden="false" customHeight="false" outlineLevel="0" collapsed="false">
      <c r="A114" s="249" t="n">
        <v>19</v>
      </c>
      <c r="B114" s="245" t="s">
        <v>112</v>
      </c>
      <c r="C114" s="200" t="n">
        <v>0</v>
      </c>
      <c r="D114" s="200" t="n">
        <v>0</v>
      </c>
      <c r="E114" s="201" t="n">
        <v>0</v>
      </c>
      <c r="F114" s="200" t="n">
        <v>0</v>
      </c>
      <c r="G114" s="200" t="n">
        <v>0</v>
      </c>
      <c r="H114" s="201" t="n">
        <v>0</v>
      </c>
      <c r="I114" s="200" t="n">
        <v>0</v>
      </c>
      <c r="J114" s="200" t="n">
        <v>0</v>
      </c>
      <c r="K114" s="201" t="n">
        <v>0</v>
      </c>
      <c r="L114" s="200" t="n">
        <v>0</v>
      </c>
      <c r="M114" s="200" t="n">
        <v>0</v>
      </c>
      <c r="N114" s="201" t="n">
        <v>0</v>
      </c>
      <c r="O114" s="251" t="n">
        <v>0</v>
      </c>
      <c r="P114" s="251" t="n">
        <v>0</v>
      </c>
      <c r="Q114" s="251" t="n">
        <v>0</v>
      </c>
      <c r="R114" s="202" t="n">
        <f aca="false">O114*P114</f>
        <v>0</v>
      </c>
    </row>
    <row r="115" customFormat="false" ht="15" hidden="false" customHeight="false" outlineLevel="0" collapsed="false">
      <c r="A115" s="249" t="n">
        <v>20</v>
      </c>
      <c r="B115" s="245" t="s">
        <v>113</v>
      </c>
      <c r="C115" s="200" t="n">
        <v>0</v>
      </c>
      <c r="D115" s="200" t="n">
        <v>0</v>
      </c>
      <c r="E115" s="201" t="n">
        <v>0</v>
      </c>
      <c r="F115" s="200" t="n">
        <v>0</v>
      </c>
      <c r="G115" s="200" t="n">
        <v>0</v>
      </c>
      <c r="H115" s="201" t="n">
        <v>0</v>
      </c>
      <c r="I115" s="200" t="n">
        <v>0</v>
      </c>
      <c r="J115" s="200" t="n">
        <v>0</v>
      </c>
      <c r="K115" s="201" t="n">
        <v>0</v>
      </c>
      <c r="L115" s="200" t="n">
        <v>0</v>
      </c>
      <c r="M115" s="200" t="n">
        <v>0</v>
      </c>
      <c r="N115" s="201" t="n">
        <v>0</v>
      </c>
      <c r="O115" s="251" t="n">
        <v>0</v>
      </c>
      <c r="P115" s="251" t="n">
        <v>0</v>
      </c>
      <c r="Q115" s="251" t="n">
        <v>0</v>
      </c>
      <c r="R115" s="202" t="n">
        <f aca="false">O115*P115</f>
        <v>0</v>
      </c>
    </row>
    <row r="116" customFormat="false" ht="15" hidden="false" customHeight="false" outlineLevel="0" collapsed="false">
      <c r="A116" s="249" t="n">
        <v>21</v>
      </c>
      <c r="B116" s="245" t="s">
        <v>225</v>
      </c>
      <c r="C116" s="250" t="n">
        <v>83175</v>
      </c>
      <c r="D116" s="250" t="n">
        <v>43118</v>
      </c>
      <c r="E116" s="201" t="n">
        <f aca="false">C116/D116*100-100</f>
        <v>92.9008766640382</v>
      </c>
      <c r="F116" s="250" t="n">
        <v>11139</v>
      </c>
      <c r="G116" s="250" t="n">
        <v>3847</v>
      </c>
      <c r="H116" s="201" t="n">
        <f aca="false">F116/G116*100-100</f>
        <v>189.550298934234</v>
      </c>
      <c r="I116" s="250" t="n">
        <v>83175</v>
      </c>
      <c r="J116" s="250" t="n">
        <v>43118</v>
      </c>
      <c r="K116" s="201" t="n">
        <f aca="false">I116/J116*100-100</f>
        <v>92.9008766640382</v>
      </c>
      <c r="L116" s="250" t="n">
        <v>62144</v>
      </c>
      <c r="M116" s="250" t="n">
        <v>41452</v>
      </c>
      <c r="N116" s="201" t="n">
        <f aca="false">L116/M116*100-100</f>
        <v>49.9179774196661</v>
      </c>
      <c r="O116" s="251" t="n">
        <v>15</v>
      </c>
      <c r="P116" s="251" t="n">
        <v>60</v>
      </c>
      <c r="Q116" s="251" t="n">
        <v>15</v>
      </c>
      <c r="R116" s="202" t="n">
        <f aca="false">O116*P116</f>
        <v>900</v>
      </c>
    </row>
    <row r="117" customFormat="false" ht="15" hidden="false" customHeight="false" outlineLevel="0" collapsed="false">
      <c r="A117" s="249" t="n">
        <v>22</v>
      </c>
      <c r="B117" s="243" t="s">
        <v>115</v>
      </c>
      <c r="C117" s="251" t="n">
        <v>30890</v>
      </c>
      <c r="D117" s="251" t="n">
        <v>20020</v>
      </c>
      <c r="E117" s="201" t="n">
        <f aca="false">C117/D117*100-100</f>
        <v>54.2957042957043</v>
      </c>
      <c r="F117" s="251" t="n">
        <v>3360</v>
      </c>
      <c r="G117" s="251" t="n">
        <v>1680</v>
      </c>
      <c r="H117" s="201" t="n">
        <f aca="false">F117/G117*100-100</f>
        <v>100</v>
      </c>
      <c r="I117" s="251" t="n">
        <v>42478</v>
      </c>
      <c r="J117" s="251" t="n">
        <v>40804</v>
      </c>
      <c r="K117" s="201" t="n">
        <f aca="false">I117/J117*100-100</f>
        <v>4.10253896676795</v>
      </c>
      <c r="L117" s="250" t="n">
        <v>0</v>
      </c>
      <c r="M117" s="251" t="n">
        <v>0</v>
      </c>
      <c r="N117" s="201" t="n">
        <v>0</v>
      </c>
      <c r="O117" s="251" t="n">
        <v>13</v>
      </c>
      <c r="P117" s="251" t="n">
        <v>94</v>
      </c>
      <c r="Q117" s="251" t="n">
        <v>12</v>
      </c>
      <c r="R117" s="202" t="n">
        <f aca="false">O117*P117</f>
        <v>1222</v>
      </c>
    </row>
    <row r="118" customFormat="false" ht="15" hidden="false" customHeight="false" outlineLevel="0" collapsed="false">
      <c r="A118" s="249" t="n">
        <v>23</v>
      </c>
      <c r="B118" s="243" t="s">
        <v>116</v>
      </c>
      <c r="C118" s="251" t="n">
        <v>132111</v>
      </c>
      <c r="D118" s="250" t="n">
        <v>118387</v>
      </c>
      <c r="E118" s="201" t="n">
        <f aca="false">C118/D118*100-100</f>
        <v>11.5924890401818</v>
      </c>
      <c r="F118" s="251" t="n">
        <v>15562</v>
      </c>
      <c r="G118" s="251" t="n">
        <v>7542</v>
      </c>
      <c r="H118" s="201" t="n">
        <f aca="false">F118/G118*100-100</f>
        <v>106.337841421374</v>
      </c>
      <c r="I118" s="251" t="n">
        <v>132929</v>
      </c>
      <c r="J118" s="251" t="n">
        <v>121383</v>
      </c>
      <c r="K118" s="201" t="n">
        <v>0</v>
      </c>
      <c r="L118" s="250" t="n">
        <v>0</v>
      </c>
      <c r="M118" s="250" t="n">
        <v>5713</v>
      </c>
      <c r="N118" s="201" t="n">
        <v>0</v>
      </c>
      <c r="O118" s="251" t="n">
        <v>36</v>
      </c>
      <c r="P118" s="251" t="n">
        <v>70</v>
      </c>
      <c r="Q118" s="251" t="n">
        <v>39</v>
      </c>
      <c r="R118" s="202" t="n">
        <f aca="false">O118*P118</f>
        <v>2520</v>
      </c>
    </row>
    <row r="119" customFormat="false" ht="15" hidden="false" customHeight="false" outlineLevel="0" collapsed="false">
      <c r="A119" s="249" t="n">
        <v>24</v>
      </c>
      <c r="B119" s="245" t="s">
        <v>117</v>
      </c>
      <c r="C119" s="250" t="n">
        <v>41791</v>
      </c>
      <c r="D119" s="250" t="n">
        <v>31475</v>
      </c>
      <c r="E119" s="201" t="n">
        <f aca="false">C119/D119*100-100</f>
        <v>32.7752184273233</v>
      </c>
      <c r="F119" s="250" t="n">
        <v>2266</v>
      </c>
      <c r="G119" s="251" t="n">
        <v>4612</v>
      </c>
      <c r="H119" s="201" t="n">
        <f aca="false">F119/G119*100-100</f>
        <v>-50.8673026886383</v>
      </c>
      <c r="I119" s="250" t="n">
        <v>123264</v>
      </c>
      <c r="J119" s="250" t="n">
        <v>152002</v>
      </c>
      <c r="K119" s="201" t="n">
        <f aca="false">I119/J119*100-100</f>
        <v>-18.9063301798661</v>
      </c>
      <c r="L119" s="254" t="n">
        <v>0</v>
      </c>
      <c r="M119" s="250" t="n">
        <v>0</v>
      </c>
      <c r="N119" s="201" t="n">
        <v>0</v>
      </c>
      <c r="O119" s="251" t="n">
        <v>53</v>
      </c>
      <c r="P119" s="251" t="n">
        <v>55</v>
      </c>
      <c r="Q119" s="251" t="n">
        <v>53</v>
      </c>
      <c r="R119" s="202" t="n">
        <f aca="false">O119*P119</f>
        <v>2915</v>
      </c>
    </row>
    <row r="120" customFormat="false" ht="15" hidden="false" customHeight="false" outlineLevel="0" collapsed="false">
      <c r="A120" s="249" t="n">
        <v>25</v>
      </c>
      <c r="B120" s="245" t="s">
        <v>118</v>
      </c>
      <c r="C120" s="250" t="n">
        <v>35633</v>
      </c>
      <c r="D120" s="250" t="n">
        <v>28321</v>
      </c>
      <c r="E120" s="201" t="n">
        <f aca="false">C120/D120*100-100</f>
        <v>25.8182973765051</v>
      </c>
      <c r="F120" s="250" t="n">
        <v>3619</v>
      </c>
      <c r="G120" s="250" t="n">
        <v>1216</v>
      </c>
      <c r="H120" s="201" t="n">
        <f aca="false">F120/G120*100-100</f>
        <v>197.615131578947</v>
      </c>
      <c r="I120" s="250" t="n">
        <v>36170</v>
      </c>
      <c r="J120" s="250" t="n">
        <v>29568</v>
      </c>
      <c r="K120" s="201" t="n">
        <f aca="false">I120/J120*100-100</f>
        <v>22.3281926406926</v>
      </c>
      <c r="L120" s="250" t="n">
        <v>0</v>
      </c>
      <c r="M120" s="250" t="n">
        <v>0</v>
      </c>
      <c r="N120" s="201" t="n">
        <v>0</v>
      </c>
      <c r="O120" s="251" t="n">
        <v>23</v>
      </c>
      <c r="P120" s="251" t="n">
        <v>54</v>
      </c>
      <c r="Q120" s="251" t="n">
        <v>23</v>
      </c>
      <c r="R120" s="202" t="n">
        <f aca="false">O120*P120</f>
        <v>1242</v>
      </c>
    </row>
    <row r="121" customFormat="false" ht="15" hidden="false" customHeight="false" outlineLevel="0" collapsed="false">
      <c r="A121" s="215" t="s">
        <v>119</v>
      </c>
      <c r="B121" s="215" t="s">
        <v>119</v>
      </c>
      <c r="C121" s="216" t="n">
        <f aca="false">SUM(C96:C120)</f>
        <v>3286626</v>
      </c>
      <c r="D121" s="216" t="n">
        <f aca="false">SUM(D96:D120)</f>
        <v>3349794</v>
      </c>
      <c r="E121" s="313" t="n">
        <f aca="false">C121/D121*100-100</f>
        <v>-1.88572789849168</v>
      </c>
      <c r="F121" s="216" t="n">
        <f aca="false">SUM(F96:F120)</f>
        <v>428737</v>
      </c>
      <c r="G121" s="216" t="n">
        <f aca="false">SUM(G96:G120)</f>
        <v>350262</v>
      </c>
      <c r="H121" s="313" t="n">
        <f aca="false">F121/G121*100-100</f>
        <v>22.4046570852676</v>
      </c>
      <c r="I121" s="216" t="n">
        <f aca="false">SUM(I96:I120)</f>
        <v>6703716</v>
      </c>
      <c r="J121" s="216" t="n">
        <f aca="false">SUM(J96:J120)</f>
        <v>3432092</v>
      </c>
      <c r="K121" s="313" t="n">
        <f aca="false">I121/J121*100-100</f>
        <v>95.3244843086957</v>
      </c>
      <c r="L121" s="216" t="n">
        <f aca="false">SUM(L96:L120)</f>
        <v>1826459</v>
      </c>
      <c r="M121" s="216" t="n">
        <f aca="false">SUM(M96:M120)</f>
        <v>1636045</v>
      </c>
      <c r="N121" s="313" t="n">
        <f aca="false">L121/M121*100-100</f>
        <v>11.6386774202421</v>
      </c>
      <c r="O121" s="216" t="n">
        <f aca="false">SUM(O96:O120)</f>
        <v>1663</v>
      </c>
      <c r="P121" s="217" t="n">
        <f aca="false">R121/O121</f>
        <v>82.8346361996392</v>
      </c>
      <c r="Q121" s="216" t="n">
        <f aca="false">SUM(Q96:Q120)</f>
        <v>1670</v>
      </c>
      <c r="R121" s="232" t="n">
        <f aca="false">SUM(R96:R120)</f>
        <v>137754</v>
      </c>
    </row>
    <row r="122" customFormat="false" ht="15" hidden="false" customHeight="false" outlineLevel="0" collapsed="false">
      <c r="A122" s="255"/>
      <c r="B122" s="255"/>
      <c r="C122" s="256"/>
      <c r="D122" s="256"/>
      <c r="E122" s="257"/>
      <c r="F122" s="256"/>
      <c r="G122" s="256"/>
      <c r="H122" s="257"/>
      <c r="I122" s="256"/>
      <c r="J122" s="256"/>
      <c r="K122" s="257"/>
      <c r="L122" s="256"/>
      <c r="M122" s="256"/>
      <c r="N122" s="257"/>
      <c r="O122" s="256"/>
      <c r="P122" s="257"/>
      <c r="Q122" s="256"/>
      <c r="R122" s="202" t="n">
        <f aca="false">O122*P122</f>
        <v>0</v>
      </c>
    </row>
    <row r="123" customFormat="false" ht="15" hidden="false" customHeight="false" outlineLevel="0" collapsed="false">
      <c r="A123" s="195"/>
      <c r="B123" s="195" t="s">
        <v>120</v>
      </c>
      <c r="C123" s="195" t="n">
        <v>3</v>
      </c>
      <c r="D123" s="195" t="n">
        <v>4</v>
      </c>
      <c r="E123" s="196" t="n">
        <v>5</v>
      </c>
      <c r="F123" s="195" t="n">
        <v>6</v>
      </c>
      <c r="G123" s="195" t="n">
        <v>7</v>
      </c>
      <c r="H123" s="195" t="n">
        <v>8</v>
      </c>
      <c r="I123" s="195" t="n">
        <v>9</v>
      </c>
      <c r="J123" s="195" t="n">
        <v>10</v>
      </c>
      <c r="K123" s="195" t="n">
        <v>11</v>
      </c>
      <c r="L123" s="195" t="n">
        <v>12</v>
      </c>
      <c r="M123" s="195" t="n">
        <v>13</v>
      </c>
      <c r="N123" s="195" t="n">
        <v>14</v>
      </c>
      <c r="O123" s="195" t="n">
        <v>15</v>
      </c>
      <c r="P123" s="196" t="n">
        <v>16</v>
      </c>
      <c r="Q123" s="195" t="n">
        <v>17</v>
      </c>
      <c r="R123" s="202" t="n">
        <f aca="false">O123*P123</f>
        <v>240</v>
      </c>
    </row>
    <row r="124" customFormat="false" ht="15" hidden="false" customHeight="false" outlineLevel="0" collapsed="false">
      <c r="A124" s="210"/>
      <c r="B124" s="258"/>
      <c r="C124" s="200"/>
      <c r="D124" s="200"/>
      <c r="E124" s="201"/>
      <c r="F124" s="200"/>
      <c r="G124" s="200"/>
      <c r="H124" s="201"/>
      <c r="I124" s="200"/>
      <c r="J124" s="200"/>
      <c r="K124" s="201"/>
      <c r="L124" s="200"/>
      <c r="M124" s="200"/>
      <c r="N124" s="201"/>
      <c r="O124" s="203"/>
      <c r="P124" s="204"/>
      <c r="Q124" s="203"/>
      <c r="R124" s="202" t="n">
        <f aca="false">O124*P124</f>
        <v>0</v>
      </c>
    </row>
    <row r="125" customFormat="false" ht="15" hidden="false" customHeight="false" outlineLevel="0" collapsed="false">
      <c r="A125" s="210" t="n">
        <v>1</v>
      </c>
      <c r="B125" s="258" t="s">
        <v>122</v>
      </c>
      <c r="C125" s="203" t="n">
        <v>106671</v>
      </c>
      <c r="D125" s="203" t="n">
        <v>202886</v>
      </c>
      <c r="E125" s="201" t="n">
        <f aca="false">C125/D125*100-100</f>
        <v>-47.4231834626342</v>
      </c>
      <c r="F125" s="203" t="n">
        <v>1906</v>
      </c>
      <c r="G125" s="203" t="n">
        <v>3786</v>
      </c>
      <c r="H125" s="201" t="n">
        <f aca="false">F125/G125*100-100</f>
        <v>-49.6566296883254</v>
      </c>
      <c r="I125" s="203" t="n">
        <v>82775</v>
      </c>
      <c r="J125" s="203" t="n">
        <v>228954</v>
      </c>
      <c r="K125" s="201" t="n">
        <f aca="false">I125/J125*100-100</f>
        <v>-63.8464495051408</v>
      </c>
      <c r="L125" s="203" t="n">
        <v>29329</v>
      </c>
      <c r="M125" s="203" t="n">
        <v>0</v>
      </c>
      <c r="N125" s="192" t="n">
        <v>0</v>
      </c>
      <c r="O125" s="219" t="n">
        <v>79</v>
      </c>
      <c r="P125" s="204" t="n">
        <v>80</v>
      </c>
      <c r="Q125" s="219" t="n">
        <v>74</v>
      </c>
      <c r="R125" s="202" t="n">
        <f aca="false">O125*P125</f>
        <v>6320</v>
      </c>
    </row>
    <row r="126" customFormat="false" ht="15" hidden="false" customHeight="false" outlineLevel="0" collapsed="false">
      <c r="A126" s="210" t="n">
        <v>2</v>
      </c>
      <c r="B126" s="258" t="s">
        <v>123</v>
      </c>
      <c r="C126" s="200" t="n">
        <v>0</v>
      </c>
      <c r="D126" s="200" t="n">
        <v>0</v>
      </c>
      <c r="E126" s="201" t="n">
        <v>0</v>
      </c>
      <c r="F126" s="200" t="n">
        <v>0</v>
      </c>
      <c r="G126" s="200" t="n">
        <v>0</v>
      </c>
      <c r="H126" s="201" t="n">
        <v>0</v>
      </c>
      <c r="I126" s="200" t="n">
        <v>0</v>
      </c>
      <c r="J126" s="200" t="n">
        <v>0</v>
      </c>
      <c r="K126" s="201" t="n">
        <v>0</v>
      </c>
      <c r="L126" s="200" t="n">
        <v>0</v>
      </c>
      <c r="M126" s="200" t="n">
        <v>0</v>
      </c>
      <c r="N126" s="201" t="n">
        <v>0</v>
      </c>
      <c r="O126" s="203" t="n">
        <v>0</v>
      </c>
      <c r="P126" s="204" t="n">
        <v>0</v>
      </c>
      <c r="Q126" s="203" t="n">
        <v>0</v>
      </c>
      <c r="R126" s="202" t="n">
        <f aca="false">O126*P126</f>
        <v>0</v>
      </c>
    </row>
    <row r="127" customFormat="false" ht="15" hidden="false" customHeight="false" outlineLevel="0" collapsed="false">
      <c r="A127" s="210" t="n">
        <v>3</v>
      </c>
      <c r="B127" s="258" t="s">
        <v>124</v>
      </c>
      <c r="C127" s="200" t="n">
        <v>0</v>
      </c>
      <c r="D127" s="200" t="n">
        <v>0</v>
      </c>
      <c r="E127" s="201" t="n">
        <v>0</v>
      </c>
      <c r="F127" s="200" t="n">
        <v>0</v>
      </c>
      <c r="G127" s="200" t="n">
        <v>0</v>
      </c>
      <c r="H127" s="201" t="n">
        <v>0</v>
      </c>
      <c r="I127" s="200" t="n">
        <v>0</v>
      </c>
      <c r="J127" s="200" t="n">
        <v>0</v>
      </c>
      <c r="K127" s="201" t="n">
        <v>0</v>
      </c>
      <c r="L127" s="200" t="n">
        <v>0</v>
      </c>
      <c r="M127" s="200" t="n">
        <v>0</v>
      </c>
      <c r="N127" s="201" t="n">
        <v>0</v>
      </c>
      <c r="O127" s="203" t="n">
        <v>0</v>
      </c>
      <c r="P127" s="204" t="n">
        <v>0</v>
      </c>
      <c r="Q127" s="203" t="n">
        <v>0</v>
      </c>
      <c r="R127" s="202" t="n">
        <f aca="false">O127*P127</f>
        <v>0</v>
      </c>
    </row>
    <row r="128" customFormat="false" ht="15" hidden="false" customHeight="false" outlineLevel="0" collapsed="false">
      <c r="A128" s="210" t="n">
        <v>4</v>
      </c>
      <c r="B128" s="259" t="s">
        <v>125</v>
      </c>
      <c r="C128" s="251" t="n">
        <v>1050</v>
      </c>
      <c r="D128" s="251" t="n">
        <v>4620</v>
      </c>
      <c r="E128" s="201" t="n">
        <v>0</v>
      </c>
      <c r="F128" s="251" t="n">
        <v>0</v>
      </c>
      <c r="G128" s="251" t="n">
        <v>0</v>
      </c>
      <c r="H128" s="201" t="n">
        <v>0</v>
      </c>
      <c r="I128" s="251" t="n">
        <v>9053</v>
      </c>
      <c r="J128" s="251" t="n">
        <v>8746</v>
      </c>
      <c r="K128" s="201" t="n">
        <f aca="false">I128/J128*100-100</f>
        <v>3.51017608049393</v>
      </c>
      <c r="L128" s="251" t="n">
        <v>0</v>
      </c>
      <c r="M128" s="251" t="n">
        <v>0</v>
      </c>
      <c r="N128" s="251" t="n">
        <v>0</v>
      </c>
      <c r="O128" s="219" t="n">
        <v>48</v>
      </c>
      <c r="P128" s="261" t="n">
        <v>70</v>
      </c>
      <c r="Q128" s="219" t="n">
        <v>8</v>
      </c>
      <c r="R128" s="202" t="n">
        <f aca="false">O128*P128</f>
        <v>3360</v>
      </c>
    </row>
    <row r="129" customFormat="false" ht="15" hidden="false" customHeight="false" outlineLevel="0" collapsed="false">
      <c r="A129" s="210" t="n">
        <v>5</v>
      </c>
      <c r="B129" s="259" t="s">
        <v>126</v>
      </c>
      <c r="C129" s="200" t="n">
        <v>0</v>
      </c>
      <c r="D129" s="200" t="n">
        <v>0</v>
      </c>
      <c r="E129" s="201" t="n">
        <v>0</v>
      </c>
      <c r="F129" s="200" t="n">
        <v>0</v>
      </c>
      <c r="G129" s="200" t="n">
        <v>0</v>
      </c>
      <c r="H129" s="201" t="n">
        <v>0</v>
      </c>
      <c r="I129" s="200" t="n">
        <v>0</v>
      </c>
      <c r="J129" s="200" t="n">
        <v>0</v>
      </c>
      <c r="K129" s="201" t="n">
        <v>0</v>
      </c>
      <c r="L129" s="200" t="n">
        <v>0</v>
      </c>
      <c r="M129" s="200" t="n">
        <v>0</v>
      </c>
      <c r="N129" s="201" t="n">
        <v>0</v>
      </c>
      <c r="O129" s="203" t="n">
        <v>0</v>
      </c>
      <c r="P129" s="204" t="n">
        <v>0</v>
      </c>
      <c r="Q129" s="203" t="n">
        <v>0</v>
      </c>
      <c r="R129" s="202" t="n">
        <f aca="false">O129*P129</f>
        <v>0</v>
      </c>
    </row>
    <row r="130" customFormat="false" ht="15" hidden="false" customHeight="false" outlineLevel="0" collapsed="false">
      <c r="A130" s="210" t="n">
        <v>6</v>
      </c>
      <c r="B130" s="258" t="s">
        <v>127</v>
      </c>
      <c r="C130" s="208" t="n">
        <v>41115</v>
      </c>
      <c r="D130" s="208" t="n">
        <v>21024</v>
      </c>
      <c r="E130" s="201" t="n">
        <f aca="false">C130/D130*100-100</f>
        <v>95.5622146118722</v>
      </c>
      <c r="F130" s="208" t="n">
        <v>6191</v>
      </c>
      <c r="G130" s="208" t="n">
        <v>3917</v>
      </c>
      <c r="H130" s="201" t="n">
        <f aca="false">F130/G130*100-100</f>
        <v>58.0546336482002</v>
      </c>
      <c r="I130" s="208" t="n">
        <v>41115</v>
      </c>
      <c r="J130" s="208" t="n">
        <v>21024</v>
      </c>
      <c r="K130" s="201" t="n">
        <f aca="false">I130/J130*100-100</f>
        <v>95.5622146118722</v>
      </c>
      <c r="L130" s="208" t="n">
        <v>0</v>
      </c>
      <c r="M130" s="208" t="n">
        <v>0</v>
      </c>
      <c r="N130" s="192" t="n">
        <v>0</v>
      </c>
      <c r="O130" s="219" t="n">
        <v>23</v>
      </c>
      <c r="P130" s="250" t="n">
        <v>100</v>
      </c>
      <c r="Q130" s="219" t="n">
        <v>23</v>
      </c>
      <c r="R130" s="202" t="n">
        <f aca="false">O130*P130</f>
        <v>2300</v>
      </c>
    </row>
    <row r="131" customFormat="false" ht="15" hidden="false" customHeight="false" outlineLevel="0" collapsed="false">
      <c r="A131" s="215" t="s">
        <v>128</v>
      </c>
      <c r="B131" s="215" t="s">
        <v>128</v>
      </c>
      <c r="C131" s="216" t="n">
        <f aca="false">SUM(C124:C130)</f>
        <v>148836</v>
      </c>
      <c r="D131" s="216" t="n">
        <f aca="false">SUM(D124:D130)</f>
        <v>228530</v>
      </c>
      <c r="E131" s="313" t="n">
        <f aca="false">C131/D131*100-100</f>
        <v>-34.8724456307706</v>
      </c>
      <c r="F131" s="216" t="n">
        <f aca="false">SUM(F124:F130)</f>
        <v>8097</v>
      </c>
      <c r="G131" s="216" t="n">
        <f aca="false">SUM(G124:G130)</f>
        <v>7703</v>
      </c>
      <c r="H131" s="313" t="n">
        <f aca="false">F131/G131*100-100</f>
        <v>5.11489030247955</v>
      </c>
      <c r="I131" s="216" t="n">
        <f aca="false">SUM(I124:I130)</f>
        <v>132943</v>
      </c>
      <c r="J131" s="216" t="n">
        <f aca="false">SUM(J124:J130)</f>
        <v>258724</v>
      </c>
      <c r="K131" s="313" t="n">
        <f aca="false">I131/J131*100-100</f>
        <v>-48.6158995686523</v>
      </c>
      <c r="L131" s="216" t="n">
        <f aca="false">SUM(L124:L130)</f>
        <v>29329</v>
      </c>
      <c r="M131" s="216" t="n">
        <f aca="false">SUM(M124:M130)</f>
        <v>0</v>
      </c>
      <c r="N131" s="237" t="n">
        <v>0</v>
      </c>
      <c r="O131" s="216" t="n">
        <f aca="false">SUM(O124:O130)</f>
        <v>150</v>
      </c>
      <c r="P131" s="237" t="n">
        <f aca="false">R131/O131</f>
        <v>79.8666666666667</v>
      </c>
      <c r="Q131" s="216" t="n">
        <f aca="false">SUM(Q124:Q130)</f>
        <v>105</v>
      </c>
      <c r="R131" s="232" t="n">
        <f aca="false">SUM(R124:R130)</f>
        <v>11980</v>
      </c>
    </row>
    <row r="132" customFormat="false" ht="15" hidden="false" customHeight="false" outlineLevel="0" collapsed="false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192"/>
      <c r="L132" s="203"/>
      <c r="M132" s="203"/>
      <c r="N132" s="203"/>
      <c r="O132" s="203"/>
      <c r="P132" s="219"/>
      <c r="Q132" s="203"/>
      <c r="R132" s="197"/>
    </row>
    <row r="133" customFormat="false" ht="15" hidden="false" customHeight="false" outlineLevel="0" collapsed="false">
      <c r="A133" s="190" t="s">
        <v>129</v>
      </c>
      <c r="B133" s="190"/>
      <c r="C133" s="195" t="n">
        <v>3</v>
      </c>
      <c r="D133" s="195" t="n">
        <v>4</v>
      </c>
      <c r="E133" s="196" t="n">
        <v>5</v>
      </c>
      <c r="F133" s="195" t="n">
        <v>6</v>
      </c>
      <c r="G133" s="195" t="n">
        <v>7</v>
      </c>
      <c r="H133" s="195" t="n">
        <v>8</v>
      </c>
      <c r="I133" s="195" t="n">
        <v>9</v>
      </c>
      <c r="J133" s="195" t="n">
        <v>10</v>
      </c>
      <c r="K133" s="195" t="n">
        <v>11</v>
      </c>
      <c r="L133" s="195" t="n">
        <v>12</v>
      </c>
      <c r="M133" s="195" t="n">
        <v>13</v>
      </c>
      <c r="N133" s="195" t="n">
        <v>14</v>
      </c>
      <c r="O133" s="195" t="n">
        <v>15</v>
      </c>
      <c r="P133" s="196" t="n">
        <v>16</v>
      </c>
      <c r="Q133" s="195" t="n">
        <v>17</v>
      </c>
      <c r="R133" s="189"/>
    </row>
    <row r="134" customFormat="false" ht="15" hidden="false" customHeight="false" outlineLevel="0" collapsed="false">
      <c r="A134" s="262" t="n">
        <v>1</v>
      </c>
      <c r="B134" s="243" t="s">
        <v>130</v>
      </c>
      <c r="C134" s="219" t="n">
        <v>113010901</v>
      </c>
      <c r="D134" s="219" t="n">
        <v>108668305</v>
      </c>
      <c r="E134" s="201" t="n">
        <f aca="false">C134/D134*100-100</f>
        <v>3.99619373836741</v>
      </c>
      <c r="F134" s="219" t="n">
        <v>9831609</v>
      </c>
      <c r="G134" s="219" t="n">
        <v>10149830</v>
      </c>
      <c r="H134" s="201" t="n">
        <f aca="false">F134/G134*100-100</f>
        <v>-3.13523477733125</v>
      </c>
      <c r="I134" s="262" t="n">
        <v>107688318</v>
      </c>
      <c r="J134" s="262" t="n">
        <v>105374556</v>
      </c>
      <c r="K134" s="201" t="n">
        <f aca="false">I134/J134*100-100</f>
        <v>2.19575017711107</v>
      </c>
      <c r="L134" s="262" t="n">
        <v>62087808</v>
      </c>
      <c r="M134" s="262" t="n">
        <v>49724510</v>
      </c>
      <c r="N134" s="201" t="n">
        <f aca="false">L134/M134*100-100</f>
        <v>24.8635894049031</v>
      </c>
      <c r="O134" s="203" t="n">
        <v>2973</v>
      </c>
      <c r="P134" s="219" t="n">
        <v>145</v>
      </c>
      <c r="Q134" s="203" t="n">
        <v>2973</v>
      </c>
      <c r="R134" s="202" t="n">
        <f aca="false">O134*P134</f>
        <v>431085</v>
      </c>
    </row>
    <row r="135" customFormat="false" ht="15" hidden="false" customHeight="false" outlineLevel="0" collapsed="false">
      <c r="A135" s="262" t="n">
        <v>2</v>
      </c>
      <c r="B135" s="243" t="s">
        <v>131</v>
      </c>
      <c r="C135" s="219" t="n">
        <v>23901997</v>
      </c>
      <c r="D135" s="219" t="n">
        <v>24076894</v>
      </c>
      <c r="E135" s="201" t="n">
        <f aca="false">C135/D135*100-100</f>
        <v>-0.7264101424378</v>
      </c>
      <c r="F135" s="219" t="n">
        <v>2287513</v>
      </c>
      <c r="G135" s="219" t="n">
        <v>2042054</v>
      </c>
      <c r="H135" s="201" t="n">
        <f aca="false">F135/G135*100-100</f>
        <v>12.0202012287628</v>
      </c>
      <c r="I135" s="262" t="n">
        <v>19040223</v>
      </c>
      <c r="J135" s="262" t="n">
        <v>20825278</v>
      </c>
      <c r="K135" s="201" t="n">
        <f aca="false">I135/J135*100-100</f>
        <v>-8.57157825216068</v>
      </c>
      <c r="L135" s="262" t="n">
        <v>19040223</v>
      </c>
      <c r="M135" s="262" t="n">
        <v>20825278</v>
      </c>
      <c r="N135" s="201" t="n">
        <f aca="false">L135/M135*100-100</f>
        <v>-8.57157825216068</v>
      </c>
      <c r="O135" s="203" t="n">
        <v>1005</v>
      </c>
      <c r="P135" s="219" t="n">
        <v>120</v>
      </c>
      <c r="Q135" s="203" t="n">
        <v>951</v>
      </c>
      <c r="R135" s="202" t="n">
        <f aca="false">O135*P135</f>
        <v>120600</v>
      </c>
    </row>
    <row r="136" customFormat="false" ht="24.75" hidden="false" customHeight="false" outlineLevel="0" collapsed="false">
      <c r="A136" s="262" t="n">
        <v>3</v>
      </c>
      <c r="B136" s="400" t="s">
        <v>226</v>
      </c>
      <c r="C136" s="223" t="n">
        <v>19907421</v>
      </c>
      <c r="D136" s="223" t="n">
        <v>21883392</v>
      </c>
      <c r="E136" s="201" t="n">
        <f aca="false">C136/D136*100-100</f>
        <v>-9.02954624219133</v>
      </c>
      <c r="F136" s="223" t="n">
        <v>1790862</v>
      </c>
      <c r="G136" s="223" t="n">
        <v>2116843</v>
      </c>
      <c r="H136" s="201" t="n">
        <f aca="false">F136/G136*100-100</f>
        <v>-15.3993942866807</v>
      </c>
      <c r="I136" s="207" t="n">
        <v>16790192</v>
      </c>
      <c r="J136" s="207" t="n">
        <v>17752507</v>
      </c>
      <c r="K136" s="201" t="n">
        <f aca="false">I136/J136*100-100</f>
        <v>-5.42072733727129</v>
      </c>
      <c r="L136" s="207" t="n">
        <v>16790192</v>
      </c>
      <c r="M136" s="207" t="n">
        <f aca="false">1958616+15793891</f>
        <v>17752507</v>
      </c>
      <c r="N136" s="201" t="n">
        <f aca="false">L136/M136*100-100</f>
        <v>-5.42072733727129</v>
      </c>
      <c r="O136" s="200" t="n">
        <v>1087</v>
      </c>
      <c r="P136" s="222" t="n">
        <v>306</v>
      </c>
      <c r="Q136" s="200" t="n">
        <v>1087</v>
      </c>
      <c r="R136" s="202" t="n">
        <f aca="false">O136*P136</f>
        <v>332622</v>
      </c>
    </row>
    <row r="137" customFormat="false" ht="15" hidden="false" customHeight="false" outlineLevel="0" collapsed="false">
      <c r="A137" s="262" t="n">
        <v>4</v>
      </c>
      <c r="B137" s="243" t="s">
        <v>133</v>
      </c>
      <c r="C137" s="236" t="n">
        <v>4500010</v>
      </c>
      <c r="D137" s="236" t="n">
        <v>4540156</v>
      </c>
      <c r="E137" s="201" t="n">
        <f aca="false">C137/D137*100-100</f>
        <v>-0.884242744081917</v>
      </c>
      <c r="F137" s="203" t="n">
        <v>217957</v>
      </c>
      <c r="G137" s="203" t="n">
        <v>251168</v>
      </c>
      <c r="H137" s="201" t="n">
        <f aca="false">F137/G137*100-100</f>
        <v>-13.2226239011339</v>
      </c>
      <c r="I137" s="203" t="n">
        <v>4478817</v>
      </c>
      <c r="J137" s="203" t="n">
        <v>4354761</v>
      </c>
      <c r="K137" s="201" t="n">
        <f aca="false">I137/J137*100-100</f>
        <v>2.84874416759038</v>
      </c>
      <c r="L137" s="203" t="n">
        <v>4478817</v>
      </c>
      <c r="M137" s="203" t="n">
        <v>4354761</v>
      </c>
      <c r="N137" s="201" t="n">
        <v>0</v>
      </c>
      <c r="O137" s="203" t="n">
        <v>509</v>
      </c>
      <c r="P137" s="219" t="n">
        <v>150</v>
      </c>
      <c r="Q137" s="203" t="n">
        <v>502</v>
      </c>
      <c r="R137" s="202" t="n">
        <f aca="false">O137*P137</f>
        <v>76350</v>
      </c>
    </row>
    <row r="138" customFormat="false" ht="15" hidden="false" customHeight="false" outlineLevel="0" collapsed="false">
      <c r="A138" s="262" t="n">
        <v>5</v>
      </c>
      <c r="B138" s="243" t="s">
        <v>134</v>
      </c>
      <c r="C138" s="203" t="n">
        <v>3320361</v>
      </c>
      <c r="D138" s="203" t="n">
        <v>4327108</v>
      </c>
      <c r="E138" s="201" t="n">
        <f aca="false">C138/D138*100-100</f>
        <v>-23.2660474386126</v>
      </c>
      <c r="F138" s="203" t="n">
        <v>372124</v>
      </c>
      <c r="G138" s="203" t="n">
        <v>450571</v>
      </c>
      <c r="H138" s="201" t="n">
        <f aca="false">F138/G138*100-100</f>
        <v>-17.4105745820304</v>
      </c>
      <c r="I138" s="203" t="n">
        <v>3731895</v>
      </c>
      <c r="J138" s="203" t="n">
        <v>3888869</v>
      </c>
      <c r="K138" s="201" t="n">
        <f aca="false">I138/J138*100-100</f>
        <v>-4.03649492950264</v>
      </c>
      <c r="L138" s="203" t="n">
        <v>3731895</v>
      </c>
      <c r="M138" s="203" t="n">
        <v>3888869</v>
      </c>
      <c r="N138" s="201" t="n">
        <f aca="false">L138/M138*100-100</f>
        <v>-4.03649492950264</v>
      </c>
      <c r="O138" s="203" t="n">
        <v>416</v>
      </c>
      <c r="P138" s="204" t="n">
        <v>189</v>
      </c>
      <c r="Q138" s="203" t="n">
        <v>416</v>
      </c>
      <c r="R138" s="202" t="n">
        <f aca="false">O138*P138</f>
        <v>78624</v>
      </c>
    </row>
    <row r="139" customFormat="false" ht="15" hidden="false" customHeight="false" outlineLevel="0" collapsed="false">
      <c r="A139" s="215" t="s">
        <v>135</v>
      </c>
      <c r="B139" s="215" t="s">
        <v>136</v>
      </c>
      <c r="C139" s="237" t="n">
        <f aca="false">SUM(C134:C138)</f>
        <v>164640690</v>
      </c>
      <c r="D139" s="237" t="n">
        <f aca="false">SUM(D134:D138)</f>
        <v>163495855</v>
      </c>
      <c r="E139" s="313" t="n">
        <f aca="false">C139/D139*100-100</f>
        <v>0.700222644788155</v>
      </c>
      <c r="F139" s="237" t="n">
        <f aca="false">SUM(F134:F138)</f>
        <v>14500065</v>
      </c>
      <c r="G139" s="237" t="n">
        <f aca="false">SUM(G134:G138)</f>
        <v>15010466</v>
      </c>
      <c r="H139" s="313" t="n">
        <f aca="false">F139/G139*100-100</f>
        <v>-3.4003008301008</v>
      </c>
      <c r="I139" s="237" t="n">
        <f aca="false">SUM(I134:I138)</f>
        <v>151729445</v>
      </c>
      <c r="J139" s="237" t="n">
        <f aca="false">SUM(J134:J138)</f>
        <v>152195971</v>
      </c>
      <c r="K139" s="313" t="n">
        <f aca="false">I139/J139*100-100</f>
        <v>-0.306529796376807</v>
      </c>
      <c r="L139" s="237" t="n">
        <f aca="false">SUM(L134:L138)</f>
        <v>106128935</v>
      </c>
      <c r="M139" s="237" t="n">
        <f aca="false">SUM(M134:M138)</f>
        <v>96545925</v>
      </c>
      <c r="N139" s="313" t="n">
        <f aca="false">L139/M139*100-100</f>
        <v>9.92585652890064</v>
      </c>
      <c r="O139" s="237" t="n">
        <f aca="false">SUM(O134:O138)</f>
        <v>5990</v>
      </c>
      <c r="P139" s="237" t="n">
        <f aca="false">R139/O139</f>
        <v>173.502671118531</v>
      </c>
      <c r="Q139" s="237" t="n">
        <f aca="false">SUM(Q134:Q138)</f>
        <v>5929</v>
      </c>
      <c r="R139" s="237" t="n">
        <f aca="false">SUM(R134:R138)</f>
        <v>1039281</v>
      </c>
    </row>
    <row r="140" customFormat="false" ht="15" hidden="false" customHeight="false" outlineLevel="0" collapsed="false">
      <c r="A140" s="263"/>
      <c r="B140" s="263"/>
      <c r="C140" s="264"/>
      <c r="D140" s="264"/>
      <c r="E140" s="265"/>
      <c r="F140" s="266"/>
      <c r="G140" s="266"/>
      <c r="H140" s="265"/>
      <c r="I140" s="266"/>
      <c r="J140" s="266"/>
      <c r="K140" s="265"/>
      <c r="L140" s="266"/>
      <c r="M140" s="266"/>
      <c r="N140" s="265"/>
      <c r="O140" s="266"/>
      <c r="P140" s="264"/>
      <c r="Q140" s="266"/>
      <c r="R140" s="267"/>
    </row>
    <row r="141" customFormat="false" ht="15" hidden="false" customHeight="false" outlineLevel="0" collapsed="false">
      <c r="A141" s="263"/>
      <c r="B141" s="263" t="s">
        <v>137</v>
      </c>
      <c r="C141" s="195" t="n">
        <v>3</v>
      </c>
      <c r="D141" s="195" t="n">
        <v>4</v>
      </c>
      <c r="E141" s="196" t="n">
        <v>5</v>
      </c>
      <c r="F141" s="195" t="n">
        <v>6</v>
      </c>
      <c r="G141" s="195" t="n">
        <v>7</v>
      </c>
      <c r="H141" s="195" t="n">
        <v>8</v>
      </c>
      <c r="I141" s="195" t="n">
        <v>9</v>
      </c>
      <c r="J141" s="195" t="n">
        <v>10</v>
      </c>
      <c r="K141" s="195" t="n">
        <v>11</v>
      </c>
      <c r="L141" s="195" t="n">
        <v>12</v>
      </c>
      <c r="M141" s="195" t="n">
        <v>13</v>
      </c>
      <c r="N141" s="195" t="n">
        <v>14</v>
      </c>
      <c r="O141" s="195" t="n">
        <v>15</v>
      </c>
      <c r="P141" s="196" t="n">
        <v>16</v>
      </c>
      <c r="Q141" s="195" t="n">
        <v>17</v>
      </c>
      <c r="R141" s="267"/>
    </row>
    <row r="142" customFormat="false" ht="15" hidden="false" customHeight="false" outlineLevel="0" collapsed="false">
      <c r="A142" s="262" t="n">
        <v>1</v>
      </c>
      <c r="B142" s="243" t="s">
        <v>138</v>
      </c>
      <c r="C142" s="219" t="n">
        <v>18097678</v>
      </c>
      <c r="D142" s="219" t="n">
        <v>18972185</v>
      </c>
      <c r="E142" s="201" t="n">
        <f aca="false">C142/D142*100-100</f>
        <v>-4.60941636400868</v>
      </c>
      <c r="F142" s="219" t="n">
        <v>1568986</v>
      </c>
      <c r="G142" s="219" t="n">
        <v>1701811</v>
      </c>
      <c r="H142" s="201" t="n">
        <f aca="false">F142/G142*100-100</f>
        <v>-7.80492075794551</v>
      </c>
      <c r="I142" s="262" t="n">
        <v>17611746</v>
      </c>
      <c r="J142" s="262" t="n">
        <v>18562751</v>
      </c>
      <c r="K142" s="201" t="n">
        <f aca="false">I142/J142*100-100</f>
        <v>-5.12318998407079</v>
      </c>
      <c r="L142" s="262" t="n">
        <v>17611746</v>
      </c>
      <c r="M142" s="262" t="n">
        <v>18562751</v>
      </c>
      <c r="N142" s="201" t="n">
        <f aca="false">L142/M142*100-100</f>
        <v>-5.12318998407079</v>
      </c>
      <c r="O142" s="203" t="n">
        <v>494</v>
      </c>
      <c r="P142" s="236" t="n">
        <v>150</v>
      </c>
      <c r="Q142" s="203" t="n">
        <v>494</v>
      </c>
      <c r="R142" s="202" t="n">
        <f aca="false">O142*P142</f>
        <v>74100</v>
      </c>
    </row>
    <row r="143" customFormat="false" ht="15" hidden="false" customHeight="false" outlineLevel="0" collapsed="false">
      <c r="A143" s="262" t="n">
        <v>2</v>
      </c>
      <c r="B143" s="243" t="s">
        <v>139</v>
      </c>
      <c r="C143" s="219" t="n">
        <v>33718915</v>
      </c>
      <c r="D143" s="219" t="n">
        <v>38869984</v>
      </c>
      <c r="E143" s="201" t="n">
        <f aca="false">C143/D143*100-100</f>
        <v>-13.2520481613782</v>
      </c>
      <c r="F143" s="236" t="n">
        <v>2602006</v>
      </c>
      <c r="G143" s="236" t="n">
        <v>3654468</v>
      </c>
      <c r="H143" s="201" t="n">
        <f aca="false">F143/G143*100-100</f>
        <v>-28.7993218164723</v>
      </c>
      <c r="I143" s="203" t="n">
        <v>31874512</v>
      </c>
      <c r="J143" s="203" t="n">
        <v>38685849</v>
      </c>
      <c r="K143" s="201" t="n">
        <f aca="false">I143/J143*100-100</f>
        <v>-17.6067920856539</v>
      </c>
      <c r="L143" s="203" t="n">
        <v>31761583</v>
      </c>
      <c r="M143" s="203" t="n">
        <v>38555190</v>
      </c>
      <c r="N143" s="201" t="n">
        <f aca="false">L143/M143*100-100</f>
        <v>-17.6204734044885</v>
      </c>
      <c r="O143" s="203" t="n">
        <v>666</v>
      </c>
      <c r="P143" s="219" t="n">
        <v>165</v>
      </c>
      <c r="Q143" s="203" t="n">
        <v>659</v>
      </c>
      <c r="R143" s="202" t="n">
        <f aca="false">O143*P143</f>
        <v>109890</v>
      </c>
    </row>
    <row r="144" customFormat="false" ht="15" hidden="false" customHeight="false" outlineLevel="0" collapsed="false">
      <c r="A144" s="262" t="n">
        <v>3</v>
      </c>
      <c r="B144" s="243" t="s">
        <v>140</v>
      </c>
      <c r="C144" s="219" t="n">
        <v>26890445</v>
      </c>
      <c r="D144" s="219" t="n">
        <v>27268921</v>
      </c>
      <c r="E144" s="201" t="n">
        <f aca="false">C144/D144*100-100</f>
        <v>-1.38793903873204</v>
      </c>
      <c r="F144" s="203" t="n">
        <v>2209552</v>
      </c>
      <c r="G144" s="203" t="n">
        <v>2419352</v>
      </c>
      <c r="H144" s="201" t="n">
        <f aca="false">F144/G144*100-100</f>
        <v>-8.67174350817905</v>
      </c>
      <c r="I144" s="203" t="n">
        <v>26290428</v>
      </c>
      <c r="J144" s="203" t="n">
        <v>26685199</v>
      </c>
      <c r="K144" s="201" t="n">
        <f aca="false">I144/J144*100-100</f>
        <v>-1.4793631480882</v>
      </c>
      <c r="L144" s="203" t="n">
        <v>26290428</v>
      </c>
      <c r="M144" s="203" t="n">
        <v>26685199</v>
      </c>
      <c r="N144" s="201" t="n">
        <f aca="false">L144/M144*100-100</f>
        <v>-1.4793631480882</v>
      </c>
      <c r="O144" s="203" t="n">
        <v>565</v>
      </c>
      <c r="P144" s="219" t="n">
        <v>180</v>
      </c>
      <c r="Q144" s="203" t="n">
        <v>559</v>
      </c>
      <c r="R144" s="202" t="n">
        <f aca="false">O144*P144</f>
        <v>101700</v>
      </c>
    </row>
    <row r="145" customFormat="false" ht="15" hidden="false" customHeight="false" outlineLevel="0" collapsed="false">
      <c r="A145" s="262" t="n">
        <v>4</v>
      </c>
      <c r="B145" s="243" t="s">
        <v>141</v>
      </c>
      <c r="C145" s="236" t="n">
        <v>4548365</v>
      </c>
      <c r="D145" s="236" t="n">
        <v>3766203</v>
      </c>
      <c r="E145" s="201" t="n">
        <f aca="false">C145/D145*100-100</f>
        <v>20.7679193075891</v>
      </c>
      <c r="F145" s="262" t="n">
        <v>448331</v>
      </c>
      <c r="G145" s="262" t="n">
        <v>369983</v>
      </c>
      <c r="H145" s="201" t="n">
        <f aca="false">F145/G145*100-100</f>
        <v>21.1761080914528</v>
      </c>
      <c r="I145" s="262" t="n">
        <v>4879948</v>
      </c>
      <c r="J145" s="262" t="n">
        <v>3858377</v>
      </c>
      <c r="K145" s="201" t="n">
        <f aca="false">I145/J145*100-100</f>
        <v>26.4767025098895</v>
      </c>
      <c r="L145" s="262" t="n">
        <v>0</v>
      </c>
      <c r="M145" s="262" t="n">
        <v>0</v>
      </c>
      <c r="N145" s="201" t="n">
        <v>0</v>
      </c>
      <c r="O145" s="203" t="n">
        <v>355</v>
      </c>
      <c r="P145" s="236" t="n">
        <v>58</v>
      </c>
      <c r="Q145" s="203" t="n">
        <v>355</v>
      </c>
      <c r="R145" s="202" t="n">
        <f aca="false">O145*P145</f>
        <v>20590</v>
      </c>
    </row>
    <row r="146" customFormat="false" ht="15" hidden="false" customHeight="false" outlineLevel="0" collapsed="false">
      <c r="A146" s="262" t="n">
        <v>5</v>
      </c>
      <c r="B146" s="243" t="s">
        <v>142</v>
      </c>
      <c r="C146" s="236" t="n">
        <v>29360355</v>
      </c>
      <c r="D146" s="236" t="n">
        <v>27656019</v>
      </c>
      <c r="E146" s="201" t="n">
        <f aca="false">C146/D146*100-100</f>
        <v>6.1626223210217</v>
      </c>
      <c r="F146" s="236" t="n">
        <v>2397634</v>
      </c>
      <c r="G146" s="236" t="n">
        <v>2840006</v>
      </c>
      <c r="H146" s="201" t="n">
        <f aca="false">F146/G146*100-100</f>
        <v>-15.576445965255</v>
      </c>
      <c r="I146" s="203" t="n">
        <v>27709726</v>
      </c>
      <c r="J146" s="203" t="n">
        <v>29099704</v>
      </c>
      <c r="K146" s="201" t="n">
        <f aca="false">I146/J146*100-100</f>
        <v>-4.77660528780636</v>
      </c>
      <c r="L146" s="203" t="n">
        <v>27709726</v>
      </c>
      <c r="M146" s="203" t="n">
        <v>29099704</v>
      </c>
      <c r="N146" s="201" t="n">
        <f aca="false">L146/M146*100-100</f>
        <v>-4.77660528780636</v>
      </c>
      <c r="O146" s="203" t="n">
        <v>969</v>
      </c>
      <c r="P146" s="219" t="n">
        <v>100</v>
      </c>
      <c r="Q146" s="203" t="n">
        <v>969</v>
      </c>
      <c r="R146" s="202" t="n">
        <f aca="false">O146*P146</f>
        <v>96900</v>
      </c>
    </row>
    <row r="147" customFormat="false" ht="15" hidden="false" customHeight="false" outlineLevel="0" collapsed="false">
      <c r="A147" s="262" t="n">
        <v>6</v>
      </c>
      <c r="B147" s="243" t="s">
        <v>143</v>
      </c>
      <c r="C147" s="219" t="n">
        <v>31021425</v>
      </c>
      <c r="D147" s="219" t="n">
        <v>29966406</v>
      </c>
      <c r="E147" s="201" t="n">
        <f aca="false">C147/D147*100-100</f>
        <v>3.5206724490084</v>
      </c>
      <c r="F147" s="219" t="n">
        <v>2902057</v>
      </c>
      <c r="G147" s="219" t="n">
        <v>2870583</v>
      </c>
      <c r="H147" s="201" t="n">
        <f aca="false">F147/G147*100-100</f>
        <v>1.09643232750977</v>
      </c>
      <c r="I147" s="203" t="n">
        <v>30494408</v>
      </c>
      <c r="J147" s="219" t="n">
        <v>28982998</v>
      </c>
      <c r="K147" s="201" t="n">
        <f aca="false">I147/J147*100-100</f>
        <v>5.21481594140123</v>
      </c>
      <c r="L147" s="203" t="n">
        <v>30416223</v>
      </c>
      <c r="M147" s="203" t="n">
        <v>28895898</v>
      </c>
      <c r="N147" s="201" t="n">
        <f aca="false">L147/M147*100-100</f>
        <v>5.26138692765319</v>
      </c>
      <c r="O147" s="203" t="n">
        <v>546</v>
      </c>
      <c r="P147" s="219" t="n">
        <v>130</v>
      </c>
      <c r="Q147" s="203" t="n">
        <v>641</v>
      </c>
      <c r="R147" s="202" t="n">
        <f aca="false">O147*P147</f>
        <v>70980</v>
      </c>
    </row>
    <row r="148" customFormat="false" ht="15" hidden="false" customHeight="false" outlineLevel="0" collapsed="false">
      <c r="A148" s="262" t="n">
        <v>7</v>
      </c>
      <c r="B148" s="243" t="s">
        <v>235</v>
      </c>
      <c r="C148" s="219" t="n">
        <v>3141775</v>
      </c>
      <c r="D148" s="219" t="n">
        <v>2495916</v>
      </c>
      <c r="E148" s="201" t="n">
        <f aca="false">C148/D148*100-100</f>
        <v>25.8766320661433</v>
      </c>
      <c r="F148" s="219" t="n">
        <v>322298</v>
      </c>
      <c r="G148" s="219" t="n">
        <v>309682</v>
      </c>
      <c r="H148" s="201" t="n">
        <f aca="false">F148/G148*100-100</f>
        <v>4.07385640754063</v>
      </c>
      <c r="I148" s="203" t="n">
        <v>2961127</v>
      </c>
      <c r="J148" s="219" t="n">
        <v>2548472</v>
      </c>
      <c r="K148" s="201" t="n">
        <f aca="false">I148/J148*100-100</f>
        <v>16.1922516708051</v>
      </c>
      <c r="L148" s="203" t="n">
        <v>0</v>
      </c>
      <c r="M148" s="203" t="n">
        <v>0</v>
      </c>
      <c r="N148" s="201" t="n">
        <v>0</v>
      </c>
      <c r="O148" s="203" t="n">
        <v>36</v>
      </c>
      <c r="P148" s="219"/>
      <c r="Q148" s="203" t="n">
        <v>35</v>
      </c>
      <c r="R148" s="202"/>
    </row>
    <row r="149" customFormat="false" ht="15" hidden="false" customHeight="false" outlineLevel="0" collapsed="false">
      <c r="A149" s="262" t="n">
        <v>8</v>
      </c>
      <c r="B149" s="243" t="s">
        <v>144</v>
      </c>
      <c r="C149" s="200" t="n">
        <v>0</v>
      </c>
      <c r="D149" s="200" t="n">
        <v>0</v>
      </c>
      <c r="E149" s="201" t="n">
        <v>0</v>
      </c>
      <c r="F149" s="200" t="n">
        <v>0</v>
      </c>
      <c r="G149" s="200" t="n">
        <v>0</v>
      </c>
      <c r="H149" s="201" t="n">
        <v>0</v>
      </c>
      <c r="I149" s="200" t="n">
        <v>0</v>
      </c>
      <c r="J149" s="200" t="n">
        <v>0</v>
      </c>
      <c r="K149" s="201" t="n">
        <v>0</v>
      </c>
      <c r="L149" s="200" t="n">
        <v>0</v>
      </c>
      <c r="M149" s="200" t="n">
        <v>0</v>
      </c>
      <c r="N149" s="201" t="n">
        <v>0</v>
      </c>
      <c r="O149" s="203" t="n">
        <v>0</v>
      </c>
      <c r="P149" s="204" t="n">
        <v>0</v>
      </c>
      <c r="Q149" s="203" t="n">
        <v>0</v>
      </c>
      <c r="R149" s="202" t="n">
        <v>0</v>
      </c>
    </row>
    <row r="150" customFormat="false" ht="15" hidden="false" customHeight="false" outlineLevel="0" collapsed="false">
      <c r="A150" s="215" t="s">
        <v>145</v>
      </c>
      <c r="B150" s="215" t="s">
        <v>136</v>
      </c>
      <c r="C150" s="237" t="n">
        <f aca="false">SUM(C142:C149)</f>
        <v>146778958</v>
      </c>
      <c r="D150" s="237" t="n">
        <f aca="false">SUM(D142:D149)</f>
        <v>148995634</v>
      </c>
      <c r="E150" s="313" t="n">
        <f aca="false">C150/D150*100-100</f>
        <v>-1.48774560736457</v>
      </c>
      <c r="F150" s="237" t="n">
        <f aca="false">SUM(F142:F149)</f>
        <v>12450864</v>
      </c>
      <c r="G150" s="237" t="n">
        <f aca="false">SUM(G142:G149)</f>
        <v>14165885</v>
      </c>
      <c r="H150" s="313" t="n">
        <f aca="false">F150/G150*100-100</f>
        <v>-12.1066985931341</v>
      </c>
      <c r="I150" s="237" t="n">
        <f aca="false">SUM(I142:I149)</f>
        <v>141821895</v>
      </c>
      <c r="J150" s="237" t="n">
        <f aca="false">SUM(J142:J149)</f>
        <v>148423350</v>
      </c>
      <c r="K150" s="313" t="n">
        <f aca="false">I150/J150*100-100</f>
        <v>-4.44771998475981</v>
      </c>
      <c r="L150" s="237" t="n">
        <f aca="false">SUM(L142:L149)</f>
        <v>133789706</v>
      </c>
      <c r="M150" s="237" t="n">
        <f aca="false">SUM(M142:M149)</f>
        <v>141798742</v>
      </c>
      <c r="N150" s="313" t="n">
        <f aca="false">L150/M150*100-100</f>
        <v>-5.6481714062033</v>
      </c>
      <c r="O150" s="216" t="n">
        <f aca="false">SUM(O142:O149)</f>
        <v>3631</v>
      </c>
      <c r="P150" s="237" t="n">
        <f aca="false">R150/O150</f>
        <v>130.586615257505</v>
      </c>
      <c r="Q150" s="216" t="n">
        <f aca="false">SUM(Q142:Q149)</f>
        <v>3712</v>
      </c>
      <c r="R150" s="232" t="n">
        <f aca="false">SUM(R142:R149)</f>
        <v>474160</v>
      </c>
    </row>
    <row r="151" customFormat="false" ht="15" hidden="false" customHeight="false" outlineLevel="0" collapsed="false">
      <c r="A151" s="319" t="s">
        <v>146</v>
      </c>
      <c r="B151" s="319" t="s">
        <v>78</v>
      </c>
      <c r="C151" s="320" t="n">
        <f aca="false">C139+C150</f>
        <v>311419648</v>
      </c>
      <c r="D151" s="320" t="n">
        <f aca="false">D139+D150</f>
        <v>312491489</v>
      </c>
      <c r="E151" s="310" t="n">
        <f aca="false">C151/D151*100-100</f>
        <v>-0.342998461631709</v>
      </c>
      <c r="F151" s="320" t="n">
        <f aca="false">F139+F150</f>
        <v>26950929</v>
      </c>
      <c r="G151" s="320" t="n">
        <f aca="false">G139+G150</f>
        <v>29176351</v>
      </c>
      <c r="H151" s="310" t="n">
        <f aca="false">F151/G151*100-100</f>
        <v>-7.62748569894845</v>
      </c>
      <c r="I151" s="320" t="n">
        <f aca="false">I139+I150</f>
        <v>293551340</v>
      </c>
      <c r="J151" s="320" t="n">
        <f aca="false">J139+J150</f>
        <v>300619321</v>
      </c>
      <c r="K151" s="310" t="n">
        <f aca="false">I151/J151*100-100</f>
        <v>-2.35113996548478</v>
      </c>
      <c r="L151" s="320" t="n">
        <f aca="false">L139+L150</f>
        <v>239918641</v>
      </c>
      <c r="M151" s="320" t="n">
        <f aca="false">M139+M150</f>
        <v>238344667</v>
      </c>
      <c r="N151" s="310" t="n">
        <f aca="false">L151/M151*100-100</f>
        <v>0.660377267849668</v>
      </c>
      <c r="O151" s="320" t="n">
        <f aca="false">O139+O150</f>
        <v>9621</v>
      </c>
      <c r="P151" s="321" t="n">
        <f aca="false">R151/O151</f>
        <v>157.305997297578</v>
      </c>
      <c r="Q151" s="320" t="n">
        <f aca="false">Q139+Q150</f>
        <v>9641</v>
      </c>
      <c r="R151" s="320" t="n">
        <f aca="false">R139+R150</f>
        <v>1513441</v>
      </c>
    </row>
    <row r="152" s="404" customFormat="true" ht="15" hidden="false" customHeight="false" outlineLevel="0" collapsed="false">
      <c r="A152" s="401"/>
      <c r="B152" s="401"/>
      <c r="C152" s="264"/>
      <c r="D152" s="264"/>
      <c r="E152" s="402"/>
      <c r="F152" s="264"/>
      <c r="G152" s="264"/>
      <c r="H152" s="402"/>
      <c r="I152" s="264"/>
      <c r="J152" s="264"/>
      <c r="K152" s="402"/>
      <c r="L152" s="264"/>
      <c r="M152" s="264"/>
      <c r="N152" s="402"/>
      <c r="O152" s="264"/>
      <c r="P152" s="265"/>
      <c r="Q152" s="264"/>
      <c r="R152" s="403"/>
    </row>
    <row r="153" customFormat="false" ht="15" hidden="false" customHeight="false" outlineLevel="0" collapsed="false">
      <c r="A153" s="263"/>
      <c r="B153" s="263"/>
      <c r="C153" s="264"/>
      <c r="D153" s="264"/>
      <c r="E153" s="265"/>
      <c r="F153" s="266"/>
      <c r="G153" s="266"/>
      <c r="H153" s="265"/>
      <c r="I153" s="266"/>
      <c r="J153" s="266"/>
      <c r="K153" s="265"/>
      <c r="L153" s="266"/>
      <c r="M153" s="266"/>
      <c r="N153" s="265"/>
      <c r="O153" s="266"/>
      <c r="P153" s="264"/>
      <c r="Q153" s="266"/>
      <c r="R153" s="267"/>
    </row>
    <row r="154" customFormat="false" ht="15" hidden="false" customHeight="false" outlineLevel="0" collapsed="false">
      <c r="A154" s="179"/>
      <c r="B154" s="270" t="s">
        <v>147</v>
      </c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189"/>
    </row>
    <row r="155" customFormat="false" ht="15" hidden="false" customHeight="false" outlineLevel="0" collapsed="false">
      <c r="A155" s="270"/>
      <c r="B155" s="270"/>
      <c r="C155" s="195" t="n">
        <v>3</v>
      </c>
      <c r="D155" s="195" t="n">
        <v>4</v>
      </c>
      <c r="E155" s="196" t="n">
        <v>5</v>
      </c>
      <c r="F155" s="195" t="n">
        <v>6</v>
      </c>
      <c r="G155" s="195" t="n">
        <v>7</v>
      </c>
      <c r="H155" s="195" t="n">
        <v>8</v>
      </c>
      <c r="I155" s="195" t="n">
        <v>9</v>
      </c>
      <c r="J155" s="195" t="n">
        <v>10</v>
      </c>
      <c r="K155" s="195" t="n">
        <v>11</v>
      </c>
      <c r="L155" s="195" t="n">
        <v>12</v>
      </c>
      <c r="M155" s="195" t="n">
        <v>13</v>
      </c>
      <c r="N155" s="195" t="n">
        <v>14</v>
      </c>
      <c r="O155" s="195" t="n">
        <v>15</v>
      </c>
      <c r="P155" s="196" t="n">
        <v>16</v>
      </c>
      <c r="Q155" s="195" t="n">
        <v>17</v>
      </c>
      <c r="R155" s="271"/>
    </row>
    <row r="156" customFormat="false" ht="15" hidden="false" customHeight="false" outlineLevel="0" collapsed="false">
      <c r="A156" s="262" t="n">
        <v>1</v>
      </c>
      <c r="B156" s="272" t="s">
        <v>148</v>
      </c>
      <c r="C156" s="262" t="n">
        <v>33772</v>
      </c>
      <c r="D156" s="262" t="n">
        <v>62905</v>
      </c>
      <c r="E156" s="201" t="n">
        <f aca="false">C156/D156*100-100</f>
        <v>-46.3126937445354</v>
      </c>
      <c r="F156" s="192" t="n">
        <v>3014</v>
      </c>
      <c r="G156" s="262" t="n">
        <v>5416</v>
      </c>
      <c r="H156" s="201" t="n">
        <f aca="false">F156/G156*100-100</f>
        <v>-44.3500738552437</v>
      </c>
      <c r="I156" s="262" t="n">
        <v>33772</v>
      </c>
      <c r="J156" s="262" t="n">
        <v>62905</v>
      </c>
      <c r="K156" s="201" t="n">
        <f aca="false">I156/J156*100-100</f>
        <v>-46.3126937445354</v>
      </c>
      <c r="L156" s="262" t="n">
        <v>0</v>
      </c>
      <c r="M156" s="262" t="n">
        <v>0</v>
      </c>
      <c r="N156" s="201" t="n">
        <v>0</v>
      </c>
      <c r="O156" s="262" t="n">
        <v>39</v>
      </c>
      <c r="P156" s="236" t="n">
        <v>97</v>
      </c>
      <c r="Q156" s="262" t="n">
        <v>45</v>
      </c>
      <c r="R156" s="202" t="n">
        <f aca="false">O156*P156</f>
        <v>3783</v>
      </c>
    </row>
    <row r="157" customFormat="false" ht="15" hidden="false" customHeight="false" outlineLevel="0" collapsed="false">
      <c r="A157" s="262" t="n">
        <v>2</v>
      </c>
      <c r="B157" s="272" t="s">
        <v>149</v>
      </c>
      <c r="C157" s="208" t="n">
        <v>9319077</v>
      </c>
      <c r="D157" s="208" t="n">
        <v>5411058</v>
      </c>
      <c r="E157" s="201" t="n">
        <f aca="false">C157/D157*100-100</f>
        <v>72.2228259242463</v>
      </c>
      <c r="F157" s="208" t="n">
        <v>886018</v>
      </c>
      <c r="G157" s="208" t="n">
        <v>686171</v>
      </c>
      <c r="H157" s="201" t="n">
        <f aca="false">F157/G157*100-100</f>
        <v>29.1249557326089</v>
      </c>
      <c r="I157" s="208" t="n">
        <v>8953375</v>
      </c>
      <c r="J157" s="208" t="n">
        <v>5665902</v>
      </c>
      <c r="K157" s="201" t="n">
        <f aca="false">I157/J157*100-100</f>
        <v>58.0220589766643</v>
      </c>
      <c r="L157" s="208" t="n">
        <v>4128109</v>
      </c>
      <c r="M157" s="208" t="n">
        <v>1709706</v>
      </c>
      <c r="N157" s="201" t="n">
        <f aca="false">L157/M157*100-100</f>
        <v>141.451395737045</v>
      </c>
      <c r="O157" s="262" t="n">
        <v>593</v>
      </c>
      <c r="P157" s="236" t="n">
        <v>110</v>
      </c>
      <c r="Q157" s="262" t="n">
        <v>593</v>
      </c>
      <c r="R157" s="202" t="n">
        <f aca="false">O157*P157</f>
        <v>65230</v>
      </c>
    </row>
    <row r="158" customFormat="false" ht="15" hidden="false" customHeight="false" outlineLevel="0" collapsed="false">
      <c r="A158" s="262" t="n">
        <v>3</v>
      </c>
      <c r="B158" s="272" t="s">
        <v>150</v>
      </c>
      <c r="C158" s="200" t="n">
        <v>0</v>
      </c>
      <c r="D158" s="200" t="n">
        <v>0</v>
      </c>
      <c r="E158" s="201" t="n">
        <v>0</v>
      </c>
      <c r="F158" s="200" t="n">
        <v>0</v>
      </c>
      <c r="G158" s="200" t="n">
        <v>0</v>
      </c>
      <c r="H158" s="201" t="n">
        <v>0</v>
      </c>
      <c r="I158" s="200" t="n">
        <v>0</v>
      </c>
      <c r="J158" s="200" t="n">
        <v>0</v>
      </c>
      <c r="K158" s="201" t="n">
        <v>0</v>
      </c>
      <c r="L158" s="200" t="n">
        <v>0</v>
      </c>
      <c r="M158" s="200" t="n">
        <v>0</v>
      </c>
      <c r="N158" s="201" t="n">
        <v>0</v>
      </c>
      <c r="O158" s="203" t="n">
        <v>0</v>
      </c>
      <c r="P158" s="204" t="n">
        <v>0</v>
      </c>
      <c r="Q158" s="203" t="n">
        <v>0</v>
      </c>
      <c r="R158" s="202" t="n">
        <v>0</v>
      </c>
    </row>
    <row r="159" customFormat="false" ht="15" hidden="false" customHeight="false" outlineLevel="0" collapsed="false">
      <c r="A159" s="262" t="n">
        <v>4</v>
      </c>
      <c r="B159" s="272" t="s">
        <v>151</v>
      </c>
      <c r="C159" s="262" t="n">
        <v>2556874</v>
      </c>
      <c r="D159" s="262" t="n">
        <v>2855532</v>
      </c>
      <c r="E159" s="201" t="n">
        <f aca="false">C159/D159*100-100</f>
        <v>-10.4589267428976</v>
      </c>
      <c r="F159" s="262" t="n">
        <v>281367</v>
      </c>
      <c r="G159" s="273" t="n">
        <v>217487</v>
      </c>
      <c r="H159" s="201" t="n">
        <f aca="false">F159/G159*100-100</f>
        <v>29.3718705026047</v>
      </c>
      <c r="I159" s="273" t="n">
        <v>2279915</v>
      </c>
      <c r="J159" s="273" t="n">
        <v>3152716</v>
      </c>
      <c r="K159" s="201" t="n">
        <f aca="false">I159/J159*100-100</f>
        <v>-27.6840984091177</v>
      </c>
      <c r="L159" s="273" t="n">
        <f aca="false">1867672+22765</f>
        <v>1890437</v>
      </c>
      <c r="M159" s="273" t="n">
        <f aca="false">1934513+18916</f>
        <v>1953429</v>
      </c>
      <c r="N159" s="201" t="n">
        <f aca="false">L159/M159*100-100</f>
        <v>-3.22468848368689</v>
      </c>
      <c r="O159" s="262" t="n">
        <v>296</v>
      </c>
      <c r="P159" s="236" t="n">
        <v>100</v>
      </c>
      <c r="Q159" s="262" t="n">
        <v>296</v>
      </c>
      <c r="R159" s="202" t="n">
        <f aca="false">O159*P159</f>
        <v>29600</v>
      </c>
    </row>
    <row r="160" customFormat="false" ht="15" hidden="false" customHeight="false" outlineLevel="0" collapsed="false">
      <c r="A160" s="262" t="n">
        <v>5</v>
      </c>
      <c r="B160" s="245" t="s">
        <v>88</v>
      </c>
      <c r="C160" s="208" t="n">
        <v>1969923</v>
      </c>
      <c r="D160" s="208" t="n">
        <v>1873260</v>
      </c>
      <c r="E160" s="201" t="n">
        <f aca="false">C160/D160*100-100</f>
        <v>5.16014861791743</v>
      </c>
      <c r="F160" s="208" t="n">
        <v>225544</v>
      </c>
      <c r="G160" s="208" t="n">
        <v>227655</v>
      </c>
      <c r="H160" s="201" t="n">
        <f aca="false">F160/G160*100-100</f>
        <v>-0.927280314510995</v>
      </c>
      <c r="I160" s="208" t="n">
        <v>2022087</v>
      </c>
      <c r="J160" s="208" t="n">
        <v>1949444</v>
      </c>
      <c r="K160" s="201" t="n">
        <f aca="false">I160/J160*100-100</f>
        <v>3.72634453721163</v>
      </c>
      <c r="L160" s="203" t="n">
        <v>24972</v>
      </c>
      <c r="M160" s="208" t="n">
        <v>0</v>
      </c>
      <c r="N160" s="201" t="n">
        <v>0</v>
      </c>
      <c r="O160" s="203" t="n">
        <v>127</v>
      </c>
      <c r="P160" s="208" t="n">
        <v>145</v>
      </c>
      <c r="Q160" s="203" t="n">
        <v>127</v>
      </c>
      <c r="R160" s="202" t="n">
        <f aca="false">O160*P160</f>
        <v>18415</v>
      </c>
    </row>
    <row r="161" customFormat="false" ht="15" hidden="false" customHeight="false" outlineLevel="0" collapsed="false">
      <c r="A161" s="262" t="n">
        <v>6</v>
      </c>
      <c r="B161" s="272" t="s">
        <v>152</v>
      </c>
      <c r="C161" s="200" t="n">
        <v>1364545</v>
      </c>
      <c r="D161" s="200" t="n">
        <v>2360611</v>
      </c>
      <c r="E161" s="201" t="n">
        <f aca="false">C161/D161*100-100</f>
        <v>-42.1952621588224</v>
      </c>
      <c r="F161" s="200" t="n">
        <v>191680</v>
      </c>
      <c r="G161" s="200" t="n">
        <v>0</v>
      </c>
      <c r="H161" s="201" t="n">
        <v>0</v>
      </c>
      <c r="I161" s="200" t="n">
        <v>928587</v>
      </c>
      <c r="J161" s="200" t="n">
        <v>2351326</v>
      </c>
      <c r="K161" s="201" t="n">
        <v>0</v>
      </c>
      <c r="L161" s="200" t="n">
        <v>0</v>
      </c>
      <c r="M161" s="200" t="n">
        <v>0</v>
      </c>
      <c r="N161" s="201" t="n">
        <v>0</v>
      </c>
      <c r="O161" s="203" t="n">
        <v>436</v>
      </c>
      <c r="P161" s="204" t="n">
        <v>65</v>
      </c>
      <c r="Q161" s="203" t="n">
        <v>436</v>
      </c>
      <c r="R161" s="202" t="n">
        <f aca="false">O161*P161</f>
        <v>28340</v>
      </c>
    </row>
    <row r="162" customFormat="false" ht="15" hidden="false" customHeight="false" outlineLevel="0" collapsed="false">
      <c r="A162" s="215" t="s">
        <v>153</v>
      </c>
      <c r="B162" s="215" t="s">
        <v>154</v>
      </c>
      <c r="C162" s="216" t="n">
        <f aca="false">SUM(C156:C161)</f>
        <v>15244191</v>
      </c>
      <c r="D162" s="216" t="n">
        <f aca="false">SUM(D156:D161)</f>
        <v>12563366</v>
      </c>
      <c r="E162" s="313" t="n">
        <f aca="false">C162/D162*100-100</f>
        <v>21.3384295259726</v>
      </c>
      <c r="F162" s="216" t="n">
        <f aca="false">SUM(F156:F161)</f>
        <v>1587623</v>
      </c>
      <c r="G162" s="216" t="n">
        <f aca="false">SUM(G156:G161)</f>
        <v>1136729</v>
      </c>
      <c r="H162" s="313" t="n">
        <f aca="false">F162/G162*100-100</f>
        <v>39.6659186138473</v>
      </c>
      <c r="I162" s="216" t="n">
        <f aca="false">SUM(I156:I161)</f>
        <v>14217736</v>
      </c>
      <c r="J162" s="216" t="n">
        <f aca="false">SUM(J156:J161)</f>
        <v>13182293</v>
      </c>
      <c r="K162" s="313" t="n">
        <f aca="false">I162/J162*100-100</f>
        <v>7.85480189220496</v>
      </c>
      <c r="L162" s="216" t="n">
        <f aca="false">SUM(L156:L161)</f>
        <v>6043518</v>
      </c>
      <c r="M162" s="216" t="n">
        <f aca="false">SUM(M156:M161)</f>
        <v>3663135</v>
      </c>
      <c r="N162" s="313" t="n">
        <f aca="false">L162/M162*100-100</f>
        <v>64.9821259658735</v>
      </c>
      <c r="O162" s="216" t="n">
        <f aca="false">SUM(O156:O161)</f>
        <v>1491</v>
      </c>
      <c r="P162" s="217" t="n">
        <f aca="false">R162/O162</f>
        <v>97.4969818913481</v>
      </c>
      <c r="Q162" s="216" t="n">
        <f aca="false">SUM(Q156:Q161)</f>
        <v>1497</v>
      </c>
      <c r="R162" s="232" t="n">
        <f aca="false">SUM(R156:R161)</f>
        <v>145368</v>
      </c>
    </row>
    <row r="163" customFormat="false" ht="15" hidden="false" customHeight="false" outlineLevel="0" collapsed="false">
      <c r="A163" s="274"/>
      <c r="B163" s="256"/>
      <c r="C163" s="275"/>
      <c r="D163" s="275"/>
      <c r="E163" s="276"/>
      <c r="F163" s="275"/>
      <c r="G163" s="275"/>
      <c r="H163" s="276"/>
      <c r="I163" s="275"/>
      <c r="J163" s="275"/>
      <c r="K163" s="276"/>
      <c r="L163" s="275"/>
      <c r="M163" s="277"/>
      <c r="N163" s="278"/>
      <c r="O163" s="277"/>
      <c r="P163" s="275"/>
      <c r="Q163" s="277"/>
      <c r="R163" s="279"/>
    </row>
    <row r="164" customFormat="false" ht="15" hidden="false" customHeight="false" outlineLevel="0" collapsed="false">
      <c r="A164" s="274"/>
      <c r="B164" s="322" t="s">
        <v>194</v>
      </c>
      <c r="C164" s="322"/>
      <c r="D164" s="275"/>
      <c r="E164" s="276"/>
      <c r="F164" s="275"/>
      <c r="G164" s="275"/>
      <c r="H164" s="276"/>
      <c r="I164" s="275"/>
      <c r="J164" s="275"/>
      <c r="K164" s="276"/>
      <c r="L164" s="275"/>
      <c r="M164" s="277"/>
      <c r="N164" s="278"/>
      <c r="O164" s="277"/>
      <c r="P164" s="275"/>
      <c r="Q164" s="277"/>
      <c r="R164" s="279"/>
    </row>
    <row r="165" customFormat="false" ht="15" hidden="false" customHeight="false" outlineLevel="0" collapsed="false">
      <c r="A165" s="323" t="s">
        <v>195</v>
      </c>
      <c r="B165" s="323"/>
      <c r="C165" s="195" t="n">
        <v>3</v>
      </c>
      <c r="D165" s="195" t="n">
        <v>4</v>
      </c>
      <c r="E165" s="196" t="n">
        <v>5</v>
      </c>
      <c r="F165" s="195" t="n">
        <v>6</v>
      </c>
      <c r="G165" s="195" t="n">
        <v>7</v>
      </c>
      <c r="H165" s="195" t="n">
        <v>8</v>
      </c>
      <c r="I165" s="195" t="n">
        <v>9</v>
      </c>
      <c r="J165" s="195" t="n">
        <v>10</v>
      </c>
      <c r="K165" s="195" t="n">
        <v>11</v>
      </c>
      <c r="L165" s="195" t="n">
        <v>12</v>
      </c>
      <c r="M165" s="195" t="n">
        <v>13</v>
      </c>
      <c r="N165" s="195" t="n">
        <v>14</v>
      </c>
      <c r="O165" s="195" t="n">
        <v>15</v>
      </c>
      <c r="P165" s="196" t="n">
        <v>16</v>
      </c>
      <c r="Q165" s="195" t="n">
        <v>17</v>
      </c>
      <c r="R165" s="202"/>
    </row>
    <row r="166" customFormat="false" ht="15" hidden="false" customHeight="false" outlineLevel="0" collapsed="false">
      <c r="A166" s="366" t="n">
        <v>1</v>
      </c>
      <c r="B166" s="388" t="s">
        <v>249</v>
      </c>
      <c r="C166" s="203" t="n">
        <v>24712090</v>
      </c>
      <c r="D166" s="203" t="n">
        <v>18601772</v>
      </c>
      <c r="E166" s="201" t="n">
        <f aca="false">C166/D166*100-100</f>
        <v>32.8480426488401</v>
      </c>
      <c r="F166" s="203" t="n">
        <v>2852280</v>
      </c>
      <c r="G166" s="203" t="n">
        <v>1845567</v>
      </c>
      <c r="H166" s="201" t="n">
        <f aca="false">F166/G166*100-100</f>
        <v>54.5476268268776</v>
      </c>
      <c r="I166" s="203" t="n">
        <v>23808763</v>
      </c>
      <c r="J166" s="203" t="n">
        <v>18357614</v>
      </c>
      <c r="K166" s="201" t="n">
        <f aca="false">I166/J166*100-100</f>
        <v>29.6942129843235</v>
      </c>
      <c r="L166" s="203" t="n">
        <f aca="false">19961855+1106308</f>
        <v>21068163</v>
      </c>
      <c r="M166" s="203" t="n">
        <f aca="false">14831242+1059845</f>
        <v>15891087</v>
      </c>
      <c r="N166" s="201" t="n">
        <f aca="false">L166/M166*100-100</f>
        <v>32.5784888094817</v>
      </c>
      <c r="O166" s="203" t="n">
        <v>343</v>
      </c>
      <c r="P166" s="203"/>
      <c r="Q166" s="203" t="n">
        <v>343</v>
      </c>
      <c r="R166" s="202" t="n">
        <f aca="false">O166*P166</f>
        <v>0</v>
      </c>
    </row>
    <row r="167" customFormat="false" ht="15" hidden="false" customHeight="false" outlineLevel="0" collapsed="false">
      <c r="A167" s="366" t="n">
        <v>2</v>
      </c>
      <c r="B167" s="388" t="s">
        <v>250</v>
      </c>
      <c r="C167" s="203" t="n">
        <v>3555947</v>
      </c>
      <c r="D167" s="203" t="n">
        <v>1065352</v>
      </c>
      <c r="E167" s="201" t="n">
        <f aca="false">C167/D167*100-100</f>
        <v>233.781416846263</v>
      </c>
      <c r="F167" s="203" t="n">
        <v>507091</v>
      </c>
      <c r="G167" s="203" t="n">
        <v>142360</v>
      </c>
      <c r="H167" s="223" t="n">
        <f aca="false">F167/G167*100-100</f>
        <v>256.203287440292</v>
      </c>
      <c r="I167" s="203" t="n">
        <v>3564866</v>
      </c>
      <c r="J167" s="203" t="n">
        <v>1095316</v>
      </c>
      <c r="K167" s="201" t="n">
        <f aca="false">I167/J167*100-100</f>
        <v>225.464614777836</v>
      </c>
      <c r="L167" s="203" t="n">
        <f aca="false">2673685+188021</f>
        <v>2861706</v>
      </c>
      <c r="M167" s="203" t="n">
        <f aca="false">184108+47352</f>
        <v>231460</v>
      </c>
      <c r="N167" s="223" t="n">
        <f aca="false">L167/M167*100-100</f>
        <v>1136.37172729629</v>
      </c>
      <c r="O167" s="203" t="n">
        <v>132</v>
      </c>
      <c r="P167" s="203" t="n">
        <v>110</v>
      </c>
      <c r="Q167" s="203" t="n">
        <v>115</v>
      </c>
      <c r="R167" s="202" t="n">
        <f aca="false">O167*P167</f>
        <v>14520</v>
      </c>
    </row>
    <row r="168" customFormat="false" ht="15" hidden="false" customHeight="false" outlineLevel="0" collapsed="false">
      <c r="A168" s="366" t="n">
        <v>3</v>
      </c>
      <c r="B168" s="388" t="s">
        <v>251</v>
      </c>
      <c r="C168" s="203"/>
      <c r="D168" s="203"/>
      <c r="E168" s="201" t="n">
        <v>0</v>
      </c>
      <c r="F168" s="203"/>
      <c r="G168" s="203"/>
      <c r="H168" s="223" t="n">
        <v>0</v>
      </c>
      <c r="I168" s="203"/>
      <c r="J168" s="203"/>
      <c r="K168" s="223" t="n">
        <v>0</v>
      </c>
      <c r="L168" s="203"/>
      <c r="M168" s="203"/>
      <c r="N168" s="223" t="n">
        <v>0</v>
      </c>
      <c r="O168" s="203" t="n">
        <v>56</v>
      </c>
      <c r="P168" s="203" t="n">
        <v>131</v>
      </c>
      <c r="Q168" s="203" t="n">
        <v>56</v>
      </c>
      <c r="R168" s="202" t="n">
        <f aca="false">O168*P168</f>
        <v>7336</v>
      </c>
    </row>
    <row r="169" customFormat="false" ht="15" hidden="false" customHeight="false" outlineLevel="0" collapsed="false">
      <c r="A169" s="366" t="n">
        <v>4</v>
      </c>
      <c r="B169" s="388" t="s">
        <v>252</v>
      </c>
      <c r="C169" s="208" t="n">
        <v>1414485</v>
      </c>
      <c r="D169" s="208" t="n">
        <v>1148454</v>
      </c>
      <c r="E169" s="201" t="n">
        <f aca="false">C169/D169*100-100</f>
        <v>23.1642712725107</v>
      </c>
      <c r="F169" s="208" t="n">
        <v>265816</v>
      </c>
      <c r="G169" s="208" t="n">
        <v>151407</v>
      </c>
      <c r="H169" s="201" t="n">
        <f aca="false">F169/G169*100-100</f>
        <v>75.5638774957565</v>
      </c>
      <c r="I169" s="208" t="n">
        <v>2067171</v>
      </c>
      <c r="J169" s="208" t="n">
        <v>2247209</v>
      </c>
      <c r="K169" s="201" t="n">
        <f aca="false">I169/J169*100-100</f>
        <v>-8.01162686692693</v>
      </c>
      <c r="L169" s="208" t="n">
        <v>1036053</v>
      </c>
      <c r="M169" s="208" t="n">
        <v>1346117</v>
      </c>
      <c r="N169" s="223" t="n">
        <f aca="false">L169/M169*100-100</f>
        <v>-23.0339561865722</v>
      </c>
      <c r="O169" s="250" t="n">
        <v>202</v>
      </c>
      <c r="P169" s="203" t="n">
        <v>140</v>
      </c>
      <c r="Q169" s="250" t="n">
        <v>197</v>
      </c>
      <c r="R169" s="202" t="n">
        <f aca="false">O169*P169</f>
        <v>28280</v>
      </c>
    </row>
    <row r="170" customFormat="false" ht="27" hidden="false" customHeight="false" outlineLevel="0" collapsed="false">
      <c r="A170" s="367" t="n">
        <v>5</v>
      </c>
      <c r="B170" s="389" t="s">
        <v>253</v>
      </c>
      <c r="C170" s="206" t="n">
        <v>9866195</v>
      </c>
      <c r="D170" s="206" t="n">
        <v>9377843</v>
      </c>
      <c r="E170" s="201" t="n">
        <f aca="false">C170/D170*100-100</f>
        <v>5.20750880559635</v>
      </c>
      <c r="F170" s="206" t="n">
        <v>795488</v>
      </c>
      <c r="G170" s="206" t="n">
        <v>1049452</v>
      </c>
      <c r="H170" s="201" t="n">
        <f aca="false">F170/G170*100-100</f>
        <v>-24.1996775459954</v>
      </c>
      <c r="I170" s="206" t="n">
        <v>9122439</v>
      </c>
      <c r="J170" s="206" t="n">
        <v>2636342</v>
      </c>
      <c r="K170" s="201" t="n">
        <f aca="false">I170/J170*100-100</f>
        <v>246.026388078633</v>
      </c>
      <c r="L170" s="206" t="n">
        <f aca="false">9029790+92649</f>
        <v>9122439</v>
      </c>
      <c r="M170" s="206" t="n">
        <f aca="false">9028542+210992</f>
        <v>9239534</v>
      </c>
      <c r="N170" s="223" t="n">
        <f aca="false">L170/M170*100-100</f>
        <v>-1.26732581967879</v>
      </c>
      <c r="O170" s="369" t="n">
        <v>254</v>
      </c>
      <c r="P170" s="200"/>
      <c r="Q170" s="369" t="n">
        <v>254</v>
      </c>
      <c r="R170" s="370"/>
    </row>
    <row r="171" s="371" customFormat="true" ht="15" hidden="false" customHeight="false" outlineLevel="0" collapsed="false">
      <c r="A171" s="367" t="n">
        <v>6</v>
      </c>
      <c r="B171" s="389" t="s">
        <v>254</v>
      </c>
      <c r="C171" s="206" t="n">
        <v>7049403</v>
      </c>
      <c r="D171" s="206" t="n">
        <v>7522340</v>
      </c>
      <c r="E171" s="201" t="n">
        <f aca="false">C171/D171*100-100</f>
        <v>-6.28709949297692</v>
      </c>
      <c r="F171" s="206" t="n">
        <v>1296100</v>
      </c>
      <c r="G171" s="206" t="n">
        <v>1227617</v>
      </c>
      <c r="H171" s="201" t="n">
        <f aca="false">F171/G171*100-100</f>
        <v>5.57853141492828</v>
      </c>
      <c r="I171" s="206" t="n">
        <v>7049403</v>
      </c>
      <c r="J171" s="206" t="n">
        <v>7522340</v>
      </c>
      <c r="K171" s="201" t="n">
        <f aca="false">I171/J171*100-100</f>
        <v>-6.28709949297692</v>
      </c>
      <c r="L171" s="206" t="n">
        <f aca="false">2240951+2247261</f>
        <v>4488212</v>
      </c>
      <c r="M171" s="206" t="n">
        <f aca="false">3676779+1932725</f>
        <v>5609504</v>
      </c>
      <c r="N171" s="201" t="n">
        <f aca="false">L171/M171*100-100</f>
        <v>-19.9891469905361</v>
      </c>
      <c r="O171" s="369" t="n">
        <v>251</v>
      </c>
      <c r="P171" s="200" t="n">
        <v>103</v>
      </c>
      <c r="Q171" s="369" t="n">
        <v>250</v>
      </c>
      <c r="R171" s="370"/>
    </row>
    <row r="172" s="371" customFormat="true" ht="15" hidden="false" customHeight="false" outlineLevel="0" collapsed="false">
      <c r="A172" s="367" t="n">
        <v>7</v>
      </c>
      <c r="B172" s="243" t="s">
        <v>255</v>
      </c>
      <c r="C172" s="206" t="n">
        <v>1296954</v>
      </c>
      <c r="D172" s="206" t="n">
        <v>0</v>
      </c>
      <c r="E172" s="201" t="n">
        <v>0</v>
      </c>
      <c r="F172" s="206" t="n">
        <v>371936</v>
      </c>
      <c r="G172" s="206" t="n">
        <v>0</v>
      </c>
      <c r="H172" s="201" t="n">
        <v>0</v>
      </c>
      <c r="I172" s="206" t="n">
        <v>2371877</v>
      </c>
      <c r="J172" s="206" t="n">
        <v>0</v>
      </c>
      <c r="K172" s="201" t="n">
        <v>0</v>
      </c>
      <c r="L172" s="206" t="n">
        <v>1736351</v>
      </c>
      <c r="M172" s="206"/>
      <c r="N172" s="201" t="n">
        <v>0</v>
      </c>
      <c r="O172" s="369" t="n">
        <v>127</v>
      </c>
      <c r="P172" s="200" t="n">
        <v>93</v>
      </c>
      <c r="Q172" s="369" t="n">
        <v>127</v>
      </c>
      <c r="R172" s="370"/>
      <c r="T172" s="406"/>
    </row>
    <row r="173" s="409" customFormat="true" ht="15" hidden="false" customHeight="false" outlineLevel="0" collapsed="false">
      <c r="A173" s="219" t="n">
        <v>8</v>
      </c>
      <c r="B173" s="407" t="s">
        <v>256</v>
      </c>
      <c r="C173" s="219" t="n">
        <v>2485165</v>
      </c>
      <c r="D173" s="219" t="n">
        <v>1095962</v>
      </c>
      <c r="E173" s="201" t="n">
        <f aca="false">C173/D173*100-100</f>
        <v>126.75649338207</v>
      </c>
      <c r="F173" s="219" t="n">
        <v>237320</v>
      </c>
      <c r="G173" s="219" t="n">
        <v>57081</v>
      </c>
      <c r="H173" s="201" t="n">
        <f aca="false">F173/G173*100-100</f>
        <v>315.760060265237</v>
      </c>
      <c r="I173" s="219" t="n">
        <v>2486278</v>
      </c>
      <c r="J173" s="219" t="n">
        <v>1036846</v>
      </c>
      <c r="K173" s="223" t="n">
        <f aca="false">I173/J173*100-100</f>
        <v>139.792408901611</v>
      </c>
      <c r="L173" s="219" t="n">
        <v>16014</v>
      </c>
      <c r="M173" s="219" t="n">
        <v>45189</v>
      </c>
      <c r="N173" s="408" t="n">
        <f aca="false">L173/M173*100-100</f>
        <v>-64.5621722100511</v>
      </c>
      <c r="O173" s="219" t="n">
        <v>260</v>
      </c>
      <c r="P173" s="219" t="n">
        <v>76</v>
      </c>
      <c r="Q173" s="219" t="n">
        <v>185</v>
      </c>
      <c r="R173" s="234" t="n">
        <f aca="false">O173*P173</f>
        <v>19760</v>
      </c>
      <c r="T173" s="197"/>
    </row>
    <row r="174" customFormat="false" ht="15" hidden="false" customHeight="false" outlineLevel="0" collapsed="false">
      <c r="A174" s="203" t="n">
        <v>9</v>
      </c>
      <c r="B174" s="388" t="s">
        <v>257</v>
      </c>
      <c r="C174" s="203" t="n">
        <v>1551846</v>
      </c>
      <c r="D174" s="203" t="n">
        <v>1306059</v>
      </c>
      <c r="E174" s="201" t="n">
        <f aca="false">C174/D174*100-100</f>
        <v>18.8189813783298</v>
      </c>
      <c r="F174" s="203" t="n">
        <v>167712</v>
      </c>
      <c r="G174" s="203" t="n">
        <v>196526</v>
      </c>
      <c r="H174" s="201" t="n">
        <f aca="false">F174/G174*100-100</f>
        <v>-14.6616732646062</v>
      </c>
      <c r="I174" s="203" t="n">
        <v>1533027</v>
      </c>
      <c r="J174" s="203" t="n">
        <v>1318850</v>
      </c>
      <c r="K174" s="201" t="n">
        <f aca="false">I174/J174*100-100</f>
        <v>16.2396785077909</v>
      </c>
      <c r="L174" s="203" t="n">
        <v>7217</v>
      </c>
      <c r="M174" s="203" t="n">
        <v>17776</v>
      </c>
      <c r="N174" s="201" t="n">
        <f aca="false">L174/M174*100-100</f>
        <v>-59.4003150315031</v>
      </c>
      <c r="O174" s="203" t="n">
        <v>30</v>
      </c>
      <c r="P174" s="203" t="n">
        <v>85</v>
      </c>
      <c r="Q174" s="203" t="n">
        <v>35</v>
      </c>
      <c r="R174" s="202" t="n">
        <f aca="false">O174*P174</f>
        <v>2550</v>
      </c>
      <c r="T174" s="235"/>
    </row>
    <row r="175" customFormat="false" ht="15" hidden="false" customHeight="false" outlineLevel="0" collapsed="false">
      <c r="A175" s="215" t="s">
        <v>201</v>
      </c>
      <c r="B175" s="215" t="s">
        <v>119</v>
      </c>
      <c r="C175" s="229" t="n">
        <f aca="false">SUM(C166:C174)</f>
        <v>51932085</v>
      </c>
      <c r="D175" s="229" t="n">
        <f aca="false">SUM(D166:D174)</f>
        <v>40117782</v>
      </c>
      <c r="E175" s="313" t="n">
        <f aca="false">C175/D175*100-100</f>
        <v>29.4490433194936</v>
      </c>
      <c r="F175" s="229" t="n">
        <f aca="false">SUM(F166:F174)</f>
        <v>6493743</v>
      </c>
      <c r="G175" s="229" t="n">
        <f aca="false">SUM(G166:G174)</f>
        <v>4670010</v>
      </c>
      <c r="H175" s="313" t="n">
        <f aca="false">F175/G175*100-100</f>
        <v>39.0520148779125</v>
      </c>
      <c r="I175" s="229" t="n">
        <f aca="false">SUM(I166:I174)</f>
        <v>52003824</v>
      </c>
      <c r="J175" s="229" t="n">
        <f aca="false">SUM(J166:J174)</f>
        <v>34214517</v>
      </c>
      <c r="K175" s="313" t="n">
        <f aca="false">I175/J175*100-100</f>
        <v>51.9934476935624</v>
      </c>
      <c r="L175" s="229" t="n">
        <f aca="false">SUM(L166:L174)</f>
        <v>40336155</v>
      </c>
      <c r="M175" s="229" t="n">
        <f aca="false">SUM(M166:M174)</f>
        <v>32380667</v>
      </c>
      <c r="N175" s="313" t="n">
        <f aca="false">L175/M175*100-100</f>
        <v>24.5686353526936</v>
      </c>
      <c r="O175" s="229" t="n">
        <f aca="false">SUM(O166:O174)</f>
        <v>1655</v>
      </c>
      <c r="P175" s="231" t="n">
        <f aca="false">R175/O175</f>
        <v>43.7740181268882</v>
      </c>
      <c r="Q175" s="229" t="n">
        <f aca="false">SUM(Q166:Q174)</f>
        <v>1562</v>
      </c>
      <c r="R175" s="229" t="n">
        <f aca="false">SUM(R166:R174)</f>
        <v>72446</v>
      </c>
      <c r="T175" s="410"/>
    </row>
    <row r="176" customFormat="false" ht="15" hidden="false" customHeight="false" outlineLevel="0" collapsed="false">
      <c r="A176" s="203"/>
      <c r="B176" s="281"/>
      <c r="C176" s="203"/>
      <c r="D176" s="203"/>
      <c r="E176" s="201"/>
      <c r="F176" s="203"/>
      <c r="G176" s="203"/>
      <c r="H176" s="201"/>
      <c r="I176" s="203"/>
      <c r="J176" s="203"/>
      <c r="K176" s="201"/>
      <c r="L176" s="203"/>
      <c r="M176" s="203"/>
      <c r="N176" s="201"/>
      <c r="O176" s="203"/>
      <c r="P176" s="203"/>
      <c r="Q176" s="203"/>
      <c r="R176" s="202"/>
    </row>
    <row r="177" customFormat="false" ht="15" hidden="false" customHeight="false" outlineLevel="0" collapsed="false">
      <c r="A177" s="203"/>
      <c r="B177" s="324" t="s">
        <v>202</v>
      </c>
      <c r="C177" s="203"/>
      <c r="D177" s="203"/>
      <c r="E177" s="201"/>
      <c r="F177" s="203"/>
      <c r="G177" s="203"/>
      <c r="H177" s="201"/>
      <c r="I177" s="203"/>
      <c r="J177" s="203"/>
      <c r="K177" s="201"/>
      <c r="L177" s="203"/>
      <c r="M177" s="203"/>
      <c r="N177" s="201"/>
      <c r="O177" s="203"/>
      <c r="P177" s="203"/>
      <c r="Q177" s="203"/>
      <c r="R177" s="202"/>
    </row>
    <row r="178" customFormat="false" ht="15" hidden="false" customHeight="false" outlineLevel="0" collapsed="false">
      <c r="A178" s="203" t="n">
        <v>1</v>
      </c>
      <c r="B178" s="281" t="s">
        <v>227</v>
      </c>
      <c r="C178" s="203" t="n">
        <v>123166</v>
      </c>
      <c r="D178" s="203" t="n">
        <v>123582</v>
      </c>
      <c r="E178" s="201" t="n">
        <f aca="false">C178/D178*100-100</f>
        <v>-0.336618601414443</v>
      </c>
      <c r="F178" s="203" t="n">
        <v>29876</v>
      </c>
      <c r="G178" s="203" t="n">
        <v>8391</v>
      </c>
      <c r="H178" s="201" t="n">
        <f aca="false">F178/G178*100-100</f>
        <v>256.048146823978</v>
      </c>
      <c r="I178" s="203" t="n">
        <v>113215</v>
      </c>
      <c r="J178" s="203" t="n">
        <v>159941</v>
      </c>
      <c r="K178" s="201" t="n">
        <f aca="false">I178/J178*100-100</f>
        <v>-29.2145228553029</v>
      </c>
      <c r="L178" s="203" t="n">
        <f aca="false">104550+3774</f>
        <v>108324</v>
      </c>
      <c r="M178" s="203" t="n">
        <v>156233</v>
      </c>
      <c r="N178" s="201" t="n">
        <f aca="false">L178/M178*100-100</f>
        <v>-30.6650963624842</v>
      </c>
      <c r="O178" s="203" t="n">
        <v>25</v>
      </c>
      <c r="P178" s="203" t="n">
        <v>102</v>
      </c>
      <c r="Q178" s="203" t="n">
        <v>51</v>
      </c>
      <c r="R178" s="202" t="n">
        <f aca="false">O178*P178</f>
        <v>2550</v>
      </c>
    </row>
    <row r="179" customFormat="false" ht="15" hidden="false" customHeight="false" outlineLevel="0" collapsed="false">
      <c r="A179" s="203" t="n">
        <v>2</v>
      </c>
      <c r="B179" s="243" t="s">
        <v>238</v>
      </c>
      <c r="C179" s="203" t="n">
        <v>1187630</v>
      </c>
      <c r="D179" s="203" t="n">
        <v>1055061</v>
      </c>
      <c r="E179" s="223" t="n">
        <f aca="false">C179/D179*100-100</f>
        <v>12.5650554802045</v>
      </c>
      <c r="F179" s="203" t="n">
        <v>131802</v>
      </c>
      <c r="G179" s="203" t="n">
        <v>155295</v>
      </c>
      <c r="H179" s="201" t="n">
        <f aca="false">F179/G179*100-100</f>
        <v>-15.1279822273737</v>
      </c>
      <c r="I179" s="203" t="n">
        <v>1201357</v>
      </c>
      <c r="J179" s="203" t="n">
        <v>953838</v>
      </c>
      <c r="K179" s="201" t="n">
        <f aca="false">I179/J179*100-100</f>
        <v>25.9497944095328</v>
      </c>
      <c r="L179" s="203" t="n">
        <f aca="false">316450+214853</f>
        <v>531303</v>
      </c>
      <c r="M179" s="203" t="n">
        <f aca="false">158515+133252</f>
        <v>291767</v>
      </c>
      <c r="N179" s="201" t="n">
        <f aca="false">L179/M179*100-100</f>
        <v>82.0983867263947</v>
      </c>
      <c r="O179" s="203" t="n">
        <v>78</v>
      </c>
      <c r="P179" s="203" t="n">
        <v>71</v>
      </c>
      <c r="Q179" s="203" t="n">
        <v>78</v>
      </c>
      <c r="R179" s="202" t="n">
        <f aca="false">O179*P179</f>
        <v>5538</v>
      </c>
    </row>
    <row r="180" customFormat="false" ht="15" hidden="false" customHeight="false" outlineLevel="0" collapsed="false">
      <c r="A180" s="203" t="n">
        <v>3</v>
      </c>
      <c r="B180" s="243" t="s">
        <v>239</v>
      </c>
      <c r="C180" s="203" t="n">
        <v>331801</v>
      </c>
      <c r="D180" s="203" t="n">
        <v>257761</v>
      </c>
      <c r="E180" s="223" t="n">
        <f aca="false">C180/D180*100-100</f>
        <v>28.7242833477524</v>
      </c>
      <c r="F180" s="203" t="n">
        <v>22629</v>
      </c>
      <c r="G180" s="203" t="n">
        <v>31568</v>
      </c>
      <c r="H180" s="201" t="n">
        <f aca="false">F180/G180*100-100</f>
        <v>-28.3166497719209</v>
      </c>
      <c r="I180" s="203" t="n">
        <v>586930</v>
      </c>
      <c r="J180" s="203" t="n">
        <v>521162</v>
      </c>
      <c r="K180" s="201" t="n">
        <f aca="false">I180/J180*100-100</f>
        <v>12.6194925953926</v>
      </c>
      <c r="L180" s="203" t="n">
        <f aca="false">38782+96638</f>
        <v>135420</v>
      </c>
      <c r="M180" s="203" t="n">
        <f aca="false">34634+112325</f>
        <v>146959</v>
      </c>
      <c r="N180" s="201" t="n">
        <f aca="false">L180/M180*100-100</f>
        <v>-7.85184983566846</v>
      </c>
      <c r="O180" s="203" t="n">
        <v>118</v>
      </c>
      <c r="P180" s="203" t="n">
        <v>74</v>
      </c>
      <c r="Q180" s="203" t="n">
        <v>155</v>
      </c>
      <c r="R180" s="202"/>
    </row>
    <row r="181" customFormat="false" ht="15" hidden="false" customHeight="false" outlineLevel="0" collapsed="false">
      <c r="A181" s="203" t="n">
        <v>4</v>
      </c>
      <c r="B181" s="243" t="s">
        <v>240</v>
      </c>
      <c r="C181" s="203" t="n">
        <v>2906706</v>
      </c>
      <c r="D181" s="203" t="n">
        <v>2488090</v>
      </c>
      <c r="E181" s="223" t="n">
        <f aca="false">C181/D181*100-100</f>
        <v>16.8247933153544</v>
      </c>
      <c r="F181" s="203" t="n">
        <v>287712</v>
      </c>
      <c r="G181" s="203" t="n">
        <v>299804</v>
      </c>
      <c r="H181" s="201" t="n">
        <f aca="false">F181/G181*100-100</f>
        <v>-4.033301757148</v>
      </c>
      <c r="I181" s="203" t="n">
        <v>2911494</v>
      </c>
      <c r="J181" s="203" t="n">
        <v>2896600</v>
      </c>
      <c r="K181" s="201" t="n">
        <f aca="false">I181/J181*100-100</f>
        <v>0.514189049230126</v>
      </c>
      <c r="L181" s="203" t="n">
        <f aca="false">1178600+250100</f>
        <v>1428700</v>
      </c>
      <c r="M181" s="203" t="n">
        <f aca="false">1190440+250300</f>
        <v>1440740</v>
      </c>
      <c r="N181" s="201" t="n">
        <f aca="false">L181/M181*100-100</f>
        <v>-0.835681663589554</v>
      </c>
      <c r="O181" s="203" t="n">
        <v>240</v>
      </c>
      <c r="P181" s="203" t="n">
        <v>150</v>
      </c>
      <c r="Q181" s="203" t="n">
        <v>265</v>
      </c>
      <c r="R181" s="202"/>
    </row>
    <row r="182" customFormat="false" ht="15" hidden="false" customHeight="false" outlineLevel="0" collapsed="false">
      <c r="A182" s="203" t="n">
        <v>5</v>
      </c>
      <c r="B182" s="243" t="s">
        <v>241</v>
      </c>
      <c r="C182" s="203" t="n">
        <v>44832200</v>
      </c>
      <c r="D182" s="203" t="n">
        <v>41182471</v>
      </c>
      <c r="E182" s="201" t="n">
        <f aca="false">C182/D182*100-100</f>
        <v>8.86233611382863</v>
      </c>
      <c r="F182" s="203" t="n">
        <v>4665283</v>
      </c>
      <c r="G182" s="203" t="n">
        <v>4103129</v>
      </c>
      <c r="H182" s="201" t="n">
        <f aca="false">F182/G182*100-100</f>
        <v>13.7006172606321</v>
      </c>
      <c r="I182" s="203" t="n">
        <v>31504553</v>
      </c>
      <c r="J182" s="203" t="n">
        <v>33758159</v>
      </c>
      <c r="K182" s="201" t="n">
        <f aca="false">I182/J182*100-100</f>
        <v>-6.67573726399002</v>
      </c>
      <c r="L182" s="203" t="n">
        <v>1984610</v>
      </c>
      <c r="M182" s="203" t="n">
        <v>1676345</v>
      </c>
      <c r="N182" s="201" t="n">
        <f aca="false">L182/M182*100-100</f>
        <v>18.389114412606</v>
      </c>
      <c r="O182" s="203"/>
      <c r="P182" s="203" t="n">
        <v>47</v>
      </c>
      <c r="Q182" s="203" t="n">
        <v>513</v>
      </c>
      <c r="R182" s="202"/>
    </row>
    <row r="183" customFormat="false" ht="15" hidden="false" customHeight="false" outlineLevel="0" collapsed="false">
      <c r="A183" s="203" t="n">
        <v>6</v>
      </c>
      <c r="B183" s="243" t="s">
        <v>204</v>
      </c>
      <c r="C183" s="203" t="n">
        <v>4890559</v>
      </c>
      <c r="D183" s="203" t="n">
        <v>4277617</v>
      </c>
      <c r="E183" s="201" t="n">
        <f aca="false">C183/D183*100-100</f>
        <v>14.329052834791</v>
      </c>
      <c r="F183" s="203" t="n">
        <v>358706</v>
      </c>
      <c r="G183" s="203" t="n">
        <v>332515</v>
      </c>
      <c r="H183" s="201" t="n">
        <f aca="false">F183/G183*100-100</f>
        <v>7.87663714418898</v>
      </c>
      <c r="I183" s="203" t="n">
        <v>4291657</v>
      </c>
      <c r="J183" s="203" t="n">
        <v>3801088</v>
      </c>
      <c r="K183" s="201" t="n">
        <f aca="false">I183/J183*100-100</f>
        <v>12.9060153303475</v>
      </c>
      <c r="L183" s="203" t="n">
        <f aca="false">1057450+42962</f>
        <v>1100412</v>
      </c>
      <c r="M183" s="203" t="n">
        <f aca="false">116174+57678</f>
        <v>173852</v>
      </c>
      <c r="N183" s="201" t="n">
        <f aca="false">L183/M183*100-100</f>
        <v>532.95906863309</v>
      </c>
      <c r="O183" s="203" t="n">
        <v>474</v>
      </c>
      <c r="P183" s="203" t="n">
        <v>129</v>
      </c>
      <c r="Q183" s="203" t="n">
        <v>474</v>
      </c>
      <c r="R183" s="202" t="n">
        <f aca="false">O183*P183</f>
        <v>61146</v>
      </c>
    </row>
    <row r="184" customFormat="false" ht="15" hidden="false" customHeight="false" outlineLevel="0" collapsed="false">
      <c r="A184" s="203" t="n">
        <v>7</v>
      </c>
      <c r="B184" s="243" t="s">
        <v>205</v>
      </c>
      <c r="C184" s="203" t="n">
        <v>1935693</v>
      </c>
      <c r="D184" s="203" t="n">
        <v>1306880</v>
      </c>
      <c r="E184" s="201" t="n">
        <f aca="false">C184/D184*100-100</f>
        <v>48.1155882713026</v>
      </c>
      <c r="F184" s="203" t="n">
        <v>227614</v>
      </c>
      <c r="G184" s="203" t="n">
        <v>162266</v>
      </c>
      <c r="H184" s="201" t="n">
        <f aca="false">F184/G184*100-100</f>
        <v>40.2721457360137</v>
      </c>
      <c r="I184" s="203" t="n">
        <v>1652395</v>
      </c>
      <c r="J184" s="203" t="n">
        <v>1272149</v>
      </c>
      <c r="K184" s="201" t="n">
        <f aca="false">I184/J184*100-100</f>
        <v>29.8900521872831</v>
      </c>
      <c r="L184" s="203" t="n">
        <v>80737</v>
      </c>
      <c r="M184" s="203" t="n">
        <v>0</v>
      </c>
      <c r="N184" s="201" t="n">
        <v>0</v>
      </c>
      <c r="O184" s="203" t="n">
        <v>166</v>
      </c>
      <c r="P184" s="203" t="n">
        <v>103</v>
      </c>
      <c r="Q184" s="203" t="n">
        <v>170</v>
      </c>
      <c r="R184" s="202" t="n">
        <f aca="false">O184*P184</f>
        <v>17098</v>
      </c>
    </row>
    <row r="185" customFormat="false" ht="15" hidden="false" customHeight="false" outlineLevel="0" collapsed="false">
      <c r="A185" s="203" t="n">
        <v>8</v>
      </c>
      <c r="B185" s="243" t="s">
        <v>242</v>
      </c>
      <c r="C185" s="203" t="n">
        <v>359507</v>
      </c>
      <c r="D185" s="203" t="n">
        <v>301410</v>
      </c>
      <c r="E185" s="201" t="n">
        <f aca="false">C185/D185*100-100</f>
        <v>19.275073819714</v>
      </c>
      <c r="F185" s="203" t="n">
        <v>33456</v>
      </c>
      <c r="G185" s="203" t="n">
        <v>44590</v>
      </c>
      <c r="H185" s="201" t="n">
        <f aca="false">F185/G185*100-100</f>
        <v>-24.9697241533976</v>
      </c>
      <c r="I185" s="203" t="n">
        <v>536650</v>
      </c>
      <c r="J185" s="203" t="n">
        <v>340061</v>
      </c>
      <c r="K185" s="201" t="n">
        <f aca="false">I185/J185*100-100</f>
        <v>57.809922337463</v>
      </c>
      <c r="L185" s="203" t="n">
        <v>457994</v>
      </c>
      <c r="M185" s="203" t="n">
        <v>283600</v>
      </c>
      <c r="N185" s="201" t="n">
        <f aca="false">L185/M185*100-100</f>
        <v>61.4929478138223</v>
      </c>
      <c r="O185" s="203" t="n">
        <v>32</v>
      </c>
      <c r="P185" s="203" t="n">
        <v>80</v>
      </c>
      <c r="Q185" s="203" t="n">
        <v>32</v>
      </c>
      <c r="R185" s="202"/>
    </row>
    <row r="186" customFormat="false" ht="15" hidden="false" customHeight="false" outlineLevel="0" collapsed="false">
      <c r="A186" s="203" t="n">
        <v>9</v>
      </c>
      <c r="B186" s="243" t="s">
        <v>243</v>
      </c>
      <c r="C186" s="203" t="n">
        <v>1777923</v>
      </c>
      <c r="D186" s="203" t="n">
        <v>1342833</v>
      </c>
      <c r="E186" s="201" t="n">
        <f aca="false">C186/D186*100-100</f>
        <v>32.4009016757854</v>
      </c>
      <c r="F186" s="203" t="n">
        <v>236546</v>
      </c>
      <c r="G186" s="203" t="n">
        <v>187199</v>
      </c>
      <c r="H186" s="201" t="n">
        <f aca="false">F186/G186*100-100</f>
        <v>26.3607177388768</v>
      </c>
      <c r="I186" s="203" t="n">
        <v>1773057</v>
      </c>
      <c r="J186" s="203" t="n">
        <v>1342833</v>
      </c>
      <c r="K186" s="201" t="n">
        <f aca="false">I186/J186*100-100</f>
        <v>32.0385334587398</v>
      </c>
      <c r="L186" s="203" t="n">
        <v>2395</v>
      </c>
      <c r="M186" s="203" t="n">
        <v>20025</v>
      </c>
      <c r="N186" s="201" t="n">
        <f aca="false">L186/M186*100-100</f>
        <v>-88.039950062422</v>
      </c>
      <c r="O186" s="203" t="n">
        <v>155</v>
      </c>
      <c r="P186" s="203" t="n">
        <v>104</v>
      </c>
      <c r="Q186" s="203" t="n">
        <v>155</v>
      </c>
      <c r="R186" s="202"/>
    </row>
    <row r="187" customFormat="false" ht="15" hidden="false" customHeight="false" outlineLevel="0" collapsed="false">
      <c r="A187" s="203"/>
      <c r="B187" s="407" t="s">
        <v>264</v>
      </c>
      <c r="C187" s="219" t="n">
        <v>941530</v>
      </c>
      <c r="D187" s="219" t="n">
        <v>578123</v>
      </c>
      <c r="E187" s="201" t="n">
        <f aca="false">C187/D187*100-100</f>
        <v>62.8598066501419</v>
      </c>
      <c r="F187" s="219" t="n">
        <v>112840</v>
      </c>
      <c r="G187" s="219" t="n">
        <v>55018</v>
      </c>
      <c r="H187" s="201" t="n">
        <f aca="false">F187/G187*100-100</f>
        <v>105.096513868189</v>
      </c>
      <c r="I187" s="219" t="n">
        <v>941530</v>
      </c>
      <c r="J187" s="219" t="n">
        <v>578123</v>
      </c>
      <c r="K187" s="223" t="n">
        <f aca="false">I187/J187*100-100</f>
        <v>62.8598066501419</v>
      </c>
      <c r="L187" s="219" t="n">
        <v>946903</v>
      </c>
      <c r="M187" s="219" t="n">
        <v>391190</v>
      </c>
      <c r="N187" s="201" t="n">
        <f aca="false">L187/M187*100-100</f>
        <v>142.057056673228</v>
      </c>
      <c r="O187" s="411"/>
      <c r="P187" s="411"/>
      <c r="Q187" s="411"/>
      <c r="R187" s="202"/>
    </row>
    <row r="188" customFormat="false" ht="15" hidden="false" customHeight="false" outlineLevel="0" collapsed="false">
      <c r="A188" s="203" t="n">
        <v>10</v>
      </c>
      <c r="B188" s="243" t="s">
        <v>258</v>
      </c>
      <c r="C188" s="203" t="n">
        <v>318711</v>
      </c>
      <c r="D188" s="203" t="n">
        <v>455093</v>
      </c>
      <c r="E188" s="201" t="n">
        <f aca="false">C188/D188*100-100</f>
        <v>-29.9679406187307</v>
      </c>
      <c r="F188" s="203" t="n">
        <v>42958</v>
      </c>
      <c r="G188" s="203" t="n">
        <v>49188</v>
      </c>
      <c r="H188" s="201" t="n">
        <f aca="false">F188/G188*100-100</f>
        <v>-12.6656908188989</v>
      </c>
      <c r="I188" s="203" t="n">
        <v>313004</v>
      </c>
      <c r="J188" s="203" t="n">
        <v>451322</v>
      </c>
      <c r="K188" s="201" t="n">
        <f aca="false">I188/J188*100-100</f>
        <v>-30.6472983812001</v>
      </c>
      <c r="L188" s="203" t="n">
        <v>0</v>
      </c>
      <c r="M188" s="203" t="n">
        <v>37206</v>
      </c>
      <c r="N188" s="201" t="n">
        <f aca="false">L188/M188*100-100</f>
        <v>-100</v>
      </c>
      <c r="O188" s="203" t="n">
        <v>99</v>
      </c>
      <c r="P188" s="203" t="n">
        <v>88</v>
      </c>
      <c r="Q188" s="203" t="n">
        <v>98</v>
      </c>
      <c r="R188" s="202"/>
    </row>
    <row r="189" customFormat="false" ht="15" hidden="false" customHeight="false" outlineLevel="0" collapsed="false">
      <c r="A189" s="203" t="n">
        <v>11</v>
      </c>
      <c r="B189" s="243" t="s">
        <v>157</v>
      </c>
      <c r="C189" s="203" t="n">
        <v>2836192</v>
      </c>
      <c r="D189" s="203" t="n">
        <v>2300167</v>
      </c>
      <c r="E189" s="201" t="n">
        <f aca="false">C189/D189*100-100</f>
        <v>23.3037427282454</v>
      </c>
      <c r="F189" s="203" t="n">
        <v>102937</v>
      </c>
      <c r="G189" s="203" t="n">
        <v>354972</v>
      </c>
      <c r="H189" s="201" t="n">
        <f aca="false">F189/G189*100-100</f>
        <v>-71.0013747563188</v>
      </c>
      <c r="I189" s="203" t="n">
        <v>2215347</v>
      </c>
      <c r="J189" s="203" t="n">
        <v>2094507</v>
      </c>
      <c r="K189" s="201" t="n">
        <f aca="false">I189/J189*100-100</f>
        <v>5.7693767554847</v>
      </c>
      <c r="L189" s="203" t="n">
        <v>0</v>
      </c>
      <c r="M189" s="203" t="n">
        <v>0</v>
      </c>
      <c r="N189" s="201" t="n">
        <v>0</v>
      </c>
      <c r="O189" s="203" t="n">
        <v>446</v>
      </c>
      <c r="P189" s="203" t="n">
        <v>100</v>
      </c>
      <c r="Q189" s="203" t="n">
        <v>446</v>
      </c>
      <c r="R189" s="202" t="n">
        <f aca="false">O189*P189</f>
        <v>44600</v>
      </c>
    </row>
    <row r="190" customFormat="false" ht="15" hidden="false" customHeight="false" outlineLevel="0" collapsed="false">
      <c r="A190" s="215" t="s">
        <v>206</v>
      </c>
      <c r="B190" s="215" t="s">
        <v>119</v>
      </c>
      <c r="C190" s="216" t="n">
        <f aca="false">SUM(C178:C189)</f>
        <v>62441618</v>
      </c>
      <c r="D190" s="216" t="n">
        <f aca="false">SUM(D178:D189)</f>
        <v>55669088</v>
      </c>
      <c r="E190" s="313" t="n">
        <f aca="false">C190/D190*100-100</f>
        <v>12.1656923856917</v>
      </c>
      <c r="F190" s="216" t="n">
        <f aca="false">SUM(F178:F189)</f>
        <v>6252359</v>
      </c>
      <c r="G190" s="216" t="n">
        <f aca="false">SUM(G178:G189)</f>
        <v>5783935</v>
      </c>
      <c r="H190" s="313" t="n">
        <f aca="false">F190/G190*100-100</f>
        <v>8.09870788658587</v>
      </c>
      <c r="I190" s="216" t="n">
        <f aca="false">SUM(I178:I189)</f>
        <v>48041189</v>
      </c>
      <c r="J190" s="216" t="n">
        <f aca="false">SUM(J178:J189)</f>
        <v>48169783</v>
      </c>
      <c r="K190" s="313" t="n">
        <f aca="false">I190/J190*100-100</f>
        <v>-0.266959890601953</v>
      </c>
      <c r="L190" s="216" t="n">
        <f aca="false">SUM(L178:L189)</f>
        <v>6776798</v>
      </c>
      <c r="M190" s="216" t="n">
        <f aca="false">SUM(M178:M189)</f>
        <v>4617917</v>
      </c>
      <c r="N190" s="313" t="n">
        <f aca="false">L190/M190*100-100</f>
        <v>46.7501039971052</v>
      </c>
      <c r="O190" s="216" t="n">
        <f aca="false">SUM(O173:O189)</f>
        <v>3778</v>
      </c>
      <c r="P190" s="237" t="n">
        <f aca="false">R190/O190</f>
        <v>59.7374272101641</v>
      </c>
      <c r="Q190" s="216" t="n">
        <f aca="false">SUM(Q173:Q189)</f>
        <v>4219</v>
      </c>
      <c r="R190" s="232" t="n">
        <f aca="false">SUM(R173:R189)</f>
        <v>225688</v>
      </c>
    </row>
    <row r="191" customFormat="false" ht="15" hidden="false" customHeight="false" outlineLevel="0" collapsed="false">
      <c r="A191" s="325"/>
      <c r="B191" s="325" t="s">
        <v>158</v>
      </c>
      <c r="C191" s="326" t="n">
        <f aca="false">C175+C190</f>
        <v>114373703</v>
      </c>
      <c r="D191" s="326" t="n">
        <f aca="false">D175+D190</f>
        <v>95786870</v>
      </c>
      <c r="E191" s="310" t="n">
        <f aca="false">C191/D191*100-100</f>
        <v>19.4043640845556</v>
      </c>
      <c r="F191" s="326" t="n">
        <f aca="false">F175+F190</f>
        <v>12746102</v>
      </c>
      <c r="G191" s="326" t="n">
        <f aca="false">G175+G190</f>
        <v>10453945</v>
      </c>
      <c r="H191" s="310" t="n">
        <f aca="false">F191/G191*100-100</f>
        <v>21.9262393287893</v>
      </c>
      <c r="I191" s="326" t="n">
        <f aca="false">I175+I190</f>
        <v>100045013</v>
      </c>
      <c r="J191" s="326" t="n">
        <f aca="false">J175+J190</f>
        <v>82384300</v>
      </c>
      <c r="K191" s="310" t="n">
        <f aca="false">I191/J191*100-100</f>
        <v>21.4369886009834</v>
      </c>
      <c r="L191" s="326" t="n">
        <f aca="false">L175+L190</f>
        <v>47112953</v>
      </c>
      <c r="M191" s="326" t="n">
        <f aca="false">M175+M190</f>
        <v>36998584</v>
      </c>
      <c r="N191" s="310" t="n">
        <f aca="false">L191/M191*100-100</f>
        <v>27.3371786336472</v>
      </c>
      <c r="O191" s="326" t="n">
        <f aca="false">O175+O190</f>
        <v>5433</v>
      </c>
      <c r="P191" s="321" t="n">
        <f aca="false">R191/O191</f>
        <v>54.8746548868029</v>
      </c>
      <c r="Q191" s="326" t="n">
        <f aca="false">Q175+Q190</f>
        <v>5781</v>
      </c>
      <c r="R191" s="326" t="n">
        <f aca="false">R175+R190</f>
        <v>298134</v>
      </c>
    </row>
    <row r="192" customFormat="false" ht="15" hidden="false" customHeight="false" outlineLevel="0" collapsed="false">
      <c r="A192" s="274"/>
      <c r="B192" s="256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9"/>
    </row>
    <row r="193" customFormat="false" ht="15" hidden="false" customHeight="false" outlineLevel="0" collapsed="false">
      <c r="A193" s="327"/>
      <c r="B193" s="328" t="s">
        <v>207</v>
      </c>
      <c r="C193" s="275"/>
      <c r="D193" s="275"/>
      <c r="E193" s="275"/>
      <c r="F193" s="275"/>
      <c r="G193" s="275"/>
      <c r="H193" s="275"/>
      <c r="I193" s="275"/>
      <c r="J193" s="275"/>
      <c r="K193" s="275"/>
      <c r="L193" s="275"/>
      <c r="M193" s="329"/>
      <c r="N193" s="329"/>
      <c r="O193" s="329"/>
      <c r="P193" s="275"/>
      <c r="Q193" s="329"/>
      <c r="R193" s="279"/>
    </row>
    <row r="194" customFormat="false" ht="15" hidden="false" customHeight="false" outlineLevel="0" collapsed="false">
      <c r="A194" s="195" t="s">
        <v>208</v>
      </c>
      <c r="B194" s="195"/>
      <c r="C194" s="195" t="n">
        <v>3</v>
      </c>
      <c r="D194" s="195" t="n">
        <v>4</v>
      </c>
      <c r="E194" s="196" t="n">
        <v>5</v>
      </c>
      <c r="F194" s="195" t="n">
        <v>6</v>
      </c>
      <c r="G194" s="195" t="n">
        <v>7</v>
      </c>
      <c r="H194" s="195" t="n">
        <v>8</v>
      </c>
      <c r="I194" s="195" t="n">
        <v>9</v>
      </c>
      <c r="J194" s="195" t="n">
        <v>10</v>
      </c>
      <c r="K194" s="195" t="n">
        <v>11</v>
      </c>
      <c r="L194" s="195" t="n">
        <v>12</v>
      </c>
      <c r="M194" s="184" t="n">
        <v>13</v>
      </c>
      <c r="N194" s="184" t="n">
        <v>14</v>
      </c>
      <c r="O194" s="184" t="n">
        <v>15</v>
      </c>
      <c r="P194" s="196" t="n">
        <v>16</v>
      </c>
      <c r="Q194" s="184" t="n">
        <v>17</v>
      </c>
      <c r="R194" s="179"/>
    </row>
    <row r="195" customFormat="false" ht="15" hidden="false" customHeight="false" outlineLevel="0" collapsed="false">
      <c r="A195" s="372" t="n">
        <v>1</v>
      </c>
      <c r="B195" s="282" t="s">
        <v>161</v>
      </c>
      <c r="C195" s="262" t="n">
        <v>162403</v>
      </c>
      <c r="D195" s="262" t="n">
        <v>53703</v>
      </c>
      <c r="E195" s="201" t="n">
        <f aca="false">C195/D195*100-100</f>
        <v>202.409548814778</v>
      </c>
      <c r="F195" s="262" t="n">
        <v>1145601</v>
      </c>
      <c r="G195" s="262" t="n">
        <v>1049651</v>
      </c>
      <c r="H195" s="201" t="n">
        <f aca="false">F195/G195*100-100</f>
        <v>9.14113357677933</v>
      </c>
      <c r="I195" s="262" t="n">
        <v>1315781</v>
      </c>
      <c r="J195" s="262" t="n">
        <v>1049651</v>
      </c>
      <c r="K195" s="201" t="n">
        <f aca="false">I195/J195*100-100</f>
        <v>25.3541415194193</v>
      </c>
      <c r="L195" s="262" t="n">
        <f aca="false">945663+370118</f>
        <v>1315781</v>
      </c>
      <c r="M195" s="262" t="n">
        <f aca="false">549041+500610</f>
        <v>1049651</v>
      </c>
      <c r="N195" s="201" t="n">
        <f aca="false">L195/M195*100-100</f>
        <v>25.3541415194193</v>
      </c>
      <c r="O195" s="262" t="n">
        <v>137</v>
      </c>
      <c r="P195" s="262" t="n">
        <v>155</v>
      </c>
      <c r="Q195" s="262" t="n">
        <v>137</v>
      </c>
      <c r="R195" s="202" t="n">
        <f aca="false">O195*P195</f>
        <v>21235</v>
      </c>
    </row>
    <row r="196" customFormat="false" ht="15" hidden="false" customHeight="false" outlineLevel="0" collapsed="false">
      <c r="A196" s="372" t="n">
        <v>2</v>
      </c>
      <c r="B196" s="282" t="s">
        <v>162</v>
      </c>
      <c r="C196" s="200" t="n">
        <v>0</v>
      </c>
      <c r="D196" s="200" t="n">
        <v>0</v>
      </c>
      <c r="E196" s="201" t="n">
        <v>0</v>
      </c>
      <c r="F196" s="200" t="n">
        <v>0</v>
      </c>
      <c r="G196" s="200" t="n">
        <v>0</v>
      </c>
      <c r="H196" s="201" t="n">
        <v>0</v>
      </c>
      <c r="I196" s="200" t="n">
        <v>0</v>
      </c>
      <c r="J196" s="200" t="n">
        <v>0</v>
      </c>
      <c r="K196" s="201" t="n">
        <v>0</v>
      </c>
      <c r="L196" s="200" t="n">
        <v>0</v>
      </c>
      <c r="M196" s="200" t="n">
        <v>0</v>
      </c>
      <c r="N196" s="201" t="n">
        <v>0</v>
      </c>
      <c r="O196" s="203" t="n">
        <v>0</v>
      </c>
      <c r="P196" s="204" t="n">
        <v>0</v>
      </c>
      <c r="Q196" s="203" t="n">
        <v>0</v>
      </c>
      <c r="R196" s="202" t="n">
        <f aca="false">O196*P196</f>
        <v>0</v>
      </c>
    </row>
    <row r="197" customFormat="false" ht="15" hidden="false" customHeight="false" outlineLevel="0" collapsed="false">
      <c r="A197" s="372" t="n">
        <v>3</v>
      </c>
      <c r="B197" s="282" t="s">
        <v>163</v>
      </c>
      <c r="C197" s="262" t="n">
        <v>5900904</v>
      </c>
      <c r="D197" s="262" t="n">
        <v>4651497</v>
      </c>
      <c r="E197" s="262" t="n">
        <f aca="false">C197/D197*100-100</f>
        <v>26.8603204516739</v>
      </c>
      <c r="F197" s="262" t="n">
        <v>641189</v>
      </c>
      <c r="G197" s="262" t="n">
        <v>374165</v>
      </c>
      <c r="H197" s="262" t="n">
        <f aca="false">F197/G197*100-100</f>
        <v>71.365306749696</v>
      </c>
      <c r="I197" s="262" t="n">
        <v>5900904</v>
      </c>
      <c r="J197" s="262" t="n">
        <v>4651497</v>
      </c>
      <c r="K197" s="262" t="n">
        <f aca="false">I197/J197*100-100</f>
        <v>26.8603204516739</v>
      </c>
      <c r="L197" s="262" t="n">
        <v>641189</v>
      </c>
      <c r="M197" s="262" t="n">
        <v>374165</v>
      </c>
      <c r="N197" s="201" t="n">
        <f aca="false">L197/M197*100-100</f>
        <v>71.365306749696</v>
      </c>
      <c r="O197" s="262" t="n">
        <v>113</v>
      </c>
      <c r="P197" s="286" t="n">
        <v>214</v>
      </c>
      <c r="Q197" s="262" t="n">
        <v>112</v>
      </c>
      <c r="R197" s="202" t="n">
        <f aca="false">O197*P197</f>
        <v>24182</v>
      </c>
    </row>
    <row r="198" customFormat="false" ht="15" hidden="false" customHeight="false" outlineLevel="0" collapsed="false">
      <c r="A198" s="372" t="n">
        <v>4</v>
      </c>
      <c r="B198" s="282" t="s">
        <v>164</v>
      </c>
      <c r="C198" s="262" t="n">
        <v>813213</v>
      </c>
      <c r="D198" s="262" t="n">
        <v>727368</v>
      </c>
      <c r="E198" s="201" t="n">
        <f aca="false">C198/D198*100-100</f>
        <v>11.802141419474</v>
      </c>
      <c r="F198" s="405" t="n">
        <v>70555</v>
      </c>
      <c r="G198" s="405" t="n">
        <v>22877</v>
      </c>
      <c r="H198" s="201" t="n">
        <f aca="false">F198/G198*100-100</f>
        <v>208.410193644272</v>
      </c>
      <c r="I198" s="262" t="n">
        <v>822845</v>
      </c>
      <c r="J198" s="262" t="n">
        <v>942759</v>
      </c>
      <c r="K198" s="201" t="n">
        <f aca="false">I198/J198*100-100</f>
        <v>-12.7194754969192</v>
      </c>
      <c r="L198" s="262" t="n">
        <v>860877</v>
      </c>
      <c r="M198" s="262" t="n">
        <v>949843</v>
      </c>
      <c r="N198" s="201" t="n">
        <f aca="false">L198/M198*100-100</f>
        <v>-9.36639002445668</v>
      </c>
      <c r="O198" s="262" t="n">
        <v>39</v>
      </c>
      <c r="P198" s="262" t="n">
        <v>75</v>
      </c>
      <c r="Q198" s="262" t="n">
        <v>35</v>
      </c>
      <c r="R198" s="202" t="n">
        <f aca="false">O198*P198</f>
        <v>2925</v>
      </c>
    </row>
    <row r="199" customFormat="false" ht="15" hidden="false" customHeight="false" outlineLevel="0" collapsed="false">
      <c r="A199" s="372" t="n">
        <v>5</v>
      </c>
      <c r="B199" s="282" t="s">
        <v>166</v>
      </c>
      <c r="C199" s="262" t="n">
        <v>3218291</v>
      </c>
      <c r="D199" s="262" t="n">
        <v>2626260</v>
      </c>
      <c r="E199" s="201" t="n">
        <f aca="false">C199/D199*100-100</f>
        <v>22.5427413888952</v>
      </c>
      <c r="F199" s="262" t="n">
        <v>361562</v>
      </c>
      <c r="G199" s="262" t="n">
        <v>453053</v>
      </c>
      <c r="H199" s="201" t="n">
        <f aca="false">F199/G199*100-100</f>
        <v>-20.1943260501531</v>
      </c>
      <c r="I199" s="262" t="n">
        <v>3199210</v>
      </c>
      <c r="J199" s="262" t="n">
        <v>2643181</v>
      </c>
      <c r="K199" s="201" t="n">
        <f aca="false">I199/J199*100-100</f>
        <v>21.0363573285371</v>
      </c>
      <c r="L199" s="262" t="n">
        <v>3196656</v>
      </c>
      <c r="M199" s="262" t="n">
        <v>2626733</v>
      </c>
      <c r="N199" s="201" t="n">
        <f aca="false">L199/M199*100-100</f>
        <v>21.6970282095668</v>
      </c>
      <c r="O199" s="262" t="n">
        <v>46</v>
      </c>
      <c r="P199" s="262" t="n">
        <v>124</v>
      </c>
      <c r="Q199" s="262" t="n">
        <v>45</v>
      </c>
      <c r="R199" s="202" t="n">
        <f aca="false">O199*P199</f>
        <v>5704</v>
      </c>
    </row>
    <row r="200" customFormat="false" ht="15" hidden="false" customHeight="false" outlineLevel="0" collapsed="false">
      <c r="A200" s="372" t="n">
        <v>6</v>
      </c>
      <c r="B200" s="282" t="s">
        <v>167</v>
      </c>
      <c r="C200" s="262" t="n">
        <v>0</v>
      </c>
      <c r="D200" s="262" t="n">
        <v>754767</v>
      </c>
      <c r="E200" s="262" t="n">
        <f aca="false">C200/D200*100-100</f>
        <v>-100</v>
      </c>
      <c r="F200" s="262" t="n">
        <v>0</v>
      </c>
      <c r="G200" s="262" t="n">
        <v>25413</v>
      </c>
      <c r="H200" s="262" t="n">
        <f aca="false">F200/G200*100-100</f>
        <v>-100</v>
      </c>
      <c r="I200" s="262" t="n">
        <v>0</v>
      </c>
      <c r="J200" s="262" t="n">
        <v>754767</v>
      </c>
      <c r="K200" s="262" t="n">
        <f aca="false">I200/J200*100-100</f>
        <v>-100</v>
      </c>
      <c r="L200" s="262" t="n">
        <v>0</v>
      </c>
      <c r="M200" s="262" t="n">
        <f aca="false">25413+25413</f>
        <v>50826</v>
      </c>
      <c r="N200" s="262" t="n">
        <f aca="false">L200/M200*100-100</f>
        <v>-100</v>
      </c>
      <c r="O200" s="262" t="n">
        <v>3</v>
      </c>
      <c r="P200" s="262" t="n">
        <v>143</v>
      </c>
      <c r="Q200" s="262" t="n">
        <v>3</v>
      </c>
      <c r="R200" s="202" t="n">
        <f aca="false">O200*P200</f>
        <v>429</v>
      </c>
    </row>
    <row r="201" customFormat="false" ht="15" hidden="false" customHeight="false" outlineLevel="0" collapsed="false">
      <c r="A201" s="372" t="n">
        <v>7</v>
      </c>
      <c r="B201" s="282" t="s">
        <v>168</v>
      </c>
      <c r="C201" s="262" t="n">
        <v>0</v>
      </c>
      <c r="D201" s="236" t="n">
        <v>0</v>
      </c>
      <c r="E201" s="201" t="n">
        <v>0</v>
      </c>
      <c r="F201" s="262" t="n">
        <v>0</v>
      </c>
      <c r="G201" s="236" t="n">
        <v>0</v>
      </c>
      <c r="H201" s="201" t="n">
        <v>0</v>
      </c>
      <c r="I201" s="262" t="n">
        <v>0</v>
      </c>
      <c r="J201" s="236" t="n">
        <v>0</v>
      </c>
      <c r="K201" s="201" t="n">
        <v>0</v>
      </c>
      <c r="L201" s="262" t="n">
        <v>0</v>
      </c>
      <c r="M201" s="236" t="n">
        <v>0</v>
      </c>
      <c r="N201" s="201" t="n">
        <v>0</v>
      </c>
      <c r="O201" s="262" t="n">
        <v>0</v>
      </c>
      <c r="P201" s="262" t="n">
        <v>0</v>
      </c>
      <c r="Q201" s="262" t="n">
        <v>0</v>
      </c>
      <c r="R201" s="202" t="n">
        <f aca="false">O201*P201</f>
        <v>0</v>
      </c>
    </row>
    <row r="202" customFormat="false" ht="15" hidden="false" customHeight="false" outlineLevel="0" collapsed="false">
      <c r="A202" s="215" t="s">
        <v>209</v>
      </c>
      <c r="B202" s="215" t="s">
        <v>154</v>
      </c>
      <c r="C202" s="237" t="n">
        <f aca="false">SUM(C195:C201)</f>
        <v>10094811</v>
      </c>
      <c r="D202" s="237" t="n">
        <f aca="false">SUM(D195:D201)</f>
        <v>8813595</v>
      </c>
      <c r="E202" s="313" t="n">
        <f aca="false">C202/D202*100-100</f>
        <v>14.5368150000085</v>
      </c>
      <c r="F202" s="237" t="n">
        <f aca="false">SUM(F195:F201)</f>
        <v>2218907</v>
      </c>
      <c r="G202" s="237" t="n">
        <f aca="false">SUM(G195:G201)</f>
        <v>1925159</v>
      </c>
      <c r="H202" s="313" t="n">
        <f aca="false">F202/G202*100-100</f>
        <v>15.2583760614058</v>
      </c>
      <c r="I202" s="237" t="n">
        <f aca="false">SUM(I195:I201)</f>
        <v>11238740</v>
      </c>
      <c r="J202" s="237" t="n">
        <f aca="false">SUM(J195:J201)</f>
        <v>10041855</v>
      </c>
      <c r="K202" s="313" t="n">
        <f aca="false">I202/J202*100-100</f>
        <v>11.9189631796117</v>
      </c>
      <c r="L202" s="237" t="n">
        <f aca="false">SUM(L195:L201)</f>
        <v>6014503</v>
      </c>
      <c r="M202" s="216" t="n">
        <f aca="false">SUM(M195:M201)</f>
        <v>5051218</v>
      </c>
      <c r="N202" s="313" t="n">
        <f aca="false">L202/M202*100-100</f>
        <v>19.0703509529781</v>
      </c>
      <c r="O202" s="237" t="n">
        <f aca="false">SUM(O195:O201)</f>
        <v>338</v>
      </c>
      <c r="P202" s="217" t="n">
        <f aca="false">R202/O202</f>
        <v>161.168639053254</v>
      </c>
      <c r="Q202" s="237" t="n">
        <f aca="false">SUM(Q195:Q201)</f>
        <v>332</v>
      </c>
      <c r="R202" s="232" t="n">
        <f aca="false">SUM(R195:R201)</f>
        <v>54475</v>
      </c>
    </row>
    <row r="203" customFormat="false" ht="15" hidden="false" customHeight="false" outlineLevel="0" collapsed="false">
      <c r="A203" s="330"/>
      <c r="B203" s="282"/>
      <c r="C203" s="262"/>
      <c r="D203" s="236"/>
      <c r="E203" s="201"/>
      <c r="F203" s="262"/>
      <c r="G203" s="236"/>
      <c r="H203" s="201"/>
      <c r="I203" s="262"/>
      <c r="J203" s="236"/>
      <c r="K203" s="201"/>
      <c r="L203" s="262"/>
      <c r="M203" s="236"/>
      <c r="N203" s="201"/>
      <c r="O203" s="262"/>
      <c r="P203" s="262"/>
      <c r="Q203" s="262"/>
      <c r="R203" s="202"/>
    </row>
    <row r="204" customFormat="false" ht="15" hidden="false" customHeight="false" outlineLevel="0" collapsed="false">
      <c r="A204" s="274"/>
      <c r="B204" s="331" t="s">
        <v>210</v>
      </c>
      <c r="C204" s="262"/>
      <c r="D204" s="262"/>
      <c r="E204" s="201"/>
      <c r="F204" s="262"/>
      <c r="G204" s="262"/>
      <c r="H204" s="201"/>
      <c r="I204" s="262"/>
      <c r="J204" s="262"/>
      <c r="K204" s="201"/>
      <c r="L204" s="262"/>
      <c r="M204" s="262"/>
      <c r="N204" s="201"/>
      <c r="O204" s="262"/>
      <c r="P204" s="262"/>
      <c r="Q204" s="262"/>
      <c r="R204" s="202"/>
    </row>
    <row r="205" customFormat="false" ht="15" hidden="false" customHeight="false" outlineLevel="0" collapsed="false">
      <c r="A205" s="274" t="n">
        <v>1</v>
      </c>
      <c r="B205" s="373" t="s">
        <v>244</v>
      </c>
      <c r="C205" s="262" t="n">
        <v>1899327</v>
      </c>
      <c r="D205" s="262" t="n">
        <v>2321972</v>
      </c>
      <c r="E205" s="201" t="n">
        <f aca="false">C205/D205*100-100</f>
        <v>-18.201985209124</v>
      </c>
      <c r="F205" s="262" t="n">
        <v>228486</v>
      </c>
      <c r="G205" s="262" t="n">
        <v>210015</v>
      </c>
      <c r="H205" s="201" t="n">
        <f aca="false">F205/G205*100-100</f>
        <v>8.79508606528106</v>
      </c>
      <c r="I205" s="262" t="n">
        <v>1615528</v>
      </c>
      <c r="J205" s="262" t="n">
        <v>1554268</v>
      </c>
      <c r="K205" s="201" t="n">
        <f aca="false">I205/J205*100-100</f>
        <v>3.94140521454473</v>
      </c>
      <c r="L205" s="262" t="n">
        <f aca="false">533403+733194</f>
        <v>1266597</v>
      </c>
      <c r="M205" s="262" t="n">
        <f aca="false">225215+969484</f>
        <v>1194699</v>
      </c>
      <c r="N205" s="262" t="n">
        <f aca="false">L205/M205*100-100</f>
        <v>6.01808489000157</v>
      </c>
      <c r="O205" s="262" t="n">
        <v>245</v>
      </c>
      <c r="P205" s="262"/>
      <c r="Q205" s="262" t="n">
        <v>147</v>
      </c>
      <c r="R205" s="202"/>
    </row>
    <row r="206" customFormat="false" ht="15" hidden="false" customHeight="false" outlineLevel="0" collapsed="false">
      <c r="A206" s="274" t="n">
        <v>2</v>
      </c>
      <c r="B206" s="282" t="s">
        <v>160</v>
      </c>
      <c r="C206" s="262" t="n">
        <v>2867</v>
      </c>
      <c r="D206" s="262" t="n">
        <v>703</v>
      </c>
      <c r="E206" s="201" t="n">
        <v>0</v>
      </c>
      <c r="F206" s="262" t="n">
        <v>430</v>
      </c>
      <c r="G206" s="262" t="n">
        <v>229</v>
      </c>
      <c r="H206" s="201" t="n">
        <v>0</v>
      </c>
      <c r="I206" s="262" t="n">
        <v>51981</v>
      </c>
      <c r="J206" s="262" t="n">
        <v>40661</v>
      </c>
      <c r="K206" s="201" t="n">
        <f aca="false">I206/J206*100-100</f>
        <v>27.8399449103564</v>
      </c>
      <c r="L206" s="262" t="n">
        <v>0</v>
      </c>
      <c r="M206" s="262" t="n">
        <v>0</v>
      </c>
      <c r="N206" s="201" t="n">
        <v>0</v>
      </c>
      <c r="O206" s="262" t="n">
        <v>80</v>
      </c>
      <c r="P206" s="262" t="n">
        <v>124</v>
      </c>
      <c r="Q206" s="262" t="n">
        <v>74</v>
      </c>
      <c r="R206" s="202" t="n">
        <f aca="false">O206*P206</f>
        <v>9920</v>
      </c>
    </row>
    <row r="207" customFormat="false" ht="15" hidden="false" customHeight="false" outlineLevel="0" collapsed="false">
      <c r="A207" s="284" t="n">
        <v>3</v>
      </c>
      <c r="B207" s="282" t="s">
        <v>245</v>
      </c>
      <c r="C207" s="200" t="n">
        <v>0</v>
      </c>
      <c r="D207" s="200" t="n">
        <v>0</v>
      </c>
      <c r="E207" s="201" t="n">
        <v>0</v>
      </c>
      <c r="F207" s="200" t="n">
        <v>0</v>
      </c>
      <c r="G207" s="200" t="n">
        <v>0</v>
      </c>
      <c r="H207" s="201" t="n">
        <v>0</v>
      </c>
      <c r="I207" s="200" t="n">
        <v>0</v>
      </c>
      <c r="J207" s="200" t="n">
        <v>0</v>
      </c>
      <c r="K207" s="201" t="n">
        <v>0</v>
      </c>
      <c r="L207" s="200" t="n">
        <v>0</v>
      </c>
      <c r="M207" s="200" t="n">
        <v>0</v>
      </c>
      <c r="N207" s="201" t="n">
        <v>0</v>
      </c>
      <c r="O207" s="203" t="n">
        <v>0</v>
      </c>
      <c r="P207" s="204" t="n">
        <v>0</v>
      </c>
      <c r="Q207" s="203" t="n">
        <v>0</v>
      </c>
      <c r="R207" s="202" t="n">
        <f aca="false">O207*P207</f>
        <v>0</v>
      </c>
    </row>
    <row r="208" customFormat="false" ht="15" hidden="false" customHeight="false" outlineLevel="0" collapsed="false">
      <c r="A208" s="284" t="n">
        <v>4</v>
      </c>
      <c r="B208" s="282" t="s">
        <v>169</v>
      </c>
      <c r="C208" s="262" t="n">
        <v>1001588</v>
      </c>
      <c r="D208" s="262" t="n">
        <v>482389</v>
      </c>
      <c r="E208" s="223" t="n">
        <f aca="false">C208/D208*100-100</f>
        <v>107.630771016752</v>
      </c>
      <c r="F208" s="262" t="n">
        <v>314646</v>
      </c>
      <c r="G208" s="262" t="n">
        <v>116592</v>
      </c>
      <c r="H208" s="223" t="n">
        <v>0</v>
      </c>
      <c r="I208" s="262" t="n">
        <v>1001588</v>
      </c>
      <c r="J208" s="262" t="n">
        <v>482389</v>
      </c>
      <c r="K208" s="201" t="n">
        <f aca="false">I208/J208*100-100</f>
        <v>107.630771016752</v>
      </c>
      <c r="L208" s="262" t="n">
        <v>0</v>
      </c>
      <c r="M208" s="262" t="n">
        <v>0</v>
      </c>
      <c r="N208" s="262" t="n">
        <v>0</v>
      </c>
      <c r="O208" s="262" t="n">
        <v>30</v>
      </c>
      <c r="P208" s="262" t="n">
        <v>50</v>
      </c>
      <c r="Q208" s="262" t="n">
        <v>30</v>
      </c>
      <c r="R208" s="202" t="n">
        <f aca="false">O208*P208</f>
        <v>1500</v>
      </c>
    </row>
    <row r="209" customFormat="false" ht="15" hidden="false" customHeight="false" outlineLevel="0" collapsed="false">
      <c r="A209" s="215" t="s">
        <v>170</v>
      </c>
      <c r="B209" s="215" t="s">
        <v>154</v>
      </c>
      <c r="C209" s="237" t="n">
        <f aca="false">SUM(C204:C208)</f>
        <v>2903782</v>
      </c>
      <c r="D209" s="237" t="n">
        <f aca="false">SUM(D204:D208)</f>
        <v>2805064</v>
      </c>
      <c r="E209" s="313" t="n">
        <f aca="false">C209/D209*100-100</f>
        <v>3.51927799151819</v>
      </c>
      <c r="F209" s="237" t="n">
        <f aca="false">SUM(F204:F208)</f>
        <v>543562</v>
      </c>
      <c r="G209" s="237" t="n">
        <f aca="false">SUM(G204:G208)</f>
        <v>326836</v>
      </c>
      <c r="H209" s="313" t="n">
        <v>0</v>
      </c>
      <c r="I209" s="237" t="n">
        <f aca="false">SUM(I204:I208)</f>
        <v>2669097</v>
      </c>
      <c r="J209" s="237" t="n">
        <f aca="false">SUM(J204:J208)</f>
        <v>2077318</v>
      </c>
      <c r="K209" s="313" t="n">
        <f aca="false">I209/J209*100-100</f>
        <v>28.4876460898139</v>
      </c>
      <c r="L209" s="237" t="n">
        <f aca="false">SUM(L204:L208)</f>
        <v>1266597</v>
      </c>
      <c r="M209" s="216" t="n">
        <f aca="false">SUM(M204:M208)</f>
        <v>1194699</v>
      </c>
      <c r="N209" s="313" t="n">
        <f aca="false">L209/M209*100-100</f>
        <v>6.01808489000157</v>
      </c>
      <c r="O209" s="237" t="n">
        <f aca="false">SUM(O204:O208)</f>
        <v>355</v>
      </c>
      <c r="P209" s="217" t="n">
        <f aca="false">R209/O209</f>
        <v>32.169014084507</v>
      </c>
      <c r="Q209" s="237" t="n">
        <f aca="false">SUM(Q204:Q208)</f>
        <v>251</v>
      </c>
      <c r="R209" s="232" t="n">
        <f aca="false">SUM(R204:R208)</f>
        <v>11420</v>
      </c>
    </row>
    <row r="210" customFormat="false" ht="15" hidden="false" customHeight="false" outlineLevel="0" collapsed="false">
      <c r="A210" s="325"/>
      <c r="B210" s="325" t="s">
        <v>211</v>
      </c>
      <c r="C210" s="320" t="n">
        <f aca="false">C202+C209</f>
        <v>12998593</v>
      </c>
      <c r="D210" s="320" t="n">
        <f aca="false">D202+D209</f>
        <v>11618659</v>
      </c>
      <c r="E210" s="310" t="n">
        <f aca="false">C210/D210*100-100</f>
        <v>11.8768783901825</v>
      </c>
      <c r="F210" s="320" t="n">
        <f aca="false">F202+F209</f>
        <v>2762469</v>
      </c>
      <c r="G210" s="320" t="n">
        <f aca="false">G202+G209</f>
        <v>2251995</v>
      </c>
      <c r="H210" s="310" t="n">
        <f aca="false">F210/G210*100-100</f>
        <v>22.6676346972351</v>
      </c>
      <c r="I210" s="320" t="n">
        <f aca="false">I202+I209</f>
        <v>13907837</v>
      </c>
      <c r="J210" s="320" t="n">
        <f aca="false">J202+J209</f>
        <v>12119173</v>
      </c>
      <c r="K210" s="310" t="n">
        <f aca="false">I210/J210*100-100</f>
        <v>14.7589608630886</v>
      </c>
      <c r="L210" s="320" t="n">
        <f aca="false">L202+L209</f>
        <v>7281100</v>
      </c>
      <c r="M210" s="320" t="n">
        <f aca="false">M202+M209</f>
        <v>6245917</v>
      </c>
      <c r="N210" s="310" t="n">
        <f aca="false">L210/M210*100-100</f>
        <v>16.5737553028642</v>
      </c>
      <c r="O210" s="320" t="n">
        <f aca="false">O202+O209</f>
        <v>693</v>
      </c>
      <c r="P210" s="321" t="n">
        <f aca="false">R210/O210</f>
        <v>95.0865800865801</v>
      </c>
      <c r="Q210" s="320" t="n">
        <f aca="false">Q202+Q209</f>
        <v>583</v>
      </c>
      <c r="R210" s="320" t="n">
        <f aca="false">R202+R209</f>
        <v>65895</v>
      </c>
    </row>
    <row r="211" customFormat="false" ht="15" hidden="false" customHeight="false" outlineLevel="0" collapsed="false">
      <c r="A211" s="333"/>
      <c r="B211" s="334"/>
      <c r="C211" s="287"/>
      <c r="D211" s="287"/>
      <c r="E211" s="283"/>
      <c r="F211" s="288"/>
      <c r="G211" s="288"/>
      <c r="H211" s="283"/>
      <c r="I211" s="203"/>
      <c r="J211" s="203"/>
      <c r="K211" s="289"/>
      <c r="L211" s="203"/>
      <c r="M211" s="203"/>
      <c r="N211" s="203"/>
      <c r="O211" s="203"/>
      <c r="P211" s="219"/>
      <c r="Q211" s="203"/>
      <c r="R211" s="189"/>
    </row>
    <row r="212" customFormat="false" ht="15" hidden="false" customHeight="false" outlineLevel="0" collapsed="false">
      <c r="A212" s="333"/>
      <c r="B212" s="270" t="s">
        <v>171</v>
      </c>
      <c r="C212" s="270"/>
      <c r="D212" s="287"/>
      <c r="E212" s="283"/>
      <c r="F212" s="288"/>
      <c r="G212" s="288"/>
      <c r="H212" s="283"/>
      <c r="I212" s="203"/>
      <c r="J212" s="203"/>
      <c r="K212" s="289"/>
      <c r="L212" s="203"/>
      <c r="M212" s="203"/>
      <c r="N212" s="203"/>
      <c r="O212" s="203"/>
      <c r="P212" s="219"/>
      <c r="Q212" s="203"/>
      <c r="R212" s="189"/>
    </row>
    <row r="213" customFormat="false" ht="15" hidden="false" customHeight="false" outlineLevel="0" collapsed="false">
      <c r="A213" s="270"/>
      <c r="B213" s="270"/>
      <c r="C213" s="195" t="n">
        <v>3</v>
      </c>
      <c r="D213" s="195" t="n">
        <v>4</v>
      </c>
      <c r="E213" s="196" t="n">
        <v>5</v>
      </c>
      <c r="F213" s="195" t="n">
        <v>6</v>
      </c>
      <c r="G213" s="195" t="n">
        <v>7</v>
      </c>
      <c r="H213" s="195" t="n">
        <v>8</v>
      </c>
      <c r="I213" s="195" t="n">
        <v>9</v>
      </c>
      <c r="J213" s="195" t="n">
        <v>10</v>
      </c>
      <c r="K213" s="195" t="n">
        <v>11</v>
      </c>
      <c r="L213" s="195" t="n">
        <v>12</v>
      </c>
      <c r="M213" s="195" t="n">
        <v>13</v>
      </c>
      <c r="N213" s="195" t="n">
        <v>14</v>
      </c>
      <c r="O213" s="195" t="n">
        <v>15</v>
      </c>
      <c r="P213" s="196" t="n">
        <v>16</v>
      </c>
      <c r="Q213" s="195" t="n">
        <v>17</v>
      </c>
      <c r="R213" s="189"/>
    </row>
    <row r="214" customFormat="false" ht="15" hidden="false" customHeight="false" outlineLevel="0" collapsed="false">
      <c r="A214" s="288" t="n">
        <v>1</v>
      </c>
      <c r="B214" s="290" t="s">
        <v>172</v>
      </c>
      <c r="C214" s="335" t="n">
        <v>786816.3</v>
      </c>
      <c r="D214" s="337" t="n">
        <v>770294</v>
      </c>
      <c r="E214" s="283" t="n">
        <f aca="false">C214/D214*100-100</f>
        <v>2.14493427184945</v>
      </c>
      <c r="F214" s="335" t="n">
        <v>102902</v>
      </c>
      <c r="G214" s="337" t="n">
        <v>72660</v>
      </c>
      <c r="H214" s="262" t="n">
        <f aca="false">F214/G214*100-100</f>
        <v>41.6212496559317</v>
      </c>
      <c r="I214" s="337" t="n">
        <v>546495</v>
      </c>
      <c r="J214" s="337" t="n">
        <v>576175</v>
      </c>
      <c r="K214" s="262" t="n">
        <f aca="false">I214/J214*100-100</f>
        <v>-5.15121273918514</v>
      </c>
      <c r="L214" s="335" t="n">
        <v>0</v>
      </c>
      <c r="M214" s="335" t="n">
        <v>0</v>
      </c>
      <c r="N214" s="262" t="n">
        <v>0</v>
      </c>
      <c r="O214" s="335" t="n">
        <v>293</v>
      </c>
      <c r="P214" s="337" t="n">
        <v>280.4</v>
      </c>
      <c r="Q214" s="262" t="n">
        <v>297</v>
      </c>
      <c r="R214" s="378" t="n">
        <f aca="false">O214*P214</f>
        <v>82157.2</v>
      </c>
    </row>
    <row r="215" customFormat="false" ht="15" hidden="false" customHeight="false" outlineLevel="0" collapsed="false">
      <c r="A215" s="288" t="n">
        <v>2</v>
      </c>
      <c r="B215" s="290" t="s">
        <v>173</v>
      </c>
      <c r="C215" s="262" t="n">
        <v>4630</v>
      </c>
      <c r="D215" s="262" t="n">
        <v>102318</v>
      </c>
      <c r="E215" s="283" t="n">
        <f aca="false">C215/D215*100-100</f>
        <v>-95.4748920033621</v>
      </c>
      <c r="F215" s="262" t="n">
        <v>1035</v>
      </c>
      <c r="G215" s="262" t="n">
        <v>1167</v>
      </c>
      <c r="H215" s="262" t="n">
        <f aca="false">F215/G215*100-100</f>
        <v>-11.3110539845758</v>
      </c>
      <c r="I215" s="262" t="n">
        <v>4630</v>
      </c>
      <c r="J215" s="262" t="n">
        <v>106796</v>
      </c>
      <c r="K215" s="262" t="n">
        <f aca="false">I215/J215*100-100</f>
        <v>-95.6646316341436</v>
      </c>
      <c r="L215" s="262" t="n">
        <v>4630</v>
      </c>
      <c r="M215" s="262" t="n">
        <v>106796</v>
      </c>
      <c r="N215" s="262" t="n">
        <f aca="false">L215/M215*100-100</f>
        <v>-95.6646316341436</v>
      </c>
      <c r="O215" s="262" t="n">
        <v>8</v>
      </c>
      <c r="P215" s="262" t="n">
        <v>45.3</v>
      </c>
      <c r="Q215" s="262" t="n">
        <v>24</v>
      </c>
      <c r="R215" s="378" t="n">
        <f aca="false">O215*P215</f>
        <v>362.4</v>
      </c>
    </row>
    <row r="216" customFormat="false" ht="24" hidden="false" customHeight="false" outlineLevel="0" collapsed="false">
      <c r="A216" s="291" t="n">
        <v>3</v>
      </c>
      <c r="B216" s="292" t="s">
        <v>174</v>
      </c>
      <c r="C216" s="262" t="n">
        <v>125459</v>
      </c>
      <c r="D216" s="262" t="n">
        <v>128095</v>
      </c>
      <c r="E216" s="283" t="n">
        <f aca="false">C216/D216*100-100</f>
        <v>-2.05784769116671</v>
      </c>
      <c r="F216" s="262" t="n">
        <v>13594</v>
      </c>
      <c r="G216" s="262" t="n">
        <v>14183</v>
      </c>
      <c r="H216" s="262" t="n">
        <f aca="false">F216/G216*100-100</f>
        <v>-4.15285905661708</v>
      </c>
      <c r="I216" s="262" t="n">
        <v>0</v>
      </c>
      <c r="J216" s="262" t="n">
        <v>0</v>
      </c>
      <c r="K216" s="262" t="n">
        <v>0</v>
      </c>
      <c r="L216" s="262" t="n">
        <v>0</v>
      </c>
      <c r="M216" s="262" t="n">
        <v>0</v>
      </c>
      <c r="N216" s="262" t="n">
        <v>0</v>
      </c>
      <c r="O216" s="262" t="n">
        <v>86</v>
      </c>
      <c r="P216" s="262" t="n">
        <v>105</v>
      </c>
      <c r="Q216" s="262" t="n">
        <v>87</v>
      </c>
      <c r="R216" s="385" t="n">
        <f aca="false">O216*P216</f>
        <v>9030</v>
      </c>
    </row>
    <row r="217" customFormat="false" ht="15" hidden="false" customHeight="false" outlineLevel="0" collapsed="false">
      <c r="A217" s="288" t="n">
        <v>4</v>
      </c>
      <c r="B217" s="296" t="s">
        <v>175</v>
      </c>
      <c r="C217" s="262" t="n">
        <v>1253</v>
      </c>
      <c r="D217" s="262" t="n">
        <v>1109</v>
      </c>
      <c r="E217" s="283" t="n">
        <f aca="false">C217/D217*100-100</f>
        <v>12.9846708746619</v>
      </c>
      <c r="F217" s="262" t="n">
        <v>127</v>
      </c>
      <c r="G217" s="262" t="n">
        <v>70</v>
      </c>
      <c r="H217" s="262" t="n">
        <v>0</v>
      </c>
      <c r="I217" s="262" t="n">
        <v>1253</v>
      </c>
      <c r="J217" s="262" t="n">
        <v>1109</v>
      </c>
      <c r="K217" s="262" t="n">
        <f aca="false">I217/J217*100-100</f>
        <v>12.9846708746619</v>
      </c>
      <c r="L217" s="262" t="n">
        <v>0</v>
      </c>
      <c r="M217" s="262" t="n">
        <v>0</v>
      </c>
      <c r="N217" s="262" t="n">
        <v>0</v>
      </c>
      <c r="O217" s="262" t="n">
        <v>30</v>
      </c>
      <c r="P217" s="262" t="n">
        <v>28.7</v>
      </c>
      <c r="Q217" s="262" t="n">
        <v>30</v>
      </c>
      <c r="R217" s="386" t="n">
        <f aca="false">O217*P217</f>
        <v>861</v>
      </c>
    </row>
    <row r="218" customFormat="false" ht="15" hidden="false" customHeight="false" outlineLevel="0" collapsed="false">
      <c r="A218" s="288" t="n">
        <v>5</v>
      </c>
      <c r="B218" s="297" t="s">
        <v>176</v>
      </c>
      <c r="C218" s="262" t="n">
        <v>28736</v>
      </c>
      <c r="D218" s="262" t="n">
        <v>18634</v>
      </c>
      <c r="E218" s="283" t="n">
        <f aca="false">C218/D218*100-100</f>
        <v>54.212729419341</v>
      </c>
      <c r="F218" s="262" t="n">
        <v>2604</v>
      </c>
      <c r="G218" s="262" t="n">
        <v>4182</v>
      </c>
      <c r="H218" s="262" t="n">
        <f aca="false">F218/G218*100-100</f>
        <v>-37.7331420373027</v>
      </c>
      <c r="I218" s="262" t="n">
        <v>28736</v>
      </c>
      <c r="J218" s="262" t="n">
        <v>18634</v>
      </c>
      <c r="K218" s="262" t="n">
        <f aca="false">I218/J218*100-100</f>
        <v>54.212729419341</v>
      </c>
      <c r="L218" s="262" t="n">
        <v>0</v>
      </c>
      <c r="M218" s="262" t="n">
        <v>0</v>
      </c>
      <c r="N218" s="262" t="n">
        <v>0</v>
      </c>
      <c r="O218" s="262" t="n">
        <v>17</v>
      </c>
      <c r="P218" s="262" t="n">
        <v>61</v>
      </c>
      <c r="Q218" s="262" t="n">
        <v>17</v>
      </c>
      <c r="R218" s="386" t="n">
        <f aca="false">O218*P218</f>
        <v>1037</v>
      </c>
    </row>
    <row r="219" customFormat="false" ht="15" hidden="false" customHeight="false" outlineLevel="0" collapsed="false">
      <c r="A219" s="288" t="n">
        <v>6</v>
      </c>
      <c r="B219" s="290" t="s">
        <v>177</v>
      </c>
      <c r="C219" s="262" t="n">
        <v>10865</v>
      </c>
      <c r="D219" s="262" t="n">
        <v>11165</v>
      </c>
      <c r="E219" s="283" t="n">
        <f aca="false">C219/D219*100-100</f>
        <v>-2.68696820420958</v>
      </c>
      <c r="F219" s="262" t="n">
        <v>975</v>
      </c>
      <c r="G219" s="262" t="n">
        <v>1010</v>
      </c>
      <c r="H219" s="262" t="n">
        <f aca="false">F219/G219*100-100</f>
        <v>-3.46534653465346</v>
      </c>
      <c r="I219" s="262" t="n">
        <v>0</v>
      </c>
      <c r="J219" s="262" t="n">
        <v>0</v>
      </c>
      <c r="K219" s="262" t="n">
        <v>0</v>
      </c>
      <c r="L219" s="262" t="n">
        <v>0</v>
      </c>
      <c r="M219" s="262" t="n">
        <v>0</v>
      </c>
      <c r="N219" s="262" t="n">
        <v>0</v>
      </c>
      <c r="O219" s="262" t="n">
        <v>12</v>
      </c>
      <c r="P219" s="262" t="n">
        <v>73.4</v>
      </c>
      <c r="Q219" s="262" t="n">
        <v>12</v>
      </c>
      <c r="R219" s="386" t="n">
        <f aca="false">O219*P219</f>
        <v>880.8</v>
      </c>
    </row>
    <row r="220" customFormat="false" ht="15" hidden="false" customHeight="false" outlineLevel="0" collapsed="false">
      <c r="A220" s="288" t="n">
        <v>7</v>
      </c>
      <c r="B220" s="290" t="s">
        <v>178</v>
      </c>
      <c r="C220" s="262" t="n">
        <v>88329</v>
      </c>
      <c r="D220" s="262" t="n">
        <v>52430</v>
      </c>
      <c r="E220" s="283" t="n">
        <f aca="false">C220/D220*100-100</f>
        <v>68.4703414075911</v>
      </c>
      <c r="F220" s="262" t="n">
        <v>9840</v>
      </c>
      <c r="G220" s="262" t="n">
        <v>4000</v>
      </c>
      <c r="H220" s="262" t="n">
        <f aca="false">F220/G220*100-100</f>
        <v>146</v>
      </c>
      <c r="I220" s="262" t="n">
        <v>86078</v>
      </c>
      <c r="J220" s="262" t="n">
        <v>31254</v>
      </c>
      <c r="K220" s="262" t="n">
        <f aca="false">I220/J220*100-100</f>
        <v>175.414346963589</v>
      </c>
      <c r="L220" s="262" t="n">
        <v>0</v>
      </c>
      <c r="M220" s="262" t="n">
        <v>0</v>
      </c>
      <c r="N220" s="262" t="n">
        <v>0</v>
      </c>
      <c r="O220" s="262" t="n">
        <v>23</v>
      </c>
      <c r="P220" s="262" t="n">
        <v>197.9</v>
      </c>
      <c r="Q220" s="262" t="n">
        <v>23</v>
      </c>
      <c r="R220" s="386" t="n">
        <f aca="false">O220*P220</f>
        <v>4551.7</v>
      </c>
    </row>
    <row r="221" customFormat="false" ht="15" hidden="false" customHeight="false" outlineLevel="0" collapsed="false">
      <c r="A221" s="288" t="n">
        <v>8</v>
      </c>
      <c r="B221" s="290" t="s">
        <v>179</v>
      </c>
      <c r="C221" s="262" t="n">
        <v>15376</v>
      </c>
      <c r="D221" s="262" t="n">
        <v>20720</v>
      </c>
      <c r="E221" s="283" t="n">
        <f aca="false">C221/D221*100-100</f>
        <v>-25.7915057915058</v>
      </c>
      <c r="F221" s="262" t="n">
        <v>1301</v>
      </c>
      <c r="G221" s="262" t="n">
        <v>1748</v>
      </c>
      <c r="H221" s="262" t="n">
        <f aca="false">F221/G221*100-100</f>
        <v>-25.5720823798627</v>
      </c>
      <c r="I221" s="262" t="n">
        <v>15376</v>
      </c>
      <c r="J221" s="262" t="n">
        <v>20720</v>
      </c>
      <c r="K221" s="262" t="n">
        <f aca="false">I221/J221*100-100</f>
        <v>-25.7915057915058</v>
      </c>
      <c r="L221" s="262" t="n">
        <v>0</v>
      </c>
      <c r="M221" s="262" t="n">
        <v>0</v>
      </c>
      <c r="N221" s="262" t="n">
        <v>0</v>
      </c>
      <c r="O221" s="262" t="n">
        <v>11</v>
      </c>
      <c r="P221" s="262" t="n">
        <v>74.3</v>
      </c>
      <c r="Q221" s="262" t="n">
        <v>13</v>
      </c>
      <c r="R221" s="378" t="n">
        <f aca="false">O221*P221</f>
        <v>817.3</v>
      </c>
    </row>
    <row r="222" customFormat="false" ht="15" hidden="false" customHeight="false" outlineLevel="0" collapsed="false">
      <c r="A222" s="288" t="n">
        <v>9</v>
      </c>
      <c r="B222" s="301" t="s">
        <v>180</v>
      </c>
      <c r="C222" s="262" t="n">
        <v>4315</v>
      </c>
      <c r="D222" s="262" t="n">
        <v>6756</v>
      </c>
      <c r="E222" s="283" t="n">
        <f aca="false">C222/D222*100-100</f>
        <v>-36.1308466548253</v>
      </c>
      <c r="F222" s="262" t="n">
        <v>850</v>
      </c>
      <c r="G222" s="262" t="n">
        <v>637</v>
      </c>
      <c r="H222" s="262" t="n">
        <f aca="false">F222/G222*100-100</f>
        <v>33.4379905808477</v>
      </c>
      <c r="I222" s="262" t="n">
        <v>4185</v>
      </c>
      <c r="J222" s="262" t="n">
        <v>5897</v>
      </c>
      <c r="K222" s="262" t="n">
        <f aca="false">I222/J222*100-100</f>
        <v>-29.0317110395116</v>
      </c>
      <c r="L222" s="262" t="n">
        <v>0</v>
      </c>
      <c r="M222" s="262" t="n">
        <v>0</v>
      </c>
      <c r="N222" s="262" t="n">
        <v>0</v>
      </c>
      <c r="O222" s="262" t="n">
        <v>24</v>
      </c>
      <c r="P222" s="262" t="n">
        <v>68.6</v>
      </c>
      <c r="Q222" s="262" t="n">
        <v>24</v>
      </c>
      <c r="R222" s="386" t="n">
        <f aca="false">O222*P222</f>
        <v>1646.4</v>
      </c>
    </row>
    <row r="223" customFormat="false" ht="15" hidden="false" customHeight="false" outlineLevel="0" collapsed="false">
      <c r="A223" s="216"/>
      <c r="B223" s="216" t="s">
        <v>261</v>
      </c>
      <c r="C223" s="216" t="n">
        <f aca="false">SUM(C214:C222)</f>
        <v>1065779.3</v>
      </c>
      <c r="D223" s="216" t="n">
        <f aca="false">SUM(D214:D222)</f>
        <v>1111521</v>
      </c>
      <c r="E223" s="217" t="n">
        <f aca="false">C223/D223*100-100</f>
        <v>-4.11523488984913</v>
      </c>
      <c r="F223" s="216" t="n">
        <f aca="false">SUM(F214:F222)</f>
        <v>133228</v>
      </c>
      <c r="G223" s="216" t="n">
        <f aca="false">SUM(G214:G222)</f>
        <v>99657</v>
      </c>
      <c r="H223" s="216" t="n">
        <f aca="false">F223/G223*100-100</f>
        <v>33.6865448488315</v>
      </c>
      <c r="I223" s="216" t="n">
        <f aca="false">SUM(I214:I222)</f>
        <v>686753</v>
      </c>
      <c r="J223" s="216" t="n">
        <f aca="false">SUM(J214:J222)</f>
        <v>760585</v>
      </c>
      <c r="K223" s="216" t="n">
        <f aca="false">I223/J223*100-100</f>
        <v>-9.70726480275052</v>
      </c>
      <c r="L223" s="216" t="n">
        <f aca="false">SUM(L214:L222)</f>
        <v>4630</v>
      </c>
      <c r="M223" s="216" t="n">
        <f aca="false">SUM(M214:M222)</f>
        <v>106796</v>
      </c>
      <c r="N223" s="216" t="n">
        <f aca="false">L223/M223*100-100</f>
        <v>-95.6646316341436</v>
      </c>
      <c r="O223" s="216" t="n">
        <f aca="false">SUM(O214:O222)</f>
        <v>504</v>
      </c>
      <c r="P223" s="216" t="n">
        <f aca="false">R223/O223</f>
        <v>201.078968253968</v>
      </c>
      <c r="Q223" s="216" t="n">
        <f aca="false">SUM(Q214:Q222)</f>
        <v>527</v>
      </c>
      <c r="R223" s="232" t="n">
        <f aca="false">SUM(R214:R222)</f>
        <v>101343.8</v>
      </c>
    </row>
    <row r="224" customFormat="false" ht="15" hidden="false" customHeight="false" outlineLevel="0" collapsed="false">
      <c r="A224" s="303"/>
      <c r="B224" s="195"/>
      <c r="C224" s="303"/>
      <c r="D224" s="303"/>
      <c r="E224" s="303"/>
      <c r="F224" s="303"/>
      <c r="G224" s="303"/>
      <c r="H224" s="303"/>
      <c r="I224" s="303"/>
      <c r="J224" s="303"/>
      <c r="K224" s="303"/>
      <c r="L224" s="303"/>
      <c r="M224" s="303"/>
      <c r="N224" s="303"/>
      <c r="O224" s="303"/>
      <c r="P224" s="303"/>
      <c r="Q224" s="303"/>
      <c r="R224" s="304"/>
    </row>
    <row r="225" customFormat="false" ht="15" hidden="false" customHeight="false" outlineLevel="0" collapsed="false">
      <c r="A225" s="305" t="s">
        <v>181</v>
      </c>
      <c r="B225" s="305"/>
      <c r="C225" s="195" t="n">
        <v>3</v>
      </c>
      <c r="D225" s="195" t="n">
        <v>4</v>
      </c>
      <c r="E225" s="196" t="n">
        <v>5</v>
      </c>
      <c r="F225" s="195" t="n">
        <v>6</v>
      </c>
      <c r="G225" s="195" t="n">
        <v>7</v>
      </c>
      <c r="H225" s="195" t="n">
        <v>8</v>
      </c>
      <c r="I225" s="195" t="n">
        <v>9</v>
      </c>
      <c r="J225" s="195" t="n">
        <v>10</v>
      </c>
      <c r="K225" s="195" t="n">
        <v>11</v>
      </c>
      <c r="L225" s="195" t="n">
        <v>12</v>
      </c>
      <c r="M225" s="195" t="n">
        <v>13</v>
      </c>
      <c r="N225" s="195" t="n">
        <v>14</v>
      </c>
      <c r="O225" s="195" t="n">
        <v>15</v>
      </c>
      <c r="P225" s="196" t="n">
        <v>16</v>
      </c>
      <c r="Q225" s="195" t="n">
        <v>17</v>
      </c>
      <c r="R225" s="179"/>
    </row>
    <row r="226" customFormat="false" ht="15" hidden="false" customHeight="false" outlineLevel="0" collapsed="false">
      <c r="A226" s="262" t="n">
        <v>1</v>
      </c>
      <c r="B226" s="306" t="s">
        <v>182</v>
      </c>
      <c r="C226" s="207"/>
      <c r="D226" s="207"/>
      <c r="E226" s="201" t="n">
        <v>0</v>
      </c>
      <c r="F226" s="207"/>
      <c r="G226" s="207"/>
      <c r="H226" s="201" t="n">
        <v>0</v>
      </c>
      <c r="I226" s="207"/>
      <c r="J226" s="207"/>
      <c r="K226" s="201" t="n">
        <v>0</v>
      </c>
      <c r="L226" s="207"/>
      <c r="M226" s="207"/>
      <c r="N226" s="201" t="n">
        <v>0</v>
      </c>
      <c r="O226" s="192"/>
      <c r="P226" s="262" t="n">
        <v>0</v>
      </c>
      <c r="Q226" s="192" t="n">
        <v>0</v>
      </c>
      <c r="R226" s="234" t="n">
        <f aca="false">O226*P226</f>
        <v>0</v>
      </c>
    </row>
    <row r="227" customFormat="false" ht="15" hidden="false" customHeight="false" outlineLevel="0" collapsed="false">
      <c r="A227" s="262" t="n">
        <v>2</v>
      </c>
      <c r="B227" s="306" t="s">
        <v>183</v>
      </c>
      <c r="C227" s="207" t="n">
        <v>256685</v>
      </c>
      <c r="D227" s="207" t="n">
        <v>301113</v>
      </c>
      <c r="E227" s="201" t="n">
        <f aca="false">C227/D227*100-100</f>
        <v>-14.7545937903711</v>
      </c>
      <c r="F227" s="207" t="n">
        <v>49605</v>
      </c>
      <c r="G227" s="207" t="n">
        <v>31895</v>
      </c>
      <c r="H227" s="201" t="n">
        <f aca="false">F227/G227*100-100</f>
        <v>55.5259445054084</v>
      </c>
      <c r="I227" s="207" t="n">
        <v>253843</v>
      </c>
      <c r="J227" s="207" t="n">
        <v>299147</v>
      </c>
      <c r="K227" s="201" t="n">
        <f aca="false">I227/J227*100-100</f>
        <v>-15.1443938933033</v>
      </c>
      <c r="L227" s="207" t="n">
        <v>18568</v>
      </c>
      <c r="M227" s="207" t="n">
        <v>6831</v>
      </c>
      <c r="N227" s="201" t="n">
        <v>0</v>
      </c>
      <c r="O227" s="192" t="n">
        <v>185</v>
      </c>
      <c r="P227" s="262" t="n">
        <v>82</v>
      </c>
      <c r="Q227" s="192" t="n">
        <v>173</v>
      </c>
      <c r="R227" s="234" t="n">
        <f aca="false">O227*P227</f>
        <v>15170</v>
      </c>
    </row>
    <row r="228" customFormat="false" ht="15" hidden="false" customHeight="false" outlineLevel="0" collapsed="false">
      <c r="A228" s="215" t="s">
        <v>170</v>
      </c>
      <c r="B228" s="215" t="s">
        <v>154</v>
      </c>
      <c r="C228" s="216" t="n">
        <f aca="false">SUM(C226:C227)</f>
        <v>256685</v>
      </c>
      <c r="D228" s="216" t="n">
        <f aca="false">SUM(D226:D227)</f>
        <v>301113</v>
      </c>
      <c r="E228" s="313" t="n">
        <f aca="false">C228/D228*100-100</f>
        <v>-14.7545937903711</v>
      </c>
      <c r="F228" s="216" t="n">
        <f aca="false">SUM(F226:F227)</f>
        <v>49605</v>
      </c>
      <c r="G228" s="216" t="n">
        <f aca="false">SUM(G226:G227)</f>
        <v>31895</v>
      </c>
      <c r="H228" s="313" t="n">
        <f aca="false">F228/G228*100-100</f>
        <v>55.5259445054084</v>
      </c>
      <c r="I228" s="217" t="n">
        <f aca="false">SUM(I226:I227)</f>
        <v>253843</v>
      </c>
      <c r="J228" s="216" t="n">
        <f aca="false">SUM(J226:J227)</f>
        <v>299147</v>
      </c>
      <c r="K228" s="313" t="n">
        <f aca="false">I228/J228*100-100</f>
        <v>-15.1443938933033</v>
      </c>
      <c r="L228" s="237" t="n">
        <f aca="false">SUM(L226:L227)</f>
        <v>18568</v>
      </c>
      <c r="M228" s="216" t="n">
        <f aca="false">SUM(M226:M227)</f>
        <v>6831</v>
      </c>
      <c r="N228" s="332" t="n">
        <f aca="false">L228/M228*100-100</f>
        <v>171.819645732689</v>
      </c>
      <c r="O228" s="237" t="n">
        <f aca="false">SUM(O226:O227)</f>
        <v>185</v>
      </c>
      <c r="P228" s="237" t="n">
        <f aca="false">R228/O228</f>
        <v>82</v>
      </c>
      <c r="Q228" s="237" t="n">
        <f aca="false">SUM(Q226:Q227)</f>
        <v>173</v>
      </c>
      <c r="R228" s="232" t="n">
        <f aca="false">SUM(R226:R227)</f>
        <v>15170</v>
      </c>
    </row>
  </sheetData>
  <mergeCells count="57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5:B55"/>
    <mergeCell ref="A57:B57"/>
    <mergeCell ref="A67:B67"/>
    <mergeCell ref="A69:B69"/>
    <mergeCell ref="A78:B78"/>
    <mergeCell ref="A79:B79"/>
    <mergeCell ref="A81:B81"/>
    <mergeCell ref="A93:B93"/>
    <mergeCell ref="A95:B95"/>
    <mergeCell ref="A121:B121"/>
    <mergeCell ref="A131:B131"/>
    <mergeCell ref="A133:B133"/>
    <mergeCell ref="A139:B139"/>
    <mergeCell ref="A150:B150"/>
    <mergeCell ref="A151:B151"/>
    <mergeCell ref="A162:B162"/>
    <mergeCell ref="B164:C164"/>
    <mergeCell ref="A165:B165"/>
    <mergeCell ref="A175:B175"/>
    <mergeCell ref="A190:B190"/>
    <mergeCell ref="A194:B194"/>
    <mergeCell ref="A202:B202"/>
    <mergeCell ref="A209:B209"/>
    <mergeCell ref="B212:C212"/>
    <mergeCell ref="A213:B213"/>
    <mergeCell ref="A225:B225"/>
    <mergeCell ref="A228:B2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3.8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1" width="25.42"/>
    <col collapsed="false" customWidth="true" hidden="false" outlineLevel="0" max="3" min="3" style="1" width="11.71"/>
    <col collapsed="false" customWidth="false" hidden="false" outlineLevel="0" max="4" min="4" style="1" width="11.43"/>
    <col collapsed="false" customWidth="true" hidden="false" outlineLevel="0" max="5" min="5" style="1" width="6.57"/>
    <col collapsed="false" customWidth="true" hidden="false" outlineLevel="0" max="6" min="6" style="1" width="10.57"/>
    <col collapsed="false" customWidth="true" hidden="false" outlineLevel="0" max="7" min="7" style="1" width="10.28"/>
    <col collapsed="false" customWidth="true" hidden="false" outlineLevel="0" max="8" min="8" style="1" width="5.57"/>
    <col collapsed="false" customWidth="true" hidden="false" outlineLevel="0" max="9" min="9" style="1" width="11.28"/>
    <col collapsed="false" customWidth="true" hidden="false" outlineLevel="0" max="10" min="10" style="1" width="11.71"/>
    <col collapsed="false" customWidth="true" hidden="false" outlineLevel="0" max="11" min="11" style="1" width="5.71"/>
    <col collapsed="false" customWidth="true" hidden="false" outlineLevel="0" max="12" min="12" style="1" width="11.28"/>
    <col collapsed="false" customWidth="false" hidden="false" outlineLevel="0" max="13" min="13" style="1" width="11.43"/>
    <col collapsed="false" customWidth="true" hidden="false" outlineLevel="0" max="14" min="14" style="1" width="6.14"/>
    <col collapsed="false" customWidth="true" hidden="false" outlineLevel="0" max="15" min="15" style="1" width="7"/>
    <col collapsed="false" customWidth="true" hidden="false" outlineLevel="0" max="16" min="16" style="1" width="6.71"/>
    <col collapsed="false" customWidth="true" hidden="false" outlineLevel="0" max="17" min="17" style="1" width="7"/>
    <col collapsed="false" customWidth="true" hidden="false" outlineLevel="0" max="1025" min="18" style="1" width="8.53"/>
  </cols>
  <sheetData>
    <row r="1" customFormat="false" ht="13.8" hidden="false" customHeight="true" outlineLevel="0" collapsed="false">
      <c r="A1" s="2" t="s">
        <v>265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3.8" hidden="false" customHeight="true" outlineLevel="0" collapsed="false">
      <c r="A3" s="4" t="s">
        <v>1</v>
      </c>
      <c r="B3" s="5" t="s">
        <v>2</v>
      </c>
      <c r="C3" s="6" t="s">
        <v>3</v>
      </c>
      <c r="D3" s="6"/>
      <c r="E3" s="6"/>
      <c r="F3" s="6"/>
      <c r="G3" s="6"/>
      <c r="H3" s="6"/>
      <c r="I3" s="7" t="s">
        <v>4</v>
      </c>
      <c r="J3" s="7"/>
      <c r="K3" s="7"/>
      <c r="L3" s="6" t="s">
        <v>5</v>
      </c>
      <c r="M3" s="6"/>
      <c r="N3" s="6"/>
      <c r="O3" s="5" t="s">
        <v>6</v>
      </c>
      <c r="P3" s="8" t="s">
        <v>7</v>
      </c>
      <c r="Q3" s="5" t="s">
        <v>8</v>
      </c>
      <c r="R3" s="9"/>
    </row>
    <row r="4" customFormat="false" ht="13.8" hidden="false" customHeight="true" outlineLevel="0" collapsed="false">
      <c r="A4" s="4"/>
      <c r="B4" s="5"/>
      <c r="C4" s="5" t="s">
        <v>9</v>
      </c>
      <c r="D4" s="5" t="s">
        <v>10</v>
      </c>
      <c r="E4" s="10" t="s">
        <v>189</v>
      </c>
      <c r="F4" s="5" t="s">
        <v>12</v>
      </c>
      <c r="G4" s="5" t="s">
        <v>10</v>
      </c>
      <c r="H4" s="10" t="s">
        <v>189</v>
      </c>
      <c r="I4" s="5" t="s">
        <v>13</v>
      </c>
      <c r="J4" s="5" t="s">
        <v>10</v>
      </c>
      <c r="K4" s="10" t="s">
        <v>189</v>
      </c>
      <c r="L4" s="5" t="s">
        <v>13</v>
      </c>
      <c r="M4" s="5" t="s">
        <v>10</v>
      </c>
      <c r="N4" s="10" t="s">
        <v>189</v>
      </c>
      <c r="O4" s="5"/>
      <c r="P4" s="8"/>
      <c r="Q4" s="5"/>
      <c r="R4" s="9"/>
    </row>
    <row r="5" customFormat="false" ht="13.8" hidden="false" customHeight="false" outlineLevel="0" collapsed="false">
      <c r="A5" s="4"/>
      <c r="B5" s="5"/>
      <c r="C5" s="5"/>
      <c r="D5" s="5"/>
      <c r="E5" s="10"/>
      <c r="F5" s="5"/>
      <c r="G5" s="5"/>
      <c r="H5" s="10"/>
      <c r="I5" s="5"/>
      <c r="J5" s="5"/>
      <c r="K5" s="10"/>
      <c r="L5" s="5"/>
      <c r="M5" s="5"/>
      <c r="N5" s="10"/>
      <c r="O5" s="5"/>
      <c r="P5" s="8"/>
      <c r="Q5" s="5"/>
      <c r="R5" s="9"/>
    </row>
    <row r="6" customFormat="false" ht="13.8" hidden="false" customHeight="false" outlineLevel="0" collapsed="false">
      <c r="A6" s="4"/>
      <c r="B6" s="5"/>
      <c r="C6" s="5"/>
      <c r="D6" s="5"/>
      <c r="E6" s="10"/>
      <c r="F6" s="5"/>
      <c r="G6" s="5"/>
      <c r="H6" s="10"/>
      <c r="I6" s="5"/>
      <c r="J6" s="5"/>
      <c r="K6" s="10"/>
      <c r="L6" s="5"/>
      <c r="M6" s="5"/>
      <c r="N6" s="10"/>
      <c r="O6" s="5"/>
      <c r="P6" s="8"/>
      <c r="Q6" s="5"/>
      <c r="R6" s="9"/>
    </row>
    <row r="7" customFormat="false" ht="13.8" hidden="false" customHeight="false" outlineLevel="0" collapsed="false">
      <c r="A7" s="4"/>
      <c r="B7" s="5"/>
      <c r="C7" s="5"/>
      <c r="D7" s="5"/>
      <c r="E7" s="10"/>
      <c r="F7" s="5"/>
      <c r="G7" s="5"/>
      <c r="H7" s="10"/>
      <c r="I7" s="5"/>
      <c r="J7" s="5"/>
      <c r="K7" s="10"/>
      <c r="L7" s="5"/>
      <c r="M7" s="5"/>
      <c r="N7" s="10"/>
      <c r="O7" s="5"/>
      <c r="P7" s="8"/>
      <c r="Q7" s="5"/>
      <c r="R7" s="9"/>
    </row>
    <row r="8" customFormat="false" ht="13.8" hidden="false" customHeight="false" outlineLevel="0" collapsed="false">
      <c r="A8" s="4"/>
      <c r="B8" s="5"/>
      <c r="C8" s="5"/>
      <c r="D8" s="5"/>
      <c r="E8" s="10"/>
      <c r="F8" s="5"/>
      <c r="G8" s="5"/>
      <c r="H8" s="10"/>
      <c r="I8" s="5"/>
      <c r="J8" s="5"/>
      <c r="K8" s="10"/>
      <c r="L8" s="5"/>
      <c r="M8" s="5"/>
      <c r="N8" s="10"/>
      <c r="O8" s="5"/>
      <c r="P8" s="8"/>
      <c r="Q8" s="5"/>
      <c r="R8" s="9"/>
    </row>
    <row r="9" customFormat="false" ht="13.8" hidden="false" customHeight="false" outlineLevel="0" collapsed="false">
      <c r="A9" s="4" t="n">
        <v>1</v>
      </c>
      <c r="B9" s="4" t="n">
        <v>2</v>
      </c>
      <c r="C9" s="6" t="n">
        <v>3</v>
      </c>
      <c r="D9" s="6" t="n">
        <v>4</v>
      </c>
      <c r="E9" s="11" t="n">
        <v>5</v>
      </c>
      <c r="F9" s="6" t="n">
        <v>6</v>
      </c>
      <c r="G9" s="6" t="n">
        <v>7</v>
      </c>
      <c r="H9" s="6" t="n">
        <v>8</v>
      </c>
      <c r="I9" s="6" t="n">
        <v>11</v>
      </c>
      <c r="J9" s="6" t="n">
        <v>12</v>
      </c>
      <c r="K9" s="6" t="n">
        <v>13</v>
      </c>
      <c r="L9" s="6" t="n">
        <v>17</v>
      </c>
      <c r="M9" s="6" t="n">
        <v>18</v>
      </c>
      <c r="N9" s="6" t="n">
        <v>19</v>
      </c>
      <c r="O9" s="6" t="n">
        <v>20</v>
      </c>
      <c r="P9" s="11" t="n">
        <v>21</v>
      </c>
      <c r="Q9" s="6" t="n">
        <v>22</v>
      </c>
      <c r="R9" s="12"/>
    </row>
    <row r="10" customFormat="false" ht="14.25" hidden="false" customHeight="false" outlineLevel="0" collapsed="false">
      <c r="A10" s="13" t="n">
        <v>1</v>
      </c>
      <c r="B10" s="14" t="s">
        <v>213</v>
      </c>
      <c r="C10" s="11" t="n">
        <f aca="false">C138</f>
        <v>177827282</v>
      </c>
      <c r="D10" s="11" t="n">
        <f aca="false">D138</f>
        <v>178981047</v>
      </c>
      <c r="E10" s="15" t="n">
        <f aca="false">E138</f>
        <v>-0.644629707636028</v>
      </c>
      <c r="F10" s="11" t="n">
        <f aca="false">F138</f>
        <v>13186592</v>
      </c>
      <c r="G10" s="16" t="n">
        <f aca="false">G138</f>
        <v>15485193</v>
      </c>
      <c r="H10" s="17" t="n">
        <f aca="false">H138</f>
        <v>-14.8438640706642</v>
      </c>
      <c r="I10" s="16" t="n">
        <f aca="false">I138</f>
        <v>165865343</v>
      </c>
      <c r="J10" s="16" t="n">
        <f aca="false">J138</f>
        <v>170912193</v>
      </c>
      <c r="K10" s="17" t="n">
        <f aca="false">K138</f>
        <v>-2.95289055240195</v>
      </c>
      <c r="L10" s="11" t="n">
        <f aca="false">L138</f>
        <v>116218600</v>
      </c>
      <c r="M10" s="11" t="n">
        <f aca="false">M138</f>
        <v>108585378</v>
      </c>
      <c r="N10" s="15" t="n">
        <f aca="false">N138</f>
        <v>7.02969602408162</v>
      </c>
      <c r="O10" s="11" t="n">
        <f aca="false">O138</f>
        <v>6001</v>
      </c>
      <c r="P10" s="15" t="n">
        <f aca="false">P138</f>
        <v>175.118980169972</v>
      </c>
      <c r="Q10" s="11" t="n">
        <f aca="false">Q138</f>
        <v>5990</v>
      </c>
      <c r="R10" s="11" t="n">
        <f aca="false">R138</f>
        <v>1050889</v>
      </c>
    </row>
    <row r="11" customFormat="false" ht="14.25" hidden="false" customHeight="false" outlineLevel="0" collapsed="false">
      <c r="A11" s="13"/>
      <c r="B11" s="14" t="s">
        <v>15</v>
      </c>
      <c r="C11" s="11" t="n">
        <f aca="false">C149</f>
        <v>158846991</v>
      </c>
      <c r="D11" s="11" t="n">
        <f aca="false">D149</f>
        <v>163007750</v>
      </c>
      <c r="E11" s="15" t="n">
        <f aca="false">E149</f>
        <v>-2.55249152264233</v>
      </c>
      <c r="F11" s="11" t="n">
        <f aca="false">F149</f>
        <v>12068033</v>
      </c>
      <c r="G11" s="11" t="n">
        <f aca="false">G149</f>
        <v>14012116</v>
      </c>
      <c r="H11" s="15" t="n">
        <f aca="false">H149</f>
        <v>-13.8742999272915</v>
      </c>
      <c r="I11" s="11" t="n">
        <f aca="false">I149</f>
        <v>154528265</v>
      </c>
      <c r="J11" s="11" t="n">
        <f aca="false">J149</f>
        <v>162576665</v>
      </c>
      <c r="K11" s="15" t="n">
        <f aca="false">K149</f>
        <v>-4.95052595647721</v>
      </c>
      <c r="L11" s="11" t="n">
        <f aca="false">L149</f>
        <v>145767004</v>
      </c>
      <c r="M11" s="11" t="n">
        <f aca="false">M149</f>
        <v>155258207</v>
      </c>
      <c r="N11" s="15" t="n">
        <f aca="false">N149</f>
        <v>-6.11317313486688</v>
      </c>
      <c r="O11" s="11" t="n">
        <f aca="false">O149</f>
        <v>3737</v>
      </c>
      <c r="P11" s="11" t="n">
        <f aca="false">P149</f>
        <v>130.316831683168</v>
      </c>
      <c r="Q11" s="11" t="n">
        <f aca="false">Q149</f>
        <v>3631</v>
      </c>
      <c r="R11" s="18" t="n">
        <f aca="false">O11*P11</f>
        <v>486994</v>
      </c>
    </row>
    <row r="12" customFormat="false" ht="14.25" hidden="false" customHeight="false" outlineLevel="0" collapsed="false">
      <c r="A12" s="13" t="n">
        <v>2</v>
      </c>
      <c r="B12" s="14" t="s">
        <v>16</v>
      </c>
      <c r="C12" s="11" t="n">
        <f aca="false">C161</f>
        <v>16547477</v>
      </c>
      <c r="D12" s="11" t="n">
        <f aca="false">D161</f>
        <v>13826344</v>
      </c>
      <c r="E12" s="15" t="n">
        <f aca="false">E161</f>
        <v>19.6807847396246</v>
      </c>
      <c r="F12" s="11" t="n">
        <f aca="false">F161</f>
        <v>1303286</v>
      </c>
      <c r="G12" s="16" t="n">
        <f aca="false">G161</f>
        <v>1193511</v>
      </c>
      <c r="H12" s="17" t="n">
        <f aca="false">H161</f>
        <v>9.19765297512969</v>
      </c>
      <c r="I12" s="16" t="n">
        <f aca="false">I161</f>
        <v>15655418</v>
      </c>
      <c r="J12" s="16" t="n">
        <f aca="false">J161</f>
        <v>14323446</v>
      </c>
      <c r="K12" s="17" t="n">
        <f aca="false">K161</f>
        <v>9.29924265431656</v>
      </c>
      <c r="L12" s="11" t="n">
        <f aca="false">L161</f>
        <v>6644548</v>
      </c>
      <c r="M12" s="11" t="n">
        <f aca="false">M161</f>
        <v>3938098</v>
      </c>
      <c r="N12" s="15" t="n">
        <f aca="false">N161</f>
        <v>68.7248006524977</v>
      </c>
      <c r="O12" s="11" t="n">
        <f aca="false">O161</f>
        <v>1431</v>
      </c>
      <c r="P12" s="15" t="n">
        <f aca="false">P161</f>
        <v>98.2900069881202</v>
      </c>
      <c r="Q12" s="11" t="n">
        <f aca="false">Q161</f>
        <v>1491</v>
      </c>
      <c r="R12" s="18" t="n">
        <f aca="false">O12*P12</f>
        <v>140653</v>
      </c>
    </row>
    <row r="13" customFormat="false" ht="14.25" hidden="false" customHeight="false" outlineLevel="0" collapsed="false">
      <c r="A13" s="13" t="n">
        <v>3</v>
      </c>
      <c r="B13" s="14" t="s">
        <v>17</v>
      </c>
      <c r="C13" s="11" t="n">
        <f aca="false">C213</f>
        <v>15237088</v>
      </c>
      <c r="D13" s="11" t="n">
        <f aca="false">D213</f>
        <v>14273668</v>
      </c>
      <c r="E13" s="15" t="n">
        <f aca="false">E213</f>
        <v>6.74963155931607</v>
      </c>
      <c r="F13" s="11" t="n">
        <f aca="false">F213</f>
        <v>1255628</v>
      </c>
      <c r="G13" s="11" t="n">
        <f aca="false">G213</f>
        <v>1658364</v>
      </c>
      <c r="H13" s="11" t="n">
        <f aca="false">H213</f>
        <v>-24.2851388476836</v>
      </c>
      <c r="I13" s="11" t="n">
        <f aca="false">I213</f>
        <v>15118882</v>
      </c>
      <c r="J13" s="11" t="n">
        <f aca="false">J213</f>
        <v>13826710</v>
      </c>
      <c r="K13" s="15" t="n">
        <f aca="false">K213</f>
        <v>9.34547697897766</v>
      </c>
      <c r="L13" s="11" t="n">
        <f aca="false">L213</f>
        <v>8839946</v>
      </c>
      <c r="M13" s="11" t="n">
        <f aca="false">M213</f>
        <v>5708788</v>
      </c>
      <c r="N13" s="15" t="n">
        <f aca="false">N213</f>
        <v>54.8480342937941</v>
      </c>
      <c r="O13" s="11" t="n">
        <f aca="false">O213</f>
        <v>596</v>
      </c>
      <c r="P13" s="11" t="n">
        <f aca="false">P213</f>
        <v>137.169463087248</v>
      </c>
      <c r="Q13" s="11" t="n">
        <f aca="false">Q213</f>
        <v>710</v>
      </c>
      <c r="R13" s="11" t="n">
        <f aca="false">R213</f>
        <v>81753</v>
      </c>
    </row>
    <row r="14" customFormat="false" ht="14.25" hidden="false" customHeight="false" outlineLevel="0" collapsed="false">
      <c r="A14" s="13" t="n">
        <v>4</v>
      </c>
      <c r="B14" s="14" t="s">
        <v>229</v>
      </c>
      <c r="C14" s="11" t="n">
        <f aca="false">C55</f>
        <v>5874579</v>
      </c>
      <c r="D14" s="16" t="n">
        <f aca="false">D55</f>
        <v>7111209</v>
      </c>
      <c r="E14" s="17" t="n">
        <f aca="false">E55</f>
        <v>-17.3898699925709</v>
      </c>
      <c r="F14" s="16" t="n">
        <f aca="false">F55</f>
        <v>218641</v>
      </c>
      <c r="G14" s="16" t="n">
        <f aca="false">G55</f>
        <v>716611</v>
      </c>
      <c r="H14" s="17" t="n">
        <f aca="false">H55</f>
        <v>-69.4895836095176</v>
      </c>
      <c r="I14" s="16" t="n">
        <f aca="false">I55</f>
        <v>5905886</v>
      </c>
      <c r="J14" s="16" t="n">
        <f aca="false">J55</f>
        <v>7165512</v>
      </c>
      <c r="K14" s="17" t="n">
        <f aca="false">K55</f>
        <v>-17.5790090087073</v>
      </c>
      <c r="L14" s="16" t="n">
        <f aca="false">L55</f>
        <v>1836085</v>
      </c>
      <c r="M14" s="16" t="n">
        <f aca="false">M55</f>
        <v>2079737</v>
      </c>
      <c r="N14" s="17" t="n">
        <f aca="false">N55</f>
        <v>-11.7155197988976</v>
      </c>
      <c r="O14" s="16" t="n">
        <f aca="false">O55</f>
        <v>916</v>
      </c>
      <c r="P14" s="17" t="n">
        <f aca="false">P55</f>
        <v>105.832969432314</v>
      </c>
      <c r="Q14" s="16" t="n">
        <f aca="false">Q55</f>
        <v>935</v>
      </c>
      <c r="R14" s="18" t="n">
        <f aca="false">O14*P14</f>
        <v>96943</v>
      </c>
    </row>
    <row r="15" customFormat="false" ht="14.25" hidden="false" customHeight="false" outlineLevel="0" collapsed="false">
      <c r="A15" s="13" t="n">
        <v>5</v>
      </c>
      <c r="B15" s="14" t="s">
        <v>19</v>
      </c>
      <c r="C15" s="11" t="n">
        <f aca="false">C67</f>
        <v>1667395</v>
      </c>
      <c r="D15" s="16" t="n">
        <f aca="false">D67</f>
        <v>1699505</v>
      </c>
      <c r="E15" s="17" t="n">
        <f aca="false">E67</f>
        <v>-1.88937367056879</v>
      </c>
      <c r="F15" s="16" t="n">
        <f aca="false">F67</f>
        <v>148442</v>
      </c>
      <c r="G15" s="16" t="n">
        <f aca="false">G67</f>
        <v>112636</v>
      </c>
      <c r="H15" s="17" t="n">
        <f aca="false">H67</f>
        <v>31.7891260343052</v>
      </c>
      <c r="I15" s="16" t="n">
        <f aca="false">I67</f>
        <v>1762483</v>
      </c>
      <c r="J15" s="16" t="n">
        <f aca="false">J67</f>
        <v>1846737</v>
      </c>
      <c r="K15" s="17" t="n">
        <f aca="false">K67</f>
        <v>-4.5623172113842</v>
      </c>
      <c r="L15" s="16" t="n">
        <f aca="false">L67</f>
        <v>1110191</v>
      </c>
      <c r="M15" s="16" t="n">
        <f aca="false">M67</f>
        <v>1204362</v>
      </c>
      <c r="N15" s="17" t="n">
        <f aca="false">N67</f>
        <v>-7.8191606842461</v>
      </c>
      <c r="O15" s="16" t="n">
        <f aca="false">O67</f>
        <v>552</v>
      </c>
      <c r="P15" s="17" t="n">
        <f aca="false">P67</f>
        <v>104.603260869565</v>
      </c>
      <c r="Q15" s="16" t="n">
        <f aca="false">Q67</f>
        <v>554</v>
      </c>
      <c r="R15" s="18" t="n">
        <f aca="false">O15*P15</f>
        <v>57741</v>
      </c>
    </row>
    <row r="16" customFormat="false" ht="14.25" hidden="false" customHeight="false" outlineLevel="0" collapsed="false">
      <c r="A16" s="13" t="n">
        <v>6</v>
      </c>
      <c r="B16" s="14" t="s">
        <v>20</v>
      </c>
      <c r="C16" s="11" t="n">
        <f aca="false">C78</f>
        <v>1560359</v>
      </c>
      <c r="D16" s="16" t="n">
        <f aca="false">D78</f>
        <v>1899066</v>
      </c>
      <c r="E16" s="17" t="n">
        <f aca="false">E78</f>
        <v>-17.83545174312</v>
      </c>
      <c r="F16" s="16" t="n">
        <f aca="false">F78</f>
        <v>155397</v>
      </c>
      <c r="G16" s="16" t="n">
        <f aca="false">G78</f>
        <v>136012</v>
      </c>
      <c r="H16" s="17" t="n">
        <f aca="false">H78</f>
        <v>14.2524189042143</v>
      </c>
      <c r="I16" s="16" t="n">
        <f aca="false">I78</f>
        <v>1820548</v>
      </c>
      <c r="J16" s="16" t="n">
        <f aca="false">J78</f>
        <v>1945241</v>
      </c>
      <c r="K16" s="17" t="n">
        <f aca="false">K78</f>
        <v>-6.4101568905858</v>
      </c>
      <c r="L16" s="16" t="n">
        <f aca="false">L78</f>
        <v>907355</v>
      </c>
      <c r="M16" s="16" t="n">
        <f aca="false">M78</f>
        <v>1046725</v>
      </c>
      <c r="N16" s="17" t="n">
        <f aca="false">N78</f>
        <v>-13.3148630251499</v>
      </c>
      <c r="O16" s="16" t="n">
        <f aca="false">O78</f>
        <v>513</v>
      </c>
      <c r="P16" s="17" t="n">
        <f aca="false">P78</f>
        <v>108.220272904483</v>
      </c>
      <c r="Q16" s="16" t="n">
        <f aca="false">Q78</f>
        <v>529</v>
      </c>
      <c r="R16" s="18" t="n">
        <f aca="false">O16*P16</f>
        <v>55517</v>
      </c>
    </row>
    <row r="17" customFormat="false" ht="14.25" hidden="false" customHeight="false" outlineLevel="0" collapsed="false">
      <c r="A17" s="13" t="n">
        <v>7</v>
      </c>
      <c r="B17" s="14" t="s">
        <v>21</v>
      </c>
      <c r="C17" s="11" t="n">
        <f aca="false">C93</f>
        <v>6959260</v>
      </c>
      <c r="D17" s="16" t="n">
        <f aca="false">D93</f>
        <v>6589647</v>
      </c>
      <c r="E17" s="17" t="n">
        <f aca="false">E93</f>
        <v>5.60899544391376</v>
      </c>
      <c r="F17" s="16" t="n">
        <f aca="false">F93</f>
        <v>481258</v>
      </c>
      <c r="G17" s="16" t="n">
        <f aca="false">G93</f>
        <v>597949</v>
      </c>
      <c r="H17" s="17" t="n">
        <f aca="false">H93</f>
        <v>-19.5152094911104</v>
      </c>
      <c r="I17" s="16" t="n">
        <f aca="false">I93</f>
        <v>10811850</v>
      </c>
      <c r="J17" s="16" t="n">
        <f aca="false">J93</f>
        <v>10788526</v>
      </c>
      <c r="K17" s="17" t="n">
        <f aca="false">K93</f>
        <v>0.216192647633235</v>
      </c>
      <c r="L17" s="16" t="n">
        <f aca="false">L93</f>
        <v>3393853</v>
      </c>
      <c r="M17" s="16" t="n">
        <f aca="false">M93</f>
        <v>3190570</v>
      </c>
      <c r="N17" s="17" t="n">
        <f aca="false">N93</f>
        <v>6.37136937913915</v>
      </c>
      <c r="O17" s="16" t="n">
        <f aca="false">O93</f>
        <v>3801</v>
      </c>
      <c r="P17" s="17" t="n">
        <f aca="false">P93</f>
        <v>114.226519337017</v>
      </c>
      <c r="Q17" s="16" t="n">
        <f aca="false">Q93</f>
        <v>3883</v>
      </c>
      <c r="R17" s="18" t="n">
        <f aca="false">O17*P17</f>
        <v>434175</v>
      </c>
    </row>
    <row r="18" customFormat="false" ht="27" hidden="false" customHeight="false" outlineLevel="0" collapsed="false">
      <c r="A18" s="13" t="n">
        <v>8</v>
      </c>
      <c r="B18" s="14" t="s">
        <v>22</v>
      </c>
      <c r="C18" s="11" t="n">
        <f aca="false">C194</f>
        <v>156427177</v>
      </c>
      <c r="D18" s="11" t="n">
        <f aca="false">D194</f>
        <v>122260058</v>
      </c>
      <c r="E18" s="15" t="n">
        <f aca="false">E194</f>
        <v>27.946264347429</v>
      </c>
      <c r="F18" s="11" t="n">
        <f aca="false">F194</f>
        <v>11128197</v>
      </c>
      <c r="G18" s="11" t="n">
        <f aca="false">G194</f>
        <v>14216239</v>
      </c>
      <c r="H18" s="15" t="n">
        <f aca="false">H194</f>
        <v>-21.7219336281558</v>
      </c>
      <c r="I18" s="11" t="n">
        <f aca="false">I194</f>
        <v>110942796</v>
      </c>
      <c r="J18" s="11" t="n">
        <f aca="false">J194</f>
        <v>110328083</v>
      </c>
      <c r="K18" s="15" t="n">
        <f aca="false">K194</f>
        <v>0.557168205306354</v>
      </c>
      <c r="L18" s="11" t="n">
        <f aca="false">L194</f>
        <v>94605946</v>
      </c>
      <c r="M18" s="11" t="n">
        <f aca="false">M194</f>
        <v>45602168</v>
      </c>
      <c r="N18" s="15" t="n">
        <f aca="false">N194</f>
        <v>107.459316407939</v>
      </c>
      <c r="O18" s="11" t="n">
        <f aca="false">O194</f>
        <v>6606</v>
      </c>
      <c r="P18" s="15" t="n">
        <f aca="false">P194</f>
        <v>100.639721465335</v>
      </c>
      <c r="Q18" s="11" t="n">
        <f aca="false">Q194</f>
        <v>6582</v>
      </c>
      <c r="R18" s="11" t="n">
        <f aca="false">R194</f>
        <v>664826</v>
      </c>
    </row>
    <row r="19" customFormat="false" ht="14.25" hidden="false" customHeight="false" outlineLevel="0" collapsed="false">
      <c r="A19" s="13" t="n">
        <v>9</v>
      </c>
      <c r="B19" s="14" t="s">
        <v>23</v>
      </c>
      <c r="C19" s="11" t="n">
        <f aca="false">C121</f>
        <v>3616967</v>
      </c>
      <c r="D19" s="16" t="n">
        <f aca="false">D121</f>
        <v>3655260</v>
      </c>
      <c r="E19" s="17" t="n">
        <f aca="false">E121</f>
        <v>-1.04761357605204</v>
      </c>
      <c r="F19" s="16" t="n">
        <f aca="false">F121</f>
        <v>330336</v>
      </c>
      <c r="G19" s="16" t="n">
        <f aca="false">G121</f>
        <v>305406</v>
      </c>
      <c r="H19" s="17" t="n">
        <f aca="false">H121</f>
        <v>8.16290446160193</v>
      </c>
      <c r="I19" s="16" t="n">
        <f aca="false">I121</f>
        <v>3791681</v>
      </c>
      <c r="J19" s="16" t="n">
        <f aca="false">J121</f>
        <v>3872278</v>
      </c>
      <c r="K19" s="17" t="n">
        <f aca="false">K121</f>
        <v>-2.08138465265148</v>
      </c>
      <c r="L19" s="16" t="n">
        <f aca="false">L121</f>
        <v>2031839</v>
      </c>
      <c r="M19" s="16" t="n">
        <f aca="false">M121</f>
        <v>1816865</v>
      </c>
      <c r="N19" s="17" t="n">
        <f aca="false">N121</f>
        <v>11.83213942698</v>
      </c>
      <c r="O19" s="16" t="n">
        <f aca="false">O121</f>
        <v>1515</v>
      </c>
      <c r="P19" s="17" t="n">
        <f aca="false">P121</f>
        <v>85.6693069306931</v>
      </c>
      <c r="Q19" s="16" t="n">
        <f aca="false">Q121</f>
        <v>1663</v>
      </c>
      <c r="R19" s="18" t="n">
        <f aca="false">O19*P19</f>
        <v>129789</v>
      </c>
    </row>
    <row r="20" customFormat="false" ht="14.25" hidden="false" customHeight="false" outlineLevel="0" collapsed="false">
      <c r="A20" s="13" t="n">
        <v>10</v>
      </c>
      <c r="B20" s="14" t="s">
        <v>24</v>
      </c>
      <c r="C20" s="11" t="n">
        <f aca="false">C130</f>
        <v>168046</v>
      </c>
      <c r="D20" s="16" t="n">
        <f aca="false">D130</f>
        <v>268739</v>
      </c>
      <c r="E20" s="17" t="n">
        <f aca="false">E130</f>
        <v>-37.4686963931547</v>
      </c>
      <c r="F20" s="16" t="n">
        <f aca="false">F130</f>
        <v>18765</v>
      </c>
      <c r="G20" s="16" t="n">
        <f aca="false">G130</f>
        <v>40047</v>
      </c>
      <c r="H20" s="17" t="n">
        <f aca="false">H130</f>
        <v>-53.1425574949435</v>
      </c>
      <c r="I20" s="16" t="n">
        <f aca="false">I130</f>
        <v>176298</v>
      </c>
      <c r="J20" s="16" t="n">
        <f aca="false">J130</f>
        <v>272732</v>
      </c>
      <c r="K20" s="17" t="n">
        <f aca="false">K130</f>
        <v>-35.3585204523122</v>
      </c>
      <c r="L20" s="16" t="n">
        <f aca="false">L130</f>
        <v>54250</v>
      </c>
      <c r="M20" s="16" t="n">
        <f aca="false">M130</f>
        <v>3379</v>
      </c>
      <c r="N20" s="17" t="n">
        <f aca="false">N130</f>
        <v>0</v>
      </c>
      <c r="O20" s="16" t="n">
        <f aca="false">O130</f>
        <v>102</v>
      </c>
      <c r="P20" s="17" t="n">
        <f aca="false">P130</f>
        <v>83.1372549019608</v>
      </c>
      <c r="Q20" s="16" t="n">
        <f aca="false">Q130</f>
        <v>150</v>
      </c>
      <c r="R20" s="18" t="n">
        <f aca="false">O20*P20</f>
        <v>8480</v>
      </c>
    </row>
    <row r="21" customFormat="false" ht="27" hidden="false" customHeight="false" outlineLevel="0" collapsed="false">
      <c r="A21" s="13" t="n">
        <v>11</v>
      </c>
      <c r="B21" s="14" t="s">
        <v>25</v>
      </c>
      <c r="C21" s="11" t="n">
        <f aca="false">C225</f>
        <v>1260642.1</v>
      </c>
      <c r="D21" s="16" t="n">
        <f aca="false">D225</f>
        <v>1193853.1</v>
      </c>
      <c r="E21" s="17" t="n">
        <f aca="false">E225</f>
        <v>5.5944068830579</v>
      </c>
      <c r="F21" s="16" t="n">
        <f aca="false">F225</f>
        <v>189863.1</v>
      </c>
      <c r="G21" s="16" t="n">
        <f aca="false">G225</f>
        <v>84430</v>
      </c>
      <c r="H21" s="16" t="n">
        <f aca="false">H225</f>
        <v>124.876347269928</v>
      </c>
      <c r="I21" s="16" t="n">
        <f aca="false">I225</f>
        <v>1155428.1</v>
      </c>
      <c r="J21" s="16" t="n">
        <f aca="false">J225</f>
        <v>810850.1</v>
      </c>
      <c r="K21" s="17" t="n">
        <f aca="false">K225</f>
        <v>42.4958941239571</v>
      </c>
      <c r="L21" s="16" t="n">
        <f aca="false">L225</f>
        <v>10558</v>
      </c>
      <c r="M21" s="16" t="n">
        <f aca="false">M225</f>
        <v>106796</v>
      </c>
      <c r="N21" s="17" t="n">
        <f aca="false">N225</f>
        <v>-90.1138619423949</v>
      </c>
      <c r="O21" s="16" t="n">
        <f aca="false">O225</f>
        <v>497</v>
      </c>
      <c r="P21" s="17" t="n">
        <f aca="false">P225</f>
        <v>210.927565392354</v>
      </c>
      <c r="Q21" s="16" t="n">
        <f aca="false">Q225</f>
        <v>504</v>
      </c>
      <c r="R21" s="18" t="n">
        <f aca="false">O21*P21</f>
        <v>104831</v>
      </c>
    </row>
    <row r="22" customFormat="false" ht="14.25" hidden="false" customHeight="false" outlineLevel="0" collapsed="false">
      <c r="A22" s="13" t="n">
        <v>12</v>
      </c>
      <c r="B22" s="14" t="s">
        <v>26</v>
      </c>
      <c r="C22" s="11" t="n">
        <f aca="false">C230</f>
        <v>406128</v>
      </c>
      <c r="D22" s="16" t="n">
        <f aca="false">D230</f>
        <v>436601</v>
      </c>
      <c r="E22" s="17" t="n">
        <f aca="false">E230</f>
        <v>-6.97959922217311</v>
      </c>
      <c r="F22" s="16" t="n">
        <f aca="false">F230</f>
        <v>78813</v>
      </c>
      <c r="G22" s="16" t="n">
        <f aca="false">G230</f>
        <v>38342</v>
      </c>
      <c r="H22" s="16" t="n">
        <f aca="false">H230</f>
        <v>105.552657660007</v>
      </c>
      <c r="I22" s="16" t="n">
        <f aca="false">I230</f>
        <v>403348</v>
      </c>
      <c r="J22" s="16" t="n">
        <f aca="false">J230</f>
        <v>340665</v>
      </c>
      <c r="K22" s="17" t="n">
        <f aca="false">K230</f>
        <v>18.4001878678467</v>
      </c>
      <c r="L22" s="16" t="n">
        <f aca="false">L230</f>
        <v>86001</v>
      </c>
      <c r="M22" s="16" t="n">
        <f aca="false">M230</f>
        <v>116770</v>
      </c>
      <c r="N22" s="17" t="n">
        <f aca="false">N230</f>
        <v>-26.3500899203563</v>
      </c>
      <c r="O22" s="16" t="n">
        <f aca="false">O230</f>
        <v>218</v>
      </c>
      <c r="P22" s="17" t="n">
        <f aca="false">P230</f>
        <v>79.5688073394495</v>
      </c>
      <c r="Q22" s="16" t="n">
        <f aca="false">Q230</f>
        <v>185</v>
      </c>
      <c r="R22" s="18" t="n">
        <f aca="false">O22*P22</f>
        <v>17346</v>
      </c>
    </row>
    <row r="23" customFormat="false" ht="13.8" hidden="false" customHeight="false" outlineLevel="0" collapsed="false">
      <c r="A23" s="412"/>
      <c r="B23" s="412" t="s">
        <v>27</v>
      </c>
      <c r="C23" s="413" t="n">
        <f aca="false">SUM(C10:C22)</f>
        <v>546399391.1</v>
      </c>
      <c r="D23" s="413" t="n">
        <f aca="false">SUM(D10:D22)</f>
        <v>515202747.1</v>
      </c>
      <c r="E23" s="414" t="n">
        <f aca="false">C23/D23*100-100</f>
        <v>6.05521693655582</v>
      </c>
      <c r="F23" s="413" t="n">
        <f aca="false">SUM(F10:F22)</f>
        <v>40563251.1</v>
      </c>
      <c r="G23" s="413" t="n">
        <f aca="false">SUM(G10:G22)</f>
        <v>48596856</v>
      </c>
      <c r="H23" s="414" t="n">
        <f aca="false">F23/G23*100-100</f>
        <v>-16.5311206552127</v>
      </c>
      <c r="I23" s="413" t="n">
        <f aca="false">SUM(I10:I22)</f>
        <v>487938226.1</v>
      </c>
      <c r="J23" s="413" t="n">
        <f aca="false">SUM(J10:J22)</f>
        <v>499009638.1</v>
      </c>
      <c r="K23" s="414" t="n">
        <f aca="false">I23/J23*100-100</f>
        <v>-2.21867698631129</v>
      </c>
      <c r="L23" s="413" t="n">
        <f aca="false">SUM(L10:L22)</f>
        <v>381506176</v>
      </c>
      <c r="M23" s="413" t="n">
        <f aca="false">SUM(M10:M22)</f>
        <v>328657843</v>
      </c>
      <c r="N23" s="414" t="n">
        <f aca="false">L23/M23*100-100</f>
        <v>16.0800462017272</v>
      </c>
      <c r="O23" s="413" t="n">
        <f aca="false">SUM(O10:O22)</f>
        <v>26485</v>
      </c>
      <c r="P23" s="415" t="n">
        <f aca="false">R23/O23</f>
        <v>125.729167453275</v>
      </c>
      <c r="Q23" s="413" t="n">
        <f aca="false">SUM(Q10:Q22)</f>
        <v>26807</v>
      </c>
      <c r="R23" s="416" t="n">
        <f aca="false">SUM(R10:R22)</f>
        <v>3329937</v>
      </c>
    </row>
    <row r="24" customFormat="false" ht="13.8" hidden="false" customHeight="false" outlineLevel="0" collapsed="false">
      <c r="A24" s="23"/>
      <c r="P24" s="23"/>
      <c r="Q24" s="23"/>
    </row>
    <row r="25" customFormat="false" ht="13.8" hidden="false" customHeight="false" outlineLevel="0" collapsed="false">
      <c r="A25" s="24"/>
      <c r="P25" s="25"/>
      <c r="Q25" s="25"/>
      <c r="R25" s="26"/>
    </row>
    <row r="29" customFormat="false" ht="94.5" hidden="false" customHeight="true" outlineLevel="0" collapsed="false"/>
    <row r="30" customFormat="false" ht="13.8" hidden="false" customHeight="true" outlineLevel="0" collapsed="false">
      <c r="A30" s="417" t="s">
        <v>266</v>
      </c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28"/>
    </row>
    <row r="31" customFormat="false" ht="13.8" hidden="false" customHeight="false" outlineLevel="0" collapsed="false">
      <c r="A31" s="417"/>
      <c r="B31" s="417"/>
      <c r="C31" s="417"/>
      <c r="D31" s="417"/>
      <c r="E31" s="417"/>
      <c r="F31" s="417"/>
      <c r="G31" s="417"/>
      <c r="H31" s="417"/>
      <c r="I31" s="417"/>
      <c r="J31" s="417"/>
      <c r="K31" s="417"/>
      <c r="L31" s="417"/>
      <c r="M31" s="417"/>
      <c r="N31" s="417"/>
      <c r="O31" s="417"/>
      <c r="P31" s="417"/>
      <c r="Q31" s="417"/>
      <c r="R31" s="28"/>
    </row>
    <row r="32" customFormat="false" ht="7.5" hidden="false" customHeight="true" outlineLevel="0" collapsed="false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7"/>
      <c r="P32" s="417"/>
      <c r="Q32" s="417"/>
      <c r="R32" s="29"/>
    </row>
    <row r="33" customFormat="false" ht="18" hidden="false" customHeight="true" outlineLevel="0" collapsed="false">
      <c r="A33" s="30" t="s">
        <v>1</v>
      </c>
      <c r="B33" s="31" t="s">
        <v>29</v>
      </c>
      <c r="C33" s="32" t="s">
        <v>3</v>
      </c>
      <c r="D33" s="32"/>
      <c r="E33" s="32"/>
      <c r="F33" s="32"/>
      <c r="G33" s="32"/>
      <c r="H33" s="32" t="s">
        <v>4</v>
      </c>
      <c r="I33" s="32"/>
      <c r="J33" s="32"/>
      <c r="K33" s="32"/>
      <c r="L33" s="32"/>
      <c r="M33" s="32" t="s">
        <v>5</v>
      </c>
      <c r="N33" s="33"/>
      <c r="O33" s="31" t="s">
        <v>30</v>
      </c>
      <c r="P33" s="34" t="s">
        <v>31</v>
      </c>
      <c r="Q33" s="36" t="s">
        <v>32</v>
      </c>
      <c r="R33" s="35"/>
    </row>
    <row r="34" customFormat="false" ht="43.5" hidden="false" customHeight="false" outlineLevel="0" collapsed="false">
      <c r="A34" s="30"/>
      <c r="B34" s="31"/>
      <c r="C34" s="36" t="s">
        <v>9</v>
      </c>
      <c r="D34" s="36" t="s">
        <v>33</v>
      </c>
      <c r="E34" s="37" t="s">
        <v>189</v>
      </c>
      <c r="F34" s="36" t="s">
        <v>12</v>
      </c>
      <c r="G34" s="36" t="s">
        <v>35</v>
      </c>
      <c r="H34" s="37" t="s">
        <v>189</v>
      </c>
      <c r="I34" s="36" t="s">
        <v>13</v>
      </c>
      <c r="J34" s="36" t="s">
        <v>33</v>
      </c>
      <c r="K34" s="37" t="s">
        <v>189</v>
      </c>
      <c r="L34" s="36" t="s">
        <v>13</v>
      </c>
      <c r="M34" s="36" t="s">
        <v>33</v>
      </c>
      <c r="N34" s="37" t="s">
        <v>189</v>
      </c>
      <c r="O34" s="31"/>
      <c r="P34" s="34"/>
      <c r="Q34" s="36"/>
      <c r="R34" s="38"/>
    </row>
    <row r="35" customFormat="false" ht="13.8" hidden="false" customHeight="false" outlineLevel="0" collapsed="false">
      <c r="A35" s="39"/>
      <c r="B35" s="40" t="s">
        <v>36</v>
      </c>
      <c r="C35" s="39"/>
      <c r="D35" s="39"/>
      <c r="E35" s="39"/>
      <c r="F35" s="39"/>
      <c r="G35" s="39"/>
      <c r="H35" s="39"/>
      <c r="I35" s="39"/>
      <c r="J35" s="39"/>
      <c r="K35" s="41"/>
      <c r="L35" s="39"/>
      <c r="M35" s="39"/>
      <c r="N35" s="39"/>
      <c r="O35" s="39"/>
      <c r="P35" s="42"/>
      <c r="Q35" s="42"/>
      <c r="R35" s="43"/>
    </row>
    <row r="36" customFormat="false" ht="13.8" hidden="false" customHeight="false" outlineLevel="0" collapsed="false">
      <c r="A36" s="44" t="s">
        <v>37</v>
      </c>
      <c r="B36" s="44"/>
      <c r="C36" s="44" t="n">
        <v>3</v>
      </c>
      <c r="D36" s="44" t="n">
        <v>4</v>
      </c>
      <c r="E36" s="45" t="n">
        <v>5</v>
      </c>
      <c r="F36" s="44" t="n">
        <v>6</v>
      </c>
      <c r="G36" s="44" t="n">
        <v>7</v>
      </c>
      <c r="H36" s="44" t="n">
        <v>8</v>
      </c>
      <c r="I36" s="44" t="n">
        <v>9</v>
      </c>
      <c r="J36" s="44" t="n">
        <v>10</v>
      </c>
      <c r="K36" s="44" t="n">
        <v>11</v>
      </c>
      <c r="L36" s="44" t="n">
        <v>12</v>
      </c>
      <c r="M36" s="44" t="n">
        <v>13</v>
      </c>
      <c r="N36" s="44" t="n">
        <v>14</v>
      </c>
      <c r="O36" s="44" t="n">
        <v>15</v>
      </c>
      <c r="P36" s="45" t="n">
        <v>16</v>
      </c>
      <c r="Q36" s="44" t="n">
        <v>17</v>
      </c>
      <c r="R36" s="46"/>
    </row>
    <row r="37" customFormat="false" ht="13.8" hidden="false" customHeight="false" outlineLevel="0" collapsed="false">
      <c r="A37" s="47" t="n">
        <v>1</v>
      </c>
      <c r="B37" s="48" t="s">
        <v>38</v>
      </c>
      <c r="C37" s="49" t="n">
        <v>121632</v>
      </c>
      <c r="D37" s="49" t="n">
        <v>165436</v>
      </c>
      <c r="E37" s="50" t="n">
        <f aca="false">C37/D37*100-100</f>
        <v>-26.4779129089195</v>
      </c>
      <c r="F37" s="49" t="n">
        <v>10678</v>
      </c>
      <c r="G37" s="49" t="n">
        <v>17334</v>
      </c>
      <c r="H37" s="50" t="n">
        <f aca="false">F37/G37*100-100</f>
        <v>-38.3985231337256</v>
      </c>
      <c r="I37" s="49" t="n">
        <v>109549</v>
      </c>
      <c r="J37" s="49" t="n">
        <v>165436</v>
      </c>
      <c r="K37" s="50" t="n">
        <f aca="false">I37/J37*100-100</f>
        <v>-33.7816436567615</v>
      </c>
      <c r="L37" s="49" t="n">
        <v>1672</v>
      </c>
      <c r="M37" s="49" t="n">
        <v>10302</v>
      </c>
      <c r="N37" s="50" t="n">
        <f aca="false">L37/M37*100-100</f>
        <v>-83.7701417200544</v>
      </c>
      <c r="O37" s="49" t="n">
        <v>71</v>
      </c>
      <c r="P37" s="49" t="n">
        <v>113</v>
      </c>
      <c r="Q37" s="49" t="n">
        <v>72</v>
      </c>
      <c r="R37" s="51" t="n">
        <f aca="false">O37*P37</f>
        <v>8023</v>
      </c>
    </row>
    <row r="38" customFormat="false" ht="13.8" hidden="false" customHeight="false" outlineLevel="0" collapsed="false">
      <c r="A38" s="47" t="n">
        <v>2</v>
      </c>
      <c r="B38" s="48" t="s">
        <v>39</v>
      </c>
      <c r="C38" s="49" t="n">
        <v>3027574</v>
      </c>
      <c r="D38" s="49" t="n">
        <v>4014026</v>
      </c>
      <c r="E38" s="50" t="n">
        <f aca="false">C38/D38*100-100</f>
        <v>-24.5751273160662</v>
      </c>
      <c r="F38" s="49" t="n">
        <v>33094</v>
      </c>
      <c r="G38" s="49" t="n">
        <v>521574</v>
      </c>
      <c r="H38" s="50" t="n">
        <f aca="false">F38/G38*100-100</f>
        <v>-93.6549751329629</v>
      </c>
      <c r="I38" s="49" t="n">
        <v>3027574</v>
      </c>
      <c r="J38" s="49" t="n">
        <v>4014026</v>
      </c>
      <c r="K38" s="50" t="n">
        <f aca="false">I38/J38*100-100</f>
        <v>-24.5751273160662</v>
      </c>
      <c r="L38" s="49" t="n">
        <v>170885</v>
      </c>
      <c r="M38" s="49" t="n">
        <v>239247</v>
      </c>
      <c r="N38" s="50" t="n">
        <v>0</v>
      </c>
      <c r="O38" s="52" t="n">
        <v>72</v>
      </c>
      <c r="P38" s="53" t="n">
        <v>202</v>
      </c>
      <c r="Q38" s="52" t="n">
        <v>91</v>
      </c>
      <c r="R38" s="51" t="n">
        <f aca="false">O38*P38</f>
        <v>14544</v>
      </c>
    </row>
    <row r="39" customFormat="false" ht="13.8" hidden="false" customHeight="false" outlineLevel="0" collapsed="false">
      <c r="A39" s="47" t="n">
        <v>3</v>
      </c>
      <c r="B39" s="48" t="s">
        <v>40</v>
      </c>
      <c r="C39" s="49" t="n">
        <v>69181</v>
      </c>
      <c r="D39" s="49" t="n">
        <v>100167</v>
      </c>
      <c r="E39" s="50" t="n">
        <f aca="false">C39/D39*100-100</f>
        <v>-30.9343396527799</v>
      </c>
      <c r="F39" s="49" t="n">
        <v>6484</v>
      </c>
      <c r="G39" s="49" t="n">
        <v>10322</v>
      </c>
      <c r="H39" s="50" t="n">
        <f aca="false">F39/G39*100-100</f>
        <v>-37.1827165278047</v>
      </c>
      <c r="I39" s="49" t="n">
        <v>106784</v>
      </c>
      <c r="J39" s="49" t="n">
        <v>146826</v>
      </c>
      <c r="K39" s="50" t="n">
        <f aca="false">I39/J39*100-100</f>
        <v>-27.2717366134063</v>
      </c>
      <c r="L39" s="49" t="n">
        <v>0</v>
      </c>
      <c r="M39" s="49" t="n">
        <v>0</v>
      </c>
      <c r="N39" s="50" t="n">
        <v>0</v>
      </c>
      <c r="O39" s="52" t="n">
        <v>32</v>
      </c>
      <c r="P39" s="53" t="n">
        <v>90</v>
      </c>
      <c r="Q39" s="52" t="n">
        <v>32</v>
      </c>
      <c r="R39" s="51" t="n">
        <f aca="false">O39*P39</f>
        <v>2880</v>
      </c>
    </row>
    <row r="40" customFormat="false" ht="13.8" hidden="false" customHeight="false" outlineLevel="0" collapsed="false">
      <c r="A40" s="47" t="n">
        <v>4</v>
      </c>
      <c r="B40" s="48" t="s">
        <v>215</v>
      </c>
      <c r="C40" s="49" t="n">
        <v>24230</v>
      </c>
      <c r="D40" s="49" t="n">
        <v>20750</v>
      </c>
      <c r="E40" s="50" t="n">
        <f aca="false">C40/D40*100-100</f>
        <v>16.7710843373494</v>
      </c>
      <c r="F40" s="49" t="n">
        <v>0</v>
      </c>
      <c r="G40" s="49" t="n">
        <v>0</v>
      </c>
      <c r="H40" s="50" t="n">
        <v>0</v>
      </c>
      <c r="I40" s="49" t="n">
        <v>27909</v>
      </c>
      <c r="J40" s="49" t="n">
        <v>30453</v>
      </c>
      <c r="K40" s="50" t="n">
        <f aca="false">I40/J40*100-100</f>
        <v>-8.35385676288051</v>
      </c>
      <c r="L40" s="49" t="n">
        <v>27909</v>
      </c>
      <c r="M40" s="49" t="n">
        <v>30453</v>
      </c>
      <c r="N40" s="50" t="n">
        <v>0</v>
      </c>
      <c r="O40" s="52" t="n">
        <v>13</v>
      </c>
      <c r="P40" s="53" t="n">
        <v>60</v>
      </c>
      <c r="Q40" s="52" t="n">
        <v>14</v>
      </c>
      <c r="R40" s="51" t="n">
        <f aca="false">O40*P40</f>
        <v>780</v>
      </c>
    </row>
    <row r="41" customFormat="false" ht="13.8" hidden="false" customHeight="false" outlineLevel="0" collapsed="false">
      <c r="A41" s="47" t="n">
        <v>5</v>
      </c>
      <c r="B41" s="48" t="s">
        <v>248</v>
      </c>
      <c r="C41" s="55" t="n">
        <v>41612</v>
      </c>
      <c r="D41" s="55" t="n">
        <v>50943</v>
      </c>
      <c r="E41" s="50" t="n">
        <f aca="false">C41/D41*100-100</f>
        <v>-18.316549869462</v>
      </c>
      <c r="F41" s="55" t="n">
        <v>2470</v>
      </c>
      <c r="G41" s="55" t="n">
        <v>2285</v>
      </c>
      <c r="H41" s="50" t="n">
        <f aca="false">F41/G41*100-100</f>
        <v>8.09628008752736</v>
      </c>
      <c r="I41" s="55" t="n">
        <v>55942</v>
      </c>
      <c r="J41" s="55" t="n">
        <v>58228</v>
      </c>
      <c r="K41" s="50" t="n">
        <f aca="false">I41/J41*100-100</f>
        <v>-3.92594628014014</v>
      </c>
      <c r="L41" s="55" t="n">
        <v>10049</v>
      </c>
      <c r="M41" s="55" t="n">
        <f aca="false">7464+3284</f>
        <v>10748</v>
      </c>
      <c r="N41" s="50" t="n">
        <f aca="false">L41/M41*100-100</f>
        <v>-6.50353554149609</v>
      </c>
      <c r="O41" s="52" t="n">
        <v>56</v>
      </c>
      <c r="P41" s="53" t="n">
        <v>75</v>
      </c>
      <c r="Q41" s="52" t="n">
        <v>58</v>
      </c>
      <c r="R41" s="51" t="n">
        <f aca="false">O41*P41</f>
        <v>4200</v>
      </c>
    </row>
    <row r="42" customFormat="false" ht="13.8" hidden="false" customHeight="false" outlineLevel="0" collapsed="false">
      <c r="A42" s="47" t="n">
        <v>6</v>
      </c>
      <c r="B42" s="48" t="s">
        <v>43</v>
      </c>
      <c r="C42" s="56" t="n">
        <v>137312</v>
      </c>
      <c r="D42" s="49" t="n">
        <v>104509</v>
      </c>
      <c r="E42" s="50" t="n">
        <f aca="false">C42/D42*100-100</f>
        <v>31.3877273727622</v>
      </c>
      <c r="F42" s="49" t="n">
        <v>9414</v>
      </c>
      <c r="G42" s="49" t="n">
        <v>7751</v>
      </c>
      <c r="H42" s="50" t="n">
        <f aca="false">F42/G42*100-100</f>
        <v>21.455296090827</v>
      </c>
      <c r="I42" s="49" t="n">
        <v>139101</v>
      </c>
      <c r="J42" s="49" t="n">
        <v>101604</v>
      </c>
      <c r="K42" s="50" t="n">
        <f aca="false">I42/J42*100-100</f>
        <v>36.905043108539</v>
      </c>
      <c r="L42" s="49" t="n">
        <v>586</v>
      </c>
      <c r="M42" s="49" t="n">
        <v>1888</v>
      </c>
      <c r="N42" s="50" t="n">
        <v>0</v>
      </c>
      <c r="O42" s="52" t="n">
        <v>65</v>
      </c>
      <c r="P42" s="53" t="n">
        <v>100</v>
      </c>
      <c r="Q42" s="52" t="n">
        <v>66</v>
      </c>
      <c r="R42" s="51" t="n">
        <f aca="false">O42*P42</f>
        <v>6500</v>
      </c>
    </row>
    <row r="43" customFormat="false" ht="13.8" hidden="false" customHeight="false" outlineLevel="0" collapsed="false">
      <c r="A43" s="47" t="n">
        <v>7</v>
      </c>
      <c r="B43" s="48" t="s">
        <v>44</v>
      </c>
      <c r="C43" s="49" t="n">
        <v>0</v>
      </c>
      <c r="D43" s="49" t="n">
        <v>0</v>
      </c>
      <c r="E43" s="50" t="n">
        <v>0</v>
      </c>
      <c r="F43" s="49" t="n">
        <v>0</v>
      </c>
      <c r="G43" s="49" t="n">
        <v>0</v>
      </c>
      <c r="H43" s="50" t="n">
        <v>0</v>
      </c>
      <c r="I43" s="49" t="n">
        <v>0</v>
      </c>
      <c r="J43" s="49" t="n">
        <v>0</v>
      </c>
      <c r="K43" s="50" t="n">
        <v>0</v>
      </c>
      <c r="L43" s="49" t="n">
        <v>0</v>
      </c>
      <c r="M43" s="49" t="n">
        <v>0</v>
      </c>
      <c r="N43" s="50" t="n">
        <v>0</v>
      </c>
      <c r="O43" s="52" t="n">
        <v>0</v>
      </c>
      <c r="P43" s="53" t="n">
        <v>0</v>
      </c>
      <c r="Q43" s="52" t="n">
        <v>0</v>
      </c>
      <c r="R43" s="51" t="n">
        <f aca="false">O43*P43</f>
        <v>0</v>
      </c>
    </row>
    <row r="44" customFormat="false" ht="13.8" hidden="false" customHeight="false" outlineLevel="0" collapsed="false">
      <c r="A44" s="47" t="n">
        <v>8</v>
      </c>
      <c r="B44" s="48" t="s">
        <v>45</v>
      </c>
      <c r="C44" s="55" t="n">
        <v>139329</v>
      </c>
      <c r="D44" s="55" t="n">
        <v>119123</v>
      </c>
      <c r="E44" s="50" t="n">
        <f aca="false">C44/D44*100-100</f>
        <v>16.9622994719743</v>
      </c>
      <c r="F44" s="55" t="n">
        <v>12416</v>
      </c>
      <c r="G44" s="55" t="n">
        <v>19465</v>
      </c>
      <c r="H44" s="50" t="n">
        <f aca="false">F44/G44*100-100</f>
        <v>-36.2137169278192</v>
      </c>
      <c r="I44" s="55" t="n">
        <v>139091</v>
      </c>
      <c r="J44" s="55" t="n">
        <v>122608</v>
      </c>
      <c r="K44" s="50" t="n">
        <f aca="false">I44/J44*100-100</f>
        <v>13.4436578363565</v>
      </c>
      <c r="L44" s="49" t="n">
        <v>0</v>
      </c>
      <c r="M44" s="49" t="n">
        <v>0</v>
      </c>
      <c r="N44" s="50" t="n">
        <v>0</v>
      </c>
      <c r="O44" s="52" t="n">
        <v>44</v>
      </c>
      <c r="P44" s="53" t="n">
        <v>100</v>
      </c>
      <c r="Q44" s="52" t="n">
        <v>44</v>
      </c>
      <c r="R44" s="51" t="n">
        <f aca="false">O44*P44</f>
        <v>4400</v>
      </c>
    </row>
    <row r="45" customFormat="false" ht="13.8" hidden="false" customHeight="false" outlineLevel="0" collapsed="false">
      <c r="A45" s="47" t="n">
        <v>9</v>
      </c>
      <c r="B45" s="48" t="s">
        <v>46</v>
      </c>
      <c r="C45" s="58" t="n">
        <v>290211</v>
      </c>
      <c r="D45" s="49" t="n">
        <v>293989</v>
      </c>
      <c r="E45" s="50" t="n">
        <f aca="false">C45/D45*100-100</f>
        <v>-1.2850820949083</v>
      </c>
      <c r="F45" s="58" t="n">
        <v>19617</v>
      </c>
      <c r="G45" s="49" t="n">
        <v>14882</v>
      </c>
      <c r="H45" s="50" t="n">
        <f aca="false">F45/G45*100-100</f>
        <v>31.8169600860099</v>
      </c>
      <c r="I45" s="49" t="n">
        <v>271061</v>
      </c>
      <c r="J45" s="49" t="n">
        <v>298074</v>
      </c>
      <c r="K45" s="50" t="n">
        <f aca="false">I45/J45*100-100</f>
        <v>-9.0625146775633</v>
      </c>
      <c r="L45" s="49" t="n">
        <v>0</v>
      </c>
      <c r="M45" s="49" t="n">
        <v>0</v>
      </c>
      <c r="N45" s="50" t="n">
        <v>0</v>
      </c>
      <c r="O45" s="52" t="n">
        <v>69</v>
      </c>
      <c r="P45" s="53" t="n">
        <v>98</v>
      </c>
      <c r="Q45" s="52" t="n">
        <v>68</v>
      </c>
      <c r="R45" s="51" t="n">
        <f aca="false">O45*P45</f>
        <v>6762</v>
      </c>
    </row>
    <row r="46" customFormat="false" ht="13.8" hidden="false" customHeight="false" outlineLevel="0" collapsed="false">
      <c r="A46" s="60" t="n">
        <v>10</v>
      </c>
      <c r="B46" s="48" t="s">
        <v>47</v>
      </c>
      <c r="C46" s="58" t="n">
        <v>786219</v>
      </c>
      <c r="D46" s="49" t="n">
        <v>995114</v>
      </c>
      <c r="E46" s="50" t="n">
        <f aca="false">C46/D46*100-100</f>
        <v>-20.9920672405373</v>
      </c>
      <c r="F46" s="58" t="n">
        <v>90326</v>
      </c>
      <c r="G46" s="49" t="n">
        <v>0</v>
      </c>
      <c r="H46" s="50" t="n">
        <v>0</v>
      </c>
      <c r="I46" s="49" t="n">
        <v>804203</v>
      </c>
      <c r="J46" s="49" t="n">
        <v>912611</v>
      </c>
      <c r="K46" s="50" t="n">
        <f aca="false">I46/J46*100-100</f>
        <v>-11.8788837741382</v>
      </c>
      <c r="L46" s="49" t="n">
        <v>801544</v>
      </c>
      <c r="M46" s="49" t="n">
        <v>906394</v>
      </c>
      <c r="N46" s="50" t="n">
        <f aca="false">L46/M46*100-100</f>
        <v>-11.5678170861678</v>
      </c>
      <c r="O46" s="52" t="n">
        <v>183</v>
      </c>
      <c r="P46" s="53" t="n">
        <v>84</v>
      </c>
      <c r="Q46" s="52" t="n">
        <v>180</v>
      </c>
      <c r="R46" s="51" t="n">
        <f aca="false">O46*P46</f>
        <v>15372</v>
      </c>
    </row>
    <row r="47" customFormat="false" ht="13.8" hidden="false" customHeight="false" outlineLevel="0" collapsed="false">
      <c r="A47" s="47" t="n">
        <v>11</v>
      </c>
      <c r="B47" s="48" t="s">
        <v>48</v>
      </c>
      <c r="C47" s="58" t="n">
        <v>29500</v>
      </c>
      <c r="D47" s="49" t="n">
        <v>45354</v>
      </c>
      <c r="E47" s="50" t="n">
        <f aca="false">C47/D47*100-100</f>
        <v>-34.956122943952</v>
      </c>
      <c r="F47" s="49" t="n">
        <v>15012</v>
      </c>
      <c r="G47" s="49" t="n">
        <v>4103</v>
      </c>
      <c r="H47" s="50" t="n">
        <v>0</v>
      </c>
      <c r="I47" s="49" t="n">
        <v>28033</v>
      </c>
      <c r="J47" s="49" t="n">
        <v>53210</v>
      </c>
      <c r="K47" s="50" t="n">
        <v>0</v>
      </c>
      <c r="L47" s="58" t="n">
        <v>28033</v>
      </c>
      <c r="M47" s="49" t="n">
        <v>53210</v>
      </c>
      <c r="N47" s="50" t="n">
        <v>0</v>
      </c>
      <c r="O47" s="52" t="n">
        <v>23</v>
      </c>
      <c r="P47" s="53" t="n">
        <v>90</v>
      </c>
      <c r="Q47" s="52" t="n">
        <v>22</v>
      </c>
      <c r="R47" s="51" t="n">
        <f aca="false">O47*P47</f>
        <v>2070</v>
      </c>
    </row>
    <row r="48" customFormat="false" ht="13.8" hidden="false" customHeight="false" outlineLevel="0" collapsed="false">
      <c r="A48" s="47" t="n">
        <v>12</v>
      </c>
      <c r="B48" s="48" t="s">
        <v>49</v>
      </c>
      <c r="C48" s="49" t="n">
        <v>67762</v>
      </c>
      <c r="D48" s="49" t="n">
        <v>88984</v>
      </c>
      <c r="E48" s="50" t="n">
        <f aca="false">C48/D48*100-100</f>
        <v>-23.8492313224849</v>
      </c>
      <c r="F48" s="62" t="n">
        <v>0</v>
      </c>
      <c r="G48" s="62" t="n">
        <v>0</v>
      </c>
      <c r="H48" s="50" t="n">
        <v>0</v>
      </c>
      <c r="I48" s="62" t="n">
        <v>78500</v>
      </c>
      <c r="J48" s="62" t="n">
        <v>99936</v>
      </c>
      <c r="K48" s="50" t="n">
        <f aca="false">I48/J48*100-100</f>
        <v>-21.4497278258085</v>
      </c>
      <c r="L48" s="57" t="n">
        <v>69431</v>
      </c>
      <c r="M48" s="62" t="n">
        <v>94375</v>
      </c>
      <c r="N48" s="50" t="n">
        <f aca="false">L48/M48*100-100</f>
        <v>-26.4307284768212</v>
      </c>
      <c r="O48" s="52" t="n">
        <v>27</v>
      </c>
      <c r="P48" s="53" t="n">
        <v>138</v>
      </c>
      <c r="Q48" s="52" t="n">
        <v>27</v>
      </c>
      <c r="R48" s="51" t="n">
        <f aca="false">O48*P48</f>
        <v>3726</v>
      </c>
    </row>
    <row r="49" customFormat="false" ht="13.8" hidden="false" customHeight="false" outlineLevel="0" collapsed="false">
      <c r="A49" s="47" t="n">
        <v>13</v>
      </c>
      <c r="B49" s="48" t="s">
        <v>50</v>
      </c>
      <c r="C49" s="56" t="n">
        <v>305552</v>
      </c>
      <c r="D49" s="56" t="n">
        <v>377561</v>
      </c>
      <c r="E49" s="50" t="n">
        <f aca="false">C49/D49*100-100</f>
        <v>-19.0721499307397</v>
      </c>
      <c r="F49" s="56" t="n">
        <v>12665</v>
      </c>
      <c r="G49" s="56" t="n">
        <v>36644</v>
      </c>
      <c r="H49" s="50" t="n">
        <f aca="false">F49/G49*100-100</f>
        <v>-65.437725139177</v>
      </c>
      <c r="I49" s="49" t="n">
        <v>310435</v>
      </c>
      <c r="J49" s="49" t="n">
        <v>366413</v>
      </c>
      <c r="K49" s="50" t="n">
        <f aca="false">I49/J49*100-100</f>
        <v>-15.2772963841348</v>
      </c>
      <c r="L49" s="56" t="n">
        <v>0</v>
      </c>
      <c r="M49" s="56" t="n">
        <v>3429</v>
      </c>
      <c r="N49" s="50" t="n">
        <v>0</v>
      </c>
      <c r="O49" s="52" t="n">
        <v>66</v>
      </c>
      <c r="P49" s="53" t="n">
        <v>150</v>
      </c>
      <c r="Q49" s="52" t="n">
        <v>66</v>
      </c>
      <c r="R49" s="51" t="n">
        <f aca="false">O49*P49</f>
        <v>9900</v>
      </c>
    </row>
    <row r="50" customFormat="false" ht="13.8" hidden="false" customHeight="false" outlineLevel="0" collapsed="false">
      <c r="A50" s="47" t="n">
        <v>14</v>
      </c>
      <c r="B50" s="48" t="s">
        <v>216</v>
      </c>
      <c r="C50" s="52" t="n">
        <v>21497</v>
      </c>
      <c r="D50" s="52" t="n">
        <v>17115</v>
      </c>
      <c r="E50" s="50" t="n">
        <f aca="false">C50/D50*100-100</f>
        <v>25.6032719836401</v>
      </c>
      <c r="F50" s="52" t="n">
        <v>2106</v>
      </c>
      <c r="G50" s="52" t="n">
        <v>1809</v>
      </c>
      <c r="H50" s="50" t="n">
        <f aca="false">F50/G50*100-100</f>
        <v>16.4179104477612</v>
      </c>
      <c r="I50" s="52" t="n">
        <v>20719</v>
      </c>
      <c r="J50" s="52" t="n">
        <v>19718</v>
      </c>
      <c r="K50" s="50" t="n">
        <f aca="false">I50/J50*100-100</f>
        <v>5.07657977482504</v>
      </c>
      <c r="L50" s="52" t="n">
        <v>1576</v>
      </c>
      <c r="M50" s="52" t="n">
        <v>0</v>
      </c>
      <c r="N50" s="50" t="n">
        <v>0</v>
      </c>
      <c r="O50" s="52" t="n">
        <v>15</v>
      </c>
      <c r="P50" s="53" t="n">
        <v>80</v>
      </c>
      <c r="Q50" s="52" t="n">
        <v>13</v>
      </c>
      <c r="R50" s="51" t="n">
        <f aca="false">O50*P50</f>
        <v>1200</v>
      </c>
    </row>
    <row r="51" customFormat="false" ht="13.8" hidden="false" customHeight="false" outlineLevel="0" collapsed="false">
      <c r="A51" s="47" t="n">
        <v>15</v>
      </c>
      <c r="B51" s="48" t="s">
        <v>52</v>
      </c>
      <c r="C51" s="52" t="n">
        <v>199015</v>
      </c>
      <c r="D51" s="49" t="n">
        <v>338256</v>
      </c>
      <c r="E51" s="52" t="n">
        <f aca="false">C51/D51*100-100</f>
        <v>-41.1643843716002</v>
      </c>
      <c r="F51" s="52" t="n">
        <v>0</v>
      </c>
      <c r="G51" s="52" t="n">
        <v>0</v>
      </c>
      <c r="H51" s="52" t="n">
        <v>0</v>
      </c>
      <c r="I51" s="52" t="n">
        <v>173032</v>
      </c>
      <c r="J51" s="52" t="n">
        <v>476929</v>
      </c>
      <c r="K51" s="52" t="n">
        <f aca="false">I51/J51*100-100</f>
        <v>-63.7195473540087</v>
      </c>
      <c r="L51" s="52" t="n">
        <v>166156</v>
      </c>
      <c r="M51" s="52" t="n">
        <f aca="false">449031+16473</f>
        <v>465504</v>
      </c>
      <c r="N51" s="50" t="n">
        <f aca="false">L51/M51*100-100</f>
        <v>-64.3062143397264</v>
      </c>
      <c r="O51" s="52" t="n">
        <v>50</v>
      </c>
      <c r="P51" s="53" t="n">
        <v>114</v>
      </c>
      <c r="Q51" s="52" t="n">
        <v>50</v>
      </c>
      <c r="R51" s="51" t="n">
        <f aca="false">O51*P51</f>
        <v>5700</v>
      </c>
    </row>
    <row r="52" customFormat="false" ht="13.8" hidden="false" customHeight="false" outlineLevel="0" collapsed="false">
      <c r="A52" s="47" t="n">
        <v>16</v>
      </c>
      <c r="B52" s="48" t="s">
        <v>53</v>
      </c>
      <c r="C52" s="49" t="n">
        <v>3001</v>
      </c>
      <c r="D52" s="59" t="n">
        <v>3106</v>
      </c>
      <c r="E52" s="50" t="n">
        <f aca="false">C52/D52*100-100</f>
        <v>-3.38055376690278</v>
      </c>
      <c r="F52" s="49" t="n">
        <v>17</v>
      </c>
      <c r="G52" s="49" t="n">
        <v>0</v>
      </c>
      <c r="H52" s="50" t="n">
        <v>0</v>
      </c>
      <c r="I52" s="49" t="n">
        <v>3001</v>
      </c>
      <c r="J52" s="49" t="n">
        <v>3106</v>
      </c>
      <c r="K52" s="50" t="n">
        <f aca="false">I52/J52*100-100</f>
        <v>-3.38055376690278</v>
      </c>
      <c r="L52" s="49" t="n">
        <v>0</v>
      </c>
      <c r="M52" s="49" t="n">
        <v>0</v>
      </c>
      <c r="N52" s="50" t="n">
        <v>0</v>
      </c>
      <c r="O52" s="52" t="n">
        <v>3</v>
      </c>
      <c r="P52" s="53" t="n">
        <v>45</v>
      </c>
      <c r="Q52" s="52" t="n">
        <v>3</v>
      </c>
      <c r="R52" s="51" t="n">
        <f aca="false">O52*P52</f>
        <v>135</v>
      </c>
    </row>
    <row r="53" customFormat="false" ht="13.8" hidden="false" customHeight="false" outlineLevel="0" collapsed="false">
      <c r="A53" s="47" t="n">
        <v>17</v>
      </c>
      <c r="B53" s="48" t="s">
        <v>54</v>
      </c>
      <c r="C53" s="52" t="n">
        <v>21763</v>
      </c>
      <c r="D53" s="52" t="n">
        <v>0</v>
      </c>
      <c r="E53" s="50" t="e">
        <f aca="false">C53/D53*100-100</f>
        <v>#DIV/0!</v>
      </c>
      <c r="F53" s="52" t="n">
        <v>4342</v>
      </c>
      <c r="G53" s="52" t="n">
        <v>0</v>
      </c>
      <c r="H53" s="50" t="n">
        <v>0</v>
      </c>
      <c r="I53" s="52" t="n">
        <v>21763</v>
      </c>
      <c r="J53" s="52" t="n">
        <v>0</v>
      </c>
      <c r="K53" s="72" t="n">
        <v>0</v>
      </c>
      <c r="L53" s="52" t="n">
        <v>0</v>
      </c>
      <c r="M53" s="52" t="n">
        <v>0</v>
      </c>
      <c r="N53" s="50" t="n">
        <v>0</v>
      </c>
      <c r="O53" s="52" t="n">
        <v>2</v>
      </c>
      <c r="P53" s="53" t="n">
        <v>63</v>
      </c>
      <c r="Q53" s="52" t="n">
        <v>4</v>
      </c>
      <c r="R53" s="51" t="n">
        <f aca="false">O53*P53</f>
        <v>126</v>
      </c>
    </row>
    <row r="54" customFormat="false" ht="13.8" hidden="false" customHeight="false" outlineLevel="0" collapsed="false">
      <c r="A54" s="47" t="n">
        <v>18</v>
      </c>
      <c r="B54" s="69" t="s">
        <v>231</v>
      </c>
      <c r="C54" s="52" t="n">
        <v>589189</v>
      </c>
      <c r="D54" s="52" t="n">
        <v>376776</v>
      </c>
      <c r="E54" s="50" t="n">
        <f aca="false">C54/D54*100-100</f>
        <v>56.3764677155658</v>
      </c>
      <c r="F54" s="52" t="n">
        <v>0</v>
      </c>
      <c r="G54" s="52" t="n">
        <v>80442</v>
      </c>
      <c r="H54" s="50" t="n">
        <v>0</v>
      </c>
      <c r="I54" s="52" t="n">
        <v>589189</v>
      </c>
      <c r="J54" s="52" t="n">
        <v>296334</v>
      </c>
      <c r="K54" s="50" t="n">
        <v>0</v>
      </c>
      <c r="L54" s="52" t="n">
        <f aca="false">553369+4875</f>
        <v>558244</v>
      </c>
      <c r="M54" s="52" t="n">
        <f aca="false">210167+54020</f>
        <v>264187</v>
      </c>
      <c r="N54" s="50" t="n">
        <v>0</v>
      </c>
      <c r="O54" s="52" t="n">
        <v>125</v>
      </c>
      <c r="P54" s="53" t="n">
        <v>85</v>
      </c>
      <c r="Q54" s="52" t="n">
        <v>125</v>
      </c>
      <c r="R54" s="51" t="n">
        <f aca="false">O54*P54</f>
        <v>10625</v>
      </c>
    </row>
    <row r="55" customFormat="false" ht="13.8" hidden="false" customHeight="false" outlineLevel="0" collapsed="false">
      <c r="A55" s="64" t="s">
        <v>55</v>
      </c>
      <c r="B55" s="64"/>
      <c r="C55" s="65" t="n">
        <f aca="false">SUM(C37:C54)</f>
        <v>5874579</v>
      </c>
      <c r="D55" s="65" t="n">
        <f aca="false">SUM(D37:D54)</f>
        <v>7111209</v>
      </c>
      <c r="E55" s="418" t="n">
        <f aca="false">C55/D55*100-100</f>
        <v>-17.3898699925709</v>
      </c>
      <c r="F55" s="65" t="n">
        <f aca="false">SUM(F37:F54)</f>
        <v>218641</v>
      </c>
      <c r="G55" s="65" t="n">
        <f aca="false">SUM(G37:G54)</f>
        <v>716611</v>
      </c>
      <c r="H55" s="418" t="n">
        <f aca="false">F55/G55*100-100</f>
        <v>-69.4895836095176</v>
      </c>
      <c r="I55" s="65" t="n">
        <f aca="false">SUM(I37:I54)</f>
        <v>5905886</v>
      </c>
      <c r="J55" s="65" t="n">
        <f aca="false">SUM(J37:J54)</f>
        <v>7165512</v>
      </c>
      <c r="K55" s="418" t="n">
        <f aca="false">I55/J55*100-100</f>
        <v>-17.5790090087073</v>
      </c>
      <c r="L55" s="65" t="n">
        <f aca="false">SUM(L37:L54)</f>
        <v>1836085</v>
      </c>
      <c r="M55" s="65" t="n">
        <f aca="false">SUM(M37:M54)</f>
        <v>2079737</v>
      </c>
      <c r="N55" s="418" t="n">
        <f aca="false">L55/M55*100-100</f>
        <v>-11.7155197988976</v>
      </c>
      <c r="O55" s="65" t="n">
        <f aca="false">SUM(O37:O54)</f>
        <v>916</v>
      </c>
      <c r="P55" s="66" t="n">
        <f aca="false">R55/O55</f>
        <v>105.832969432314</v>
      </c>
      <c r="Q55" s="65" t="n">
        <f aca="false">SUM(Q37:Q54)</f>
        <v>935</v>
      </c>
      <c r="R55" s="65" t="n">
        <f aca="false">SUM(R37:R54)</f>
        <v>96943</v>
      </c>
    </row>
    <row r="56" customFormat="false" ht="13.8" hidden="false" customHeight="false" outlineLevel="0" collapsed="false">
      <c r="A56" s="52"/>
      <c r="B56" s="67"/>
      <c r="C56" s="52"/>
      <c r="D56" s="52"/>
      <c r="E56" s="52"/>
      <c r="F56" s="52"/>
      <c r="G56" s="52"/>
      <c r="H56" s="52"/>
      <c r="I56" s="52"/>
      <c r="J56" s="52"/>
      <c r="K56" s="41"/>
      <c r="L56" s="52"/>
      <c r="M56" s="52"/>
      <c r="N56" s="52"/>
      <c r="O56" s="52"/>
      <c r="P56" s="68"/>
      <c r="Q56" s="52"/>
      <c r="R56" s="46"/>
    </row>
    <row r="57" customFormat="false" ht="13.8" hidden="false" customHeight="false" outlineLevel="0" collapsed="false">
      <c r="A57" s="44" t="s">
        <v>56</v>
      </c>
      <c r="B57" s="44"/>
      <c r="C57" s="44" t="n">
        <v>3</v>
      </c>
      <c r="D57" s="44" t="n">
        <v>4</v>
      </c>
      <c r="E57" s="45" t="n">
        <v>5</v>
      </c>
      <c r="F57" s="44" t="n">
        <v>6</v>
      </c>
      <c r="G57" s="44" t="n">
        <v>7</v>
      </c>
      <c r="H57" s="44" t="n">
        <v>8</v>
      </c>
      <c r="I57" s="44" t="n">
        <v>9</v>
      </c>
      <c r="J57" s="44" t="n">
        <v>10</v>
      </c>
      <c r="K57" s="44" t="n">
        <v>11</v>
      </c>
      <c r="L57" s="44" t="n">
        <v>12</v>
      </c>
      <c r="M57" s="44" t="n">
        <v>13</v>
      </c>
      <c r="N57" s="44" t="n">
        <v>14</v>
      </c>
      <c r="O57" s="44" t="n">
        <v>15</v>
      </c>
      <c r="P57" s="45" t="n">
        <v>16</v>
      </c>
      <c r="Q57" s="44" t="n">
        <v>17</v>
      </c>
      <c r="R57" s="46"/>
    </row>
    <row r="58" customFormat="false" ht="13.8" hidden="false" customHeight="false" outlineLevel="0" collapsed="false">
      <c r="A58" s="53" t="n">
        <v>1</v>
      </c>
      <c r="B58" s="69" t="s">
        <v>57</v>
      </c>
      <c r="C58" s="70" t="n">
        <v>479083</v>
      </c>
      <c r="D58" s="71" t="n">
        <v>518539</v>
      </c>
      <c r="E58" s="50" t="n">
        <f aca="false">C58/D58*100-100</f>
        <v>-7.60907087027205</v>
      </c>
      <c r="F58" s="71" t="n">
        <v>25851</v>
      </c>
      <c r="G58" s="72" t="n">
        <v>15403</v>
      </c>
      <c r="H58" s="72" t="n">
        <f aca="false">F58/G58*100-100</f>
        <v>67.830942024281</v>
      </c>
      <c r="I58" s="71" t="n">
        <v>495891</v>
      </c>
      <c r="J58" s="71" t="n">
        <v>513842</v>
      </c>
      <c r="K58" s="50" t="n">
        <f aca="false">I58/J58*100-100</f>
        <v>-3.49348632459005</v>
      </c>
      <c r="L58" s="71" t="n">
        <v>491509</v>
      </c>
      <c r="M58" s="71" t="n">
        <v>510859</v>
      </c>
      <c r="N58" s="50" t="n">
        <f aca="false">L58/M58*100-100</f>
        <v>-3.78773790811164</v>
      </c>
      <c r="O58" s="72" t="n">
        <v>158</v>
      </c>
      <c r="P58" s="71" t="n">
        <v>90</v>
      </c>
      <c r="Q58" s="72" t="n">
        <v>158</v>
      </c>
      <c r="R58" s="51" t="n">
        <f aca="false">O58*P58</f>
        <v>14220</v>
      </c>
    </row>
    <row r="59" customFormat="false" ht="13.8" hidden="false" customHeight="false" outlineLevel="0" collapsed="false">
      <c r="A59" s="73" t="n">
        <v>2</v>
      </c>
      <c r="B59" s="69" t="s">
        <v>58</v>
      </c>
      <c r="C59" s="49" t="n">
        <v>108649</v>
      </c>
      <c r="D59" s="49" t="n">
        <v>133700</v>
      </c>
      <c r="E59" s="50" t="n">
        <f aca="false">C59/D59*100-100</f>
        <v>-18.7367240089753</v>
      </c>
      <c r="F59" s="72" t="n">
        <v>4562</v>
      </c>
      <c r="G59" s="72" t="n">
        <v>3050</v>
      </c>
      <c r="H59" s="72" t="n">
        <f aca="false">F59/G59*100-100</f>
        <v>49.5737704918033</v>
      </c>
      <c r="I59" s="72" t="n">
        <v>88862</v>
      </c>
      <c r="J59" s="72" t="n">
        <v>145463</v>
      </c>
      <c r="K59" s="50" t="n">
        <f aca="false">I59/J59*100-100</f>
        <v>-38.9109258024377</v>
      </c>
      <c r="L59" s="72" t="n">
        <v>10530</v>
      </c>
      <c r="M59" s="72" t="n">
        <v>0</v>
      </c>
      <c r="N59" s="50" t="n">
        <v>0</v>
      </c>
      <c r="O59" s="72" t="n">
        <v>104</v>
      </c>
      <c r="P59" s="72" t="n">
        <v>105</v>
      </c>
      <c r="Q59" s="72" t="n">
        <v>103</v>
      </c>
      <c r="R59" s="51" t="n">
        <f aca="false">O59*P59</f>
        <v>10920</v>
      </c>
    </row>
    <row r="60" customFormat="false" ht="13.8" hidden="false" customHeight="false" outlineLevel="0" collapsed="false">
      <c r="A60" s="73" t="n">
        <v>3</v>
      </c>
      <c r="B60" s="69" t="s">
        <v>59</v>
      </c>
      <c r="C60" s="72" t="n">
        <v>337663</v>
      </c>
      <c r="D60" s="72" t="n">
        <v>307350</v>
      </c>
      <c r="E60" s="50" t="n">
        <f aca="false">C60/D60*100-100</f>
        <v>9.8626972506914</v>
      </c>
      <c r="F60" s="72" t="n">
        <v>30824</v>
      </c>
      <c r="G60" s="72" t="n">
        <v>25159</v>
      </c>
      <c r="H60" s="50" t="n">
        <f aca="false">F60/G60*100-100</f>
        <v>22.516793195278</v>
      </c>
      <c r="I60" s="72" t="n">
        <v>337663</v>
      </c>
      <c r="J60" s="72" t="n">
        <v>307350</v>
      </c>
      <c r="K60" s="50" t="n">
        <v>0</v>
      </c>
      <c r="L60" s="72" t="n">
        <v>0</v>
      </c>
      <c r="M60" s="72" t="n">
        <v>0</v>
      </c>
      <c r="N60" s="50" t="n">
        <v>0</v>
      </c>
      <c r="O60" s="72" t="n">
        <v>113</v>
      </c>
      <c r="P60" s="72" t="n">
        <v>136</v>
      </c>
      <c r="Q60" s="72" t="n">
        <v>113</v>
      </c>
      <c r="R60" s="51" t="n">
        <f aca="false">O60*P60</f>
        <v>15368</v>
      </c>
    </row>
    <row r="61" customFormat="false" ht="13.8" hidden="false" customHeight="false" outlineLevel="0" collapsed="false">
      <c r="A61" s="53" t="n">
        <v>4</v>
      </c>
      <c r="B61" s="69" t="s">
        <v>60</v>
      </c>
      <c r="C61" s="72" t="n">
        <v>341838</v>
      </c>
      <c r="D61" s="72" t="n">
        <v>309894</v>
      </c>
      <c r="E61" s="50" t="n">
        <f aca="false">C61/D61*100-100</f>
        <v>10.3080408139557</v>
      </c>
      <c r="F61" s="72" t="n">
        <v>14461</v>
      </c>
      <c r="G61" s="72" t="n">
        <v>19867</v>
      </c>
      <c r="H61" s="50" t="n">
        <f aca="false">F61/G61*100-100</f>
        <v>-27.2109528363618</v>
      </c>
      <c r="I61" s="55" t="n">
        <v>343783</v>
      </c>
      <c r="J61" s="55" t="n">
        <v>324224</v>
      </c>
      <c r="K61" s="50" t="n">
        <f aca="false">I61/J61*100-100</f>
        <v>6.03255773786024</v>
      </c>
      <c r="L61" s="72" t="n">
        <f aca="false">113335+585</f>
        <v>113920</v>
      </c>
      <c r="M61" s="72" t="n">
        <f aca="false">132616+5338</f>
        <v>137954</v>
      </c>
      <c r="N61" s="50" t="n">
        <v>0</v>
      </c>
      <c r="O61" s="72" t="n">
        <v>68</v>
      </c>
      <c r="P61" s="72" t="n">
        <v>124</v>
      </c>
      <c r="Q61" s="72" t="n">
        <v>69</v>
      </c>
      <c r="R61" s="51" t="n">
        <f aca="false">O61*P61</f>
        <v>8432</v>
      </c>
    </row>
    <row r="62" customFormat="false" ht="13.8" hidden="false" customHeight="false" outlineLevel="0" collapsed="false">
      <c r="A62" s="73" t="n">
        <v>5</v>
      </c>
      <c r="B62" s="69" t="s">
        <v>61</v>
      </c>
      <c r="C62" s="49" t="n">
        <v>0</v>
      </c>
      <c r="D62" s="49" t="n">
        <v>0</v>
      </c>
      <c r="E62" s="50" t="n">
        <v>0</v>
      </c>
      <c r="F62" s="49" t="n">
        <v>0</v>
      </c>
      <c r="G62" s="49" t="n">
        <v>0</v>
      </c>
      <c r="H62" s="50" t="n">
        <v>0</v>
      </c>
      <c r="I62" s="49" t="n">
        <v>0</v>
      </c>
      <c r="J62" s="49" t="n">
        <v>0</v>
      </c>
      <c r="K62" s="50" t="n">
        <v>0</v>
      </c>
      <c r="L62" s="49" t="n">
        <v>0</v>
      </c>
      <c r="M62" s="49" t="n">
        <v>0</v>
      </c>
      <c r="N62" s="50" t="n">
        <v>0</v>
      </c>
      <c r="O62" s="52" t="n">
        <v>0</v>
      </c>
      <c r="P62" s="53" t="n">
        <v>0</v>
      </c>
      <c r="Q62" s="52" t="n">
        <v>0</v>
      </c>
      <c r="R62" s="51" t="n">
        <f aca="false">O62*P62</f>
        <v>0</v>
      </c>
    </row>
    <row r="63" customFormat="false" ht="13.8" hidden="false" customHeight="false" outlineLevel="0" collapsed="false">
      <c r="A63" s="73" t="n">
        <v>6</v>
      </c>
      <c r="B63" s="69" t="s">
        <v>217</v>
      </c>
      <c r="C63" s="72" t="n">
        <v>58014</v>
      </c>
      <c r="D63" s="72" t="n">
        <v>54763</v>
      </c>
      <c r="E63" s="50" t="n">
        <f aca="false">C63/D63*100-100</f>
        <v>5.93648996585286</v>
      </c>
      <c r="F63" s="72" t="n">
        <v>6056</v>
      </c>
      <c r="G63" s="72" t="n">
        <v>3011</v>
      </c>
      <c r="H63" s="50" t="n">
        <f aca="false">F63/G63*100-100</f>
        <v>101.12919295915</v>
      </c>
      <c r="I63" s="72" t="n">
        <v>57710</v>
      </c>
      <c r="J63" s="72" t="n">
        <v>59083</v>
      </c>
      <c r="K63" s="50" t="n">
        <f aca="false">I63/J63*100-100</f>
        <v>-2.32384949985614</v>
      </c>
      <c r="L63" s="72" t="n">
        <v>55710</v>
      </c>
      <c r="M63" s="72" t="n">
        <v>58948</v>
      </c>
      <c r="N63" s="50" t="n">
        <v>0</v>
      </c>
      <c r="O63" s="72" t="n">
        <v>37</v>
      </c>
      <c r="P63" s="72" t="n">
        <v>66</v>
      </c>
      <c r="Q63" s="72" t="n">
        <v>37</v>
      </c>
      <c r="R63" s="51" t="n">
        <f aca="false">O63*P63</f>
        <v>2442</v>
      </c>
    </row>
    <row r="64" customFormat="false" ht="13.8" hidden="false" customHeight="false" outlineLevel="0" collapsed="false">
      <c r="A64" s="53" t="n">
        <v>7</v>
      </c>
      <c r="B64" s="69" t="s">
        <v>63</v>
      </c>
      <c r="C64" s="49" t="n">
        <v>54048</v>
      </c>
      <c r="D64" s="49" t="n">
        <v>50659</v>
      </c>
      <c r="E64" s="50" t="n">
        <f aca="false">C64/D64*100-100</f>
        <v>6.68982806608895</v>
      </c>
      <c r="F64" s="49" t="n">
        <v>5488</v>
      </c>
      <c r="G64" s="49" t="n">
        <v>4946</v>
      </c>
      <c r="H64" s="50" t="n">
        <f aca="false">F64/G64*100-100</f>
        <v>10.9583501819652</v>
      </c>
      <c r="I64" s="49" t="n">
        <v>84121</v>
      </c>
      <c r="J64" s="49" t="n">
        <v>60000</v>
      </c>
      <c r="K64" s="50" t="n">
        <f aca="false">I64/J64*100-100</f>
        <v>40.2016666666667</v>
      </c>
      <c r="L64" s="74" t="n">
        <v>84069</v>
      </c>
      <c r="M64" s="49" t="n">
        <v>59826</v>
      </c>
      <c r="N64" s="50" t="n">
        <v>0</v>
      </c>
      <c r="O64" s="72" t="n">
        <v>37</v>
      </c>
      <c r="P64" s="72" t="n">
        <v>82</v>
      </c>
      <c r="Q64" s="72" t="n">
        <v>39</v>
      </c>
      <c r="R64" s="51" t="n">
        <f aca="false">O64*P64</f>
        <v>3034</v>
      </c>
    </row>
    <row r="65" customFormat="false" ht="13.8" hidden="false" customHeight="false" outlineLevel="0" collapsed="false">
      <c r="A65" s="73" t="n">
        <v>8</v>
      </c>
      <c r="B65" s="69" t="s">
        <v>64</v>
      </c>
      <c r="C65" s="75" t="n">
        <v>288100</v>
      </c>
      <c r="D65" s="49" t="n">
        <v>324600</v>
      </c>
      <c r="E65" s="50" t="n">
        <f aca="false">C65/D65*100-100</f>
        <v>-11.2446087492298</v>
      </c>
      <c r="F65" s="49" t="n">
        <v>61200</v>
      </c>
      <c r="G65" s="76" t="n">
        <v>41200</v>
      </c>
      <c r="H65" s="50" t="n">
        <v>0</v>
      </c>
      <c r="I65" s="49" t="n">
        <v>354453</v>
      </c>
      <c r="J65" s="76" t="n">
        <v>436775</v>
      </c>
      <c r="K65" s="50" t="n">
        <f aca="false">I65/J65*100-100</f>
        <v>-18.847690458474</v>
      </c>
      <c r="L65" s="49" t="n">
        <v>354453</v>
      </c>
      <c r="M65" s="76" t="n">
        <v>436775</v>
      </c>
      <c r="N65" s="50" t="n">
        <v>0</v>
      </c>
      <c r="O65" s="72" t="n">
        <v>35</v>
      </c>
      <c r="P65" s="71" t="n">
        <v>95</v>
      </c>
      <c r="Q65" s="72" t="n">
        <v>35</v>
      </c>
      <c r="R65" s="51" t="n">
        <f aca="false">O65*P65</f>
        <v>3325</v>
      </c>
    </row>
    <row r="66" customFormat="false" ht="13.8" hidden="false" customHeight="false" outlineLevel="0" collapsed="false">
      <c r="A66" s="73" t="n">
        <v>9</v>
      </c>
      <c r="B66" s="69" t="s">
        <v>65</v>
      </c>
      <c r="C66" s="49" t="n">
        <v>0</v>
      </c>
      <c r="D66" s="49" t="n">
        <v>0</v>
      </c>
      <c r="E66" s="50" t="n">
        <v>0</v>
      </c>
      <c r="F66" s="49" t="n">
        <v>0</v>
      </c>
      <c r="G66" s="49" t="n">
        <v>0</v>
      </c>
      <c r="H66" s="50" t="n">
        <v>0</v>
      </c>
      <c r="I66" s="49" t="n">
        <v>0</v>
      </c>
      <c r="J66" s="49" t="n">
        <v>0</v>
      </c>
      <c r="K66" s="50" t="n">
        <v>0</v>
      </c>
      <c r="L66" s="49" t="n">
        <v>0</v>
      </c>
      <c r="M66" s="49" t="n">
        <v>0</v>
      </c>
      <c r="N66" s="50" t="n">
        <v>0</v>
      </c>
      <c r="O66" s="52" t="n">
        <v>0</v>
      </c>
      <c r="P66" s="53" t="n">
        <v>0</v>
      </c>
      <c r="Q66" s="52" t="n">
        <v>0</v>
      </c>
      <c r="R66" s="51" t="n">
        <f aca="false">O66*P66</f>
        <v>0</v>
      </c>
    </row>
    <row r="67" customFormat="false" ht="13.8" hidden="false" customHeight="false" outlineLevel="0" collapsed="false">
      <c r="A67" s="77" t="s">
        <v>66</v>
      </c>
      <c r="B67" s="77"/>
      <c r="C67" s="78" t="n">
        <f aca="false">SUM(C58:C66)</f>
        <v>1667395</v>
      </c>
      <c r="D67" s="78" t="n">
        <f aca="false">SUM(D58:D66)</f>
        <v>1699505</v>
      </c>
      <c r="E67" s="418" t="n">
        <f aca="false">C67/D67*100-100</f>
        <v>-1.88937367056879</v>
      </c>
      <c r="F67" s="78" t="n">
        <f aca="false">SUM(F58:F66)</f>
        <v>148442</v>
      </c>
      <c r="G67" s="78" t="n">
        <f aca="false">SUM(G58:G66)</f>
        <v>112636</v>
      </c>
      <c r="H67" s="418" t="n">
        <f aca="false">F67/G67*100-100</f>
        <v>31.7891260343052</v>
      </c>
      <c r="I67" s="80" t="n">
        <f aca="false">SUM(I58:I66)</f>
        <v>1762483</v>
      </c>
      <c r="J67" s="78" t="n">
        <f aca="false">SUM(J58:J66)</f>
        <v>1846737</v>
      </c>
      <c r="K67" s="418" t="n">
        <f aca="false">I67/J67*100-100</f>
        <v>-4.5623172113842</v>
      </c>
      <c r="L67" s="78" t="n">
        <f aca="false">SUM(L58:L66)</f>
        <v>1110191</v>
      </c>
      <c r="M67" s="78" t="n">
        <f aca="false">SUM(M58:M66)</f>
        <v>1204362</v>
      </c>
      <c r="N67" s="418" t="n">
        <f aca="false">L67/M67*100-100</f>
        <v>-7.8191606842461</v>
      </c>
      <c r="O67" s="80" t="n">
        <f aca="false">SUM(O58:O66)</f>
        <v>552</v>
      </c>
      <c r="P67" s="79" t="n">
        <f aca="false">R67/O67</f>
        <v>104.603260869565</v>
      </c>
      <c r="Q67" s="80" t="n">
        <f aca="false">SUM(Q58:Q66)</f>
        <v>554</v>
      </c>
      <c r="R67" s="81" t="n">
        <f aca="false">SUM(R58:R66)</f>
        <v>57741</v>
      </c>
    </row>
    <row r="68" customFormat="false" ht="13.8" hidden="false" customHeight="false" outlineLevel="0" collapsed="false">
      <c r="A68" s="46"/>
      <c r="B68" s="82"/>
      <c r="C68" s="46"/>
      <c r="D68" s="46"/>
      <c r="E68" s="46"/>
      <c r="F68" s="46"/>
      <c r="G68" s="46"/>
      <c r="H68" s="46"/>
      <c r="I68" s="46"/>
      <c r="J68" s="46"/>
      <c r="K68" s="83"/>
      <c r="L68" s="46"/>
      <c r="M68" s="46"/>
      <c r="N68" s="46"/>
      <c r="O68" s="46"/>
      <c r="P68" s="84"/>
      <c r="Q68" s="46"/>
      <c r="R68" s="46"/>
    </row>
    <row r="69" customFormat="false" ht="13.8" hidden="false" customHeight="false" outlineLevel="0" collapsed="false">
      <c r="A69" s="44" t="s">
        <v>67</v>
      </c>
      <c r="B69" s="44"/>
      <c r="C69" s="44" t="n">
        <v>3</v>
      </c>
      <c r="D69" s="44" t="n">
        <v>4</v>
      </c>
      <c r="E69" s="45" t="n">
        <v>5</v>
      </c>
      <c r="F69" s="44" t="n">
        <v>6</v>
      </c>
      <c r="G69" s="44" t="n">
        <v>7</v>
      </c>
      <c r="H69" s="44" t="n">
        <v>8</v>
      </c>
      <c r="I69" s="44" t="n">
        <v>9</v>
      </c>
      <c r="J69" s="44" t="n">
        <v>10</v>
      </c>
      <c r="K69" s="44" t="n">
        <v>11</v>
      </c>
      <c r="L69" s="44" t="n">
        <v>12</v>
      </c>
      <c r="M69" s="44" t="n">
        <v>13</v>
      </c>
      <c r="N69" s="44" t="n">
        <v>14</v>
      </c>
      <c r="O69" s="44" t="n">
        <v>15</v>
      </c>
      <c r="P69" s="45" t="n">
        <v>16</v>
      </c>
      <c r="Q69" s="44" t="n">
        <v>17</v>
      </c>
      <c r="R69" s="46"/>
    </row>
    <row r="70" customFormat="false" ht="13.8" hidden="false" customHeight="false" outlineLevel="0" collapsed="false">
      <c r="A70" s="47" t="n">
        <v>1</v>
      </c>
      <c r="B70" s="48" t="s">
        <v>68</v>
      </c>
      <c r="C70" s="52" t="n">
        <v>13225</v>
      </c>
      <c r="D70" s="52" t="n">
        <v>57081</v>
      </c>
      <c r="E70" s="50" t="n">
        <f aca="false">C70/D70*100-100</f>
        <v>-76.8311697412449</v>
      </c>
      <c r="F70" s="52" t="n">
        <v>3340</v>
      </c>
      <c r="G70" s="52" t="n">
        <v>38</v>
      </c>
      <c r="H70" s="72" t="n">
        <f aca="false">F70/G70*100-100</f>
        <v>8689.47368421053</v>
      </c>
      <c r="I70" s="52" t="n">
        <v>112520</v>
      </c>
      <c r="J70" s="52" t="n">
        <v>179931</v>
      </c>
      <c r="K70" s="63" t="n">
        <f aca="false">I70/J70*100</f>
        <v>62.5350828928867</v>
      </c>
      <c r="L70" s="52" t="n">
        <v>14671</v>
      </c>
      <c r="M70" s="52" t="n">
        <v>53172</v>
      </c>
      <c r="N70" s="50" t="n">
        <f aca="false">L70/M70*100-100</f>
        <v>-72.4084104415858</v>
      </c>
      <c r="O70" s="52" t="n">
        <v>147</v>
      </c>
      <c r="P70" s="68" t="n">
        <v>55</v>
      </c>
      <c r="Q70" s="52" t="n">
        <v>158</v>
      </c>
      <c r="R70" s="51" t="n">
        <f aca="false">O70*P70</f>
        <v>8085</v>
      </c>
    </row>
    <row r="71" customFormat="false" ht="13.8" hidden="false" customHeight="false" outlineLevel="0" collapsed="false">
      <c r="A71" s="47" t="n">
        <v>2</v>
      </c>
      <c r="B71" s="48" t="s">
        <v>69</v>
      </c>
      <c r="C71" s="58" t="n">
        <v>573927</v>
      </c>
      <c r="D71" s="58" t="n">
        <v>588255</v>
      </c>
      <c r="E71" s="50" t="n">
        <f aca="false">C71/D71*100-100</f>
        <v>-2.43567840477344</v>
      </c>
      <c r="F71" s="58" t="n">
        <v>39504</v>
      </c>
      <c r="G71" s="58" t="n">
        <v>31282</v>
      </c>
      <c r="H71" s="50" t="n">
        <f aca="false">F71/G71*100-100</f>
        <v>26.2834857106323</v>
      </c>
      <c r="I71" s="58" t="n">
        <v>573858</v>
      </c>
      <c r="J71" s="58" t="n">
        <v>588005</v>
      </c>
      <c r="K71" s="50" t="n">
        <f aca="false">I71/J71*100-100</f>
        <v>-2.40593192234761</v>
      </c>
      <c r="L71" s="58" t="n">
        <v>573858</v>
      </c>
      <c r="M71" s="58" t="n">
        <v>588005</v>
      </c>
      <c r="N71" s="50" t="n">
        <f aca="false">L71/M71*100-100</f>
        <v>-2.40593192234761</v>
      </c>
      <c r="O71" s="52" t="n">
        <v>23</v>
      </c>
      <c r="P71" s="53" t="n">
        <v>171</v>
      </c>
      <c r="Q71" s="52" t="n">
        <v>23</v>
      </c>
      <c r="R71" s="51" t="n">
        <f aca="false">O71*P71</f>
        <v>3933</v>
      </c>
    </row>
    <row r="72" customFormat="false" ht="13.8" hidden="false" customHeight="false" outlineLevel="0" collapsed="false">
      <c r="A72" s="47" t="n">
        <v>3</v>
      </c>
      <c r="B72" s="48" t="s">
        <v>70</v>
      </c>
      <c r="C72" s="52" t="n">
        <v>26079</v>
      </c>
      <c r="D72" s="52" t="n">
        <v>34432</v>
      </c>
      <c r="E72" s="50" t="n">
        <f aca="false">C72/D72*100-100</f>
        <v>-24.2594098513011</v>
      </c>
      <c r="F72" s="52" t="n">
        <v>0</v>
      </c>
      <c r="G72" s="52" t="n">
        <v>0</v>
      </c>
      <c r="H72" s="50" t="e">
        <f aca="false">F72/G72*100-100</f>
        <v>#DIV/0!</v>
      </c>
      <c r="I72" s="52" t="n">
        <v>110</v>
      </c>
      <c r="J72" s="52" t="n">
        <v>36248</v>
      </c>
      <c r="K72" s="50" t="n">
        <f aca="false">I72/J72*100-100</f>
        <v>-99.6965349812404</v>
      </c>
      <c r="L72" s="52" t="n">
        <v>7659</v>
      </c>
      <c r="M72" s="52" t="n">
        <v>40160</v>
      </c>
      <c r="N72" s="50" t="n">
        <f aca="false">L72/M72*100-100</f>
        <v>-80.9287848605578</v>
      </c>
      <c r="O72" s="52" t="n">
        <v>37</v>
      </c>
      <c r="P72" s="68" t="n">
        <v>71</v>
      </c>
      <c r="Q72" s="52" t="n">
        <v>43</v>
      </c>
      <c r="R72" s="51" t="n">
        <f aca="false">O72*P72</f>
        <v>2627</v>
      </c>
    </row>
    <row r="73" customFormat="false" ht="13.8" hidden="false" customHeight="false" outlineLevel="0" collapsed="false">
      <c r="A73" s="47" t="n">
        <v>4</v>
      </c>
      <c r="B73" s="48" t="s">
        <v>218</v>
      </c>
      <c r="C73" s="52" t="n">
        <v>59301</v>
      </c>
      <c r="D73" s="52" t="n">
        <v>50482</v>
      </c>
      <c r="E73" s="50" t="n">
        <f aca="false">C73/D73*100-100</f>
        <v>17.469593122301</v>
      </c>
      <c r="F73" s="52" t="n">
        <v>1030</v>
      </c>
      <c r="G73" s="52" t="n">
        <v>5221</v>
      </c>
      <c r="H73" s="50" t="n">
        <f aca="false">F73/G73*100-100</f>
        <v>-80.2719785481709</v>
      </c>
      <c r="I73" s="52" t="n">
        <v>72514</v>
      </c>
      <c r="J73" s="52" t="n">
        <v>64517</v>
      </c>
      <c r="K73" s="50" t="n">
        <f aca="false">I73/J73*100-100</f>
        <v>12.395182665034</v>
      </c>
      <c r="L73" s="52" t="n">
        <v>53436</v>
      </c>
      <c r="M73" s="52" t="n">
        <v>36849</v>
      </c>
      <c r="N73" s="50" t="n">
        <f aca="false">L73/M73*100-100</f>
        <v>45.0134332003582</v>
      </c>
      <c r="O73" s="52" t="n">
        <v>66</v>
      </c>
      <c r="P73" s="85" t="n">
        <v>50</v>
      </c>
      <c r="Q73" s="52" t="n">
        <v>63</v>
      </c>
      <c r="R73" s="51" t="n">
        <f aca="false">O73*P73</f>
        <v>3300</v>
      </c>
    </row>
    <row r="74" customFormat="false" ht="13.8" hidden="false" customHeight="false" outlineLevel="0" collapsed="false">
      <c r="A74" s="47" t="n">
        <v>5</v>
      </c>
      <c r="B74" s="48" t="s">
        <v>72</v>
      </c>
      <c r="C74" s="52" t="n">
        <v>61160</v>
      </c>
      <c r="D74" s="52" t="n">
        <v>111336</v>
      </c>
      <c r="E74" s="50" t="n">
        <f aca="false">C74/D74*100-100</f>
        <v>-45.0671840195444</v>
      </c>
      <c r="F74" s="52" t="n">
        <v>625</v>
      </c>
      <c r="G74" s="52" t="n">
        <v>150</v>
      </c>
      <c r="H74" s="50" t="n">
        <f aca="false">F74/G74*100-100</f>
        <v>316.666666666667</v>
      </c>
      <c r="I74" s="52" t="n">
        <v>61160</v>
      </c>
      <c r="J74" s="52" t="n">
        <v>11223</v>
      </c>
      <c r="K74" s="50" t="n">
        <f aca="false">I74/J74*100-100</f>
        <v>444.952330036532</v>
      </c>
      <c r="L74" s="52" t="n">
        <v>47792</v>
      </c>
      <c r="M74" s="52" t="n">
        <f aca="false">97149+2033</f>
        <v>99182</v>
      </c>
      <c r="N74" s="50" t="n">
        <f aca="false">L74/M74*100-100</f>
        <v>-51.8138371881995</v>
      </c>
      <c r="O74" s="52" t="n">
        <v>67</v>
      </c>
      <c r="P74" s="68" t="n">
        <v>136</v>
      </c>
      <c r="Q74" s="52" t="n">
        <v>67</v>
      </c>
      <c r="R74" s="51" t="n">
        <f aca="false">O74*P74</f>
        <v>9112</v>
      </c>
    </row>
    <row r="75" customFormat="false" ht="13.8" hidden="false" customHeight="false" outlineLevel="0" collapsed="false">
      <c r="A75" s="60" t="n">
        <v>6</v>
      </c>
      <c r="B75" s="48" t="s">
        <v>232</v>
      </c>
      <c r="C75" s="52" t="n">
        <v>36143</v>
      </c>
      <c r="D75" s="52" t="n">
        <v>2696</v>
      </c>
      <c r="E75" s="72" t="n">
        <f aca="false">C75/D75*100-100</f>
        <v>1240.61572700297</v>
      </c>
      <c r="F75" s="52" t="n">
        <v>0</v>
      </c>
      <c r="G75" s="52" t="n">
        <v>0</v>
      </c>
      <c r="H75" s="50" t="e">
        <f aca="false">F75/G75*100-100</f>
        <v>#DIV/0!</v>
      </c>
      <c r="I75" s="52" t="n">
        <v>55663</v>
      </c>
      <c r="J75" s="52" t="n">
        <v>3107</v>
      </c>
      <c r="K75" s="72" t="n">
        <f aca="false">I75/J75*100-100</f>
        <v>1691.53524299968</v>
      </c>
      <c r="L75" s="52" t="n">
        <v>33961</v>
      </c>
      <c r="M75" s="52" t="n">
        <v>82</v>
      </c>
      <c r="N75" s="72" t="n">
        <f aca="false">L75/M75*100-100</f>
        <v>41315.8536585366</v>
      </c>
      <c r="O75" s="52" t="n">
        <v>10</v>
      </c>
      <c r="P75" s="68" t="n">
        <v>66</v>
      </c>
      <c r="Q75" s="52" t="n">
        <v>10</v>
      </c>
      <c r="R75" s="51" t="n">
        <f aca="false">O75*P75</f>
        <v>660</v>
      </c>
    </row>
    <row r="76" customFormat="false" ht="13.8" hidden="false" customHeight="false" outlineLevel="0" collapsed="false">
      <c r="A76" s="47" t="n">
        <v>7</v>
      </c>
      <c r="B76" s="48" t="s">
        <v>74</v>
      </c>
      <c r="C76" s="52" t="n">
        <v>786481</v>
      </c>
      <c r="D76" s="52" t="n">
        <v>1050741</v>
      </c>
      <c r="E76" s="50" t="n">
        <f aca="false">C76/D76*100-100</f>
        <v>-25.1498704247764</v>
      </c>
      <c r="F76" s="52" t="n">
        <v>103003</v>
      </c>
      <c r="G76" s="52" t="n">
        <v>99321</v>
      </c>
      <c r="H76" s="50" t="n">
        <f aca="false">F76/G76*100-100</f>
        <v>3.70717169581458</v>
      </c>
      <c r="I76" s="52" t="n">
        <v>812981</v>
      </c>
      <c r="J76" s="52" t="n">
        <v>1036728</v>
      </c>
      <c r="K76" s="50" t="n">
        <f aca="false">I76/J76*100-100</f>
        <v>-21.5820350178639</v>
      </c>
      <c r="L76" s="52" t="n">
        <f aca="false">43720+131213</f>
        <v>174933</v>
      </c>
      <c r="M76" s="52" t="n">
        <f aca="false">17865+211410</f>
        <v>229275</v>
      </c>
      <c r="N76" s="50" t="n">
        <f aca="false">L76/M76*100-100</f>
        <v>-23.7016683022571</v>
      </c>
      <c r="O76" s="52" t="n">
        <v>133</v>
      </c>
      <c r="P76" s="53" t="n">
        <v>200</v>
      </c>
      <c r="Q76" s="52" t="n">
        <v>134</v>
      </c>
      <c r="R76" s="51" t="n">
        <f aca="false">O76*P76</f>
        <v>26600</v>
      </c>
    </row>
    <row r="77" customFormat="false" ht="13.8" hidden="false" customHeight="false" outlineLevel="0" collapsed="false">
      <c r="A77" s="47" t="n">
        <v>8</v>
      </c>
      <c r="B77" s="48" t="s">
        <v>75</v>
      </c>
      <c r="C77" s="52" t="n">
        <v>4043</v>
      </c>
      <c r="D77" s="52" t="n">
        <v>4043</v>
      </c>
      <c r="E77" s="72" t="n">
        <f aca="false">C77/D77*100-100</f>
        <v>0</v>
      </c>
      <c r="F77" s="52" t="n">
        <v>7895</v>
      </c>
      <c r="G77" s="52" t="n">
        <v>0</v>
      </c>
      <c r="H77" s="50" t="n">
        <v>0</v>
      </c>
      <c r="I77" s="52" t="n">
        <v>131742</v>
      </c>
      <c r="J77" s="52" t="n">
        <v>25482</v>
      </c>
      <c r="K77" s="72" t="n">
        <f aca="false">I77/J77*100-100</f>
        <v>417.000235460325</v>
      </c>
      <c r="L77" s="52" t="n">
        <v>1045</v>
      </c>
      <c r="M77" s="52" t="n">
        <v>0</v>
      </c>
      <c r="N77" s="50" t="e">
        <f aca="false">L77/M77*100-100</f>
        <v>#DIV/0!</v>
      </c>
      <c r="O77" s="52" t="n">
        <v>30</v>
      </c>
      <c r="P77" s="68" t="n">
        <v>40</v>
      </c>
      <c r="Q77" s="52" t="n">
        <v>31</v>
      </c>
      <c r="R77" s="51" t="n">
        <f aca="false">O77*P77</f>
        <v>1200</v>
      </c>
    </row>
    <row r="78" customFormat="false" ht="13.8" hidden="false" customHeight="false" outlineLevel="0" collapsed="false">
      <c r="A78" s="64" t="s">
        <v>76</v>
      </c>
      <c r="B78" s="64" t="s">
        <v>77</v>
      </c>
      <c r="C78" s="65" t="n">
        <f aca="false">SUM(C70:C77)</f>
        <v>1560359</v>
      </c>
      <c r="D78" s="65" t="n">
        <f aca="false">SUM(D70:D77)</f>
        <v>1899066</v>
      </c>
      <c r="E78" s="418" t="n">
        <f aca="false">C78/D78*100-100</f>
        <v>-17.83545174312</v>
      </c>
      <c r="F78" s="65" t="n">
        <f aca="false">SUM(F70:F77)</f>
        <v>155397</v>
      </c>
      <c r="G78" s="65" t="n">
        <f aca="false">SUM(G70:G77)</f>
        <v>136012</v>
      </c>
      <c r="H78" s="418" t="n">
        <f aca="false">F78/G78*100-100</f>
        <v>14.2524189042143</v>
      </c>
      <c r="I78" s="65" t="n">
        <f aca="false">SUM(I70:I77)</f>
        <v>1820548</v>
      </c>
      <c r="J78" s="65" t="n">
        <f aca="false">SUM(J70:J77)</f>
        <v>1945241</v>
      </c>
      <c r="K78" s="418" t="n">
        <f aca="false">I78/J78*100-100</f>
        <v>-6.4101568905858</v>
      </c>
      <c r="L78" s="65" t="n">
        <f aca="false">SUM(L70:L77)</f>
        <v>907355</v>
      </c>
      <c r="M78" s="65" t="n">
        <f aca="false">SUM(M70:M77)</f>
        <v>1046725</v>
      </c>
      <c r="N78" s="418" t="n">
        <f aca="false">L78/M78*100-100</f>
        <v>-13.3148630251499</v>
      </c>
      <c r="O78" s="65" t="n">
        <f aca="false">SUM(O70:O77)</f>
        <v>513</v>
      </c>
      <c r="P78" s="66" t="n">
        <f aca="false">R78/O78</f>
        <v>108.220272904483</v>
      </c>
      <c r="Q78" s="65" t="n">
        <f aca="false">SUM(Q70:Q77)</f>
        <v>529</v>
      </c>
      <c r="R78" s="81" t="n">
        <f aca="false">SUM(R70:R77)</f>
        <v>55517</v>
      </c>
    </row>
    <row r="79" customFormat="false" ht="13.8" hidden="false" customHeight="false" outlineLevel="0" collapsed="false">
      <c r="A79" s="419" t="s">
        <v>78</v>
      </c>
      <c r="B79" s="419" t="s">
        <v>78</v>
      </c>
      <c r="C79" s="420" t="n">
        <f aca="false">C55+C67+C78</f>
        <v>9102333</v>
      </c>
      <c r="D79" s="420" t="n">
        <f aca="false">D55+D67+D78</f>
        <v>10709780</v>
      </c>
      <c r="E79" s="421" t="n">
        <f aca="false">C79/D79*100-100</f>
        <v>-15.0091505147631</v>
      </c>
      <c r="F79" s="420" t="n">
        <f aca="false">F55+F67+F78</f>
        <v>522480</v>
      </c>
      <c r="G79" s="420" t="n">
        <f aca="false">G55+G67+G78</f>
        <v>965259</v>
      </c>
      <c r="H79" s="421" t="n">
        <f aca="false">F79/G79*100-100</f>
        <v>-45.8715225654462</v>
      </c>
      <c r="I79" s="420" t="n">
        <f aca="false">I55+I67+I78</f>
        <v>9488917</v>
      </c>
      <c r="J79" s="420" t="n">
        <f aca="false">J55+J67+J78</f>
        <v>10957490</v>
      </c>
      <c r="K79" s="421" t="n">
        <f aca="false">I79/J79*100-100</f>
        <v>-13.4024580446799</v>
      </c>
      <c r="L79" s="420" t="n">
        <f aca="false">L55+L67+L78</f>
        <v>3853631</v>
      </c>
      <c r="M79" s="420" t="n">
        <f aca="false">M55+M67+M78</f>
        <v>4330824</v>
      </c>
      <c r="N79" s="421" t="n">
        <f aca="false">L79/M79*100-100</f>
        <v>-11.0185267284009</v>
      </c>
      <c r="O79" s="420" t="n">
        <f aca="false">O55+O67+O78</f>
        <v>1981</v>
      </c>
      <c r="P79" s="422" t="n">
        <f aca="false">R79/O79</f>
        <v>106.108531044927</v>
      </c>
      <c r="Q79" s="420" t="n">
        <f aca="false">Q55+Q67+Q78</f>
        <v>2018</v>
      </c>
      <c r="R79" s="423" t="n">
        <f aca="false">R55+R67+R78</f>
        <v>210201</v>
      </c>
    </row>
    <row r="80" customFormat="false" ht="13.8" hidden="false" customHeight="false" outlineLevel="0" collapsed="false">
      <c r="A80" s="52"/>
      <c r="B80" s="67"/>
      <c r="C80" s="52"/>
      <c r="D80" s="52"/>
      <c r="E80" s="52"/>
      <c r="F80" s="52"/>
      <c r="G80" s="52"/>
      <c r="H80" s="52"/>
      <c r="I80" s="52"/>
      <c r="J80" s="52"/>
      <c r="K80" s="41"/>
      <c r="L80" s="52"/>
      <c r="M80" s="52"/>
      <c r="N80" s="52"/>
      <c r="O80" s="52"/>
      <c r="P80" s="68"/>
      <c r="Q80" s="52"/>
      <c r="R80" s="46"/>
    </row>
    <row r="81" customFormat="false" ht="13.8" hidden="false" customHeight="false" outlineLevel="0" collapsed="false">
      <c r="A81" s="39" t="s">
        <v>79</v>
      </c>
      <c r="B81" s="39"/>
      <c r="C81" s="44" t="n">
        <v>3</v>
      </c>
      <c r="D81" s="44" t="n">
        <v>4</v>
      </c>
      <c r="E81" s="45" t="n">
        <v>5</v>
      </c>
      <c r="F81" s="44" t="n">
        <v>6</v>
      </c>
      <c r="G81" s="44" t="n">
        <v>7</v>
      </c>
      <c r="H81" s="44" t="n">
        <v>8</v>
      </c>
      <c r="I81" s="44" t="n">
        <v>9</v>
      </c>
      <c r="J81" s="44" t="n">
        <v>10</v>
      </c>
      <c r="K81" s="44" t="n">
        <v>11</v>
      </c>
      <c r="L81" s="44" t="n">
        <v>12</v>
      </c>
      <c r="M81" s="44" t="n">
        <v>13</v>
      </c>
      <c r="N81" s="44" t="n">
        <v>14</v>
      </c>
      <c r="O81" s="44" t="n">
        <v>15</v>
      </c>
      <c r="P81" s="45" t="n">
        <v>16</v>
      </c>
      <c r="Q81" s="44" t="n">
        <v>17</v>
      </c>
      <c r="R81" s="46"/>
    </row>
    <row r="82" customFormat="false" ht="14.25" hidden="false" customHeight="false" outlineLevel="0" collapsed="false">
      <c r="A82" s="91" t="n">
        <v>1</v>
      </c>
      <c r="B82" s="92" t="s">
        <v>80</v>
      </c>
      <c r="C82" s="58" t="n">
        <v>3443</v>
      </c>
      <c r="D82" s="58" t="n">
        <v>12564</v>
      </c>
      <c r="E82" s="50" t="n">
        <f aca="false">C82/D82*100-100</f>
        <v>-72.5963069086278</v>
      </c>
      <c r="F82" s="58" t="n">
        <v>66</v>
      </c>
      <c r="G82" s="58" t="n">
        <v>406</v>
      </c>
      <c r="H82" s="50" t="n">
        <f aca="false">F82/G82*100-100</f>
        <v>-83.743842364532</v>
      </c>
      <c r="I82" s="58" t="n">
        <v>3443</v>
      </c>
      <c r="J82" s="58" t="n">
        <v>9991</v>
      </c>
      <c r="K82" s="50" t="n">
        <v>0</v>
      </c>
      <c r="L82" s="52" t="n">
        <v>0</v>
      </c>
      <c r="M82" s="58" t="n">
        <v>0</v>
      </c>
      <c r="N82" s="50" t="n">
        <v>0</v>
      </c>
      <c r="O82" s="52" t="n">
        <v>2473</v>
      </c>
      <c r="P82" s="58" t="n">
        <v>113</v>
      </c>
      <c r="Q82" s="52" t="n">
        <v>2504</v>
      </c>
      <c r="R82" s="51" t="n">
        <f aca="false">O82*P82</f>
        <v>279449</v>
      </c>
    </row>
    <row r="83" customFormat="false" ht="13.8" hidden="false" customHeight="false" outlineLevel="0" collapsed="false">
      <c r="A83" s="93" t="n">
        <v>2</v>
      </c>
      <c r="B83" s="92" t="s">
        <v>81</v>
      </c>
      <c r="C83" s="58" t="n">
        <v>326739</v>
      </c>
      <c r="D83" s="58" t="n">
        <v>660703</v>
      </c>
      <c r="E83" s="50" t="n">
        <f aca="false">C83/D83*100-100</f>
        <v>-50.5467660961128</v>
      </c>
      <c r="F83" s="58" t="n">
        <v>251</v>
      </c>
      <c r="G83" s="58" t="n">
        <v>63866</v>
      </c>
      <c r="H83" s="50" t="n">
        <f aca="false">F83/G83*100-100</f>
        <v>-99.6069896345473</v>
      </c>
      <c r="I83" s="58" t="n">
        <v>377665</v>
      </c>
      <c r="J83" s="58" t="n">
        <v>634499</v>
      </c>
      <c r="K83" s="50" t="n">
        <f aca="false">I83/J83*100-100</f>
        <v>-40.4782355842956</v>
      </c>
      <c r="L83" s="58" t="n">
        <v>361588</v>
      </c>
      <c r="M83" s="58" t="n">
        <v>623993</v>
      </c>
      <c r="N83" s="50" t="n">
        <f aca="false">L83/M83*100-100</f>
        <v>-42.0525550767396</v>
      </c>
      <c r="O83" s="52" t="n">
        <v>708</v>
      </c>
      <c r="P83" s="58" t="n">
        <v>105</v>
      </c>
      <c r="Q83" s="52" t="n">
        <v>720</v>
      </c>
      <c r="R83" s="51" t="n">
        <f aca="false">O83*P83</f>
        <v>74340</v>
      </c>
    </row>
    <row r="84" customFormat="false" ht="14.25" hidden="false" customHeight="false" outlineLevel="0" collapsed="false">
      <c r="A84" s="91" t="n">
        <v>3</v>
      </c>
      <c r="B84" s="92" t="s">
        <v>82</v>
      </c>
      <c r="C84" s="58" t="n">
        <v>1235965</v>
      </c>
      <c r="D84" s="58" t="n">
        <v>1205008</v>
      </c>
      <c r="E84" s="50" t="n">
        <f aca="false">C84/D84*100-100</f>
        <v>2.56902858736208</v>
      </c>
      <c r="F84" s="58" t="n">
        <v>31946</v>
      </c>
      <c r="G84" s="58" t="n">
        <v>82599</v>
      </c>
      <c r="H84" s="50" t="n">
        <f aca="false">F84/G84*100-100</f>
        <v>-61.3239869732079</v>
      </c>
      <c r="I84" s="58" t="n">
        <v>1497599</v>
      </c>
      <c r="J84" s="58" t="n">
        <v>2228418</v>
      </c>
      <c r="K84" s="50" t="n">
        <f aca="false">I84/J84*100-100</f>
        <v>-32.7954180948099</v>
      </c>
      <c r="L84" s="58" t="n">
        <v>344902</v>
      </c>
      <c r="M84" s="58" t="n">
        <v>518249</v>
      </c>
      <c r="N84" s="50" t="n">
        <f aca="false">L84/M84*100-100</f>
        <v>-33.4485932437882</v>
      </c>
      <c r="O84" s="52" t="n">
        <v>28</v>
      </c>
      <c r="P84" s="58" t="n">
        <v>306</v>
      </c>
      <c r="Q84" s="52" t="n">
        <v>30</v>
      </c>
      <c r="R84" s="51" t="n">
        <f aca="false">O84*P84</f>
        <v>8568</v>
      </c>
    </row>
    <row r="85" customFormat="false" ht="13.8" hidden="false" customHeight="false" outlineLevel="0" collapsed="false">
      <c r="A85" s="93" t="n">
        <v>4</v>
      </c>
      <c r="B85" s="92" t="s">
        <v>83</v>
      </c>
      <c r="C85" s="58" t="n">
        <v>1045705</v>
      </c>
      <c r="D85" s="58" t="n">
        <v>910399</v>
      </c>
      <c r="E85" s="50" t="n">
        <f aca="false">C85/D85*100-100</f>
        <v>14.8622746729731</v>
      </c>
      <c r="F85" s="58" t="n">
        <v>51115</v>
      </c>
      <c r="G85" s="58" t="n">
        <v>79935</v>
      </c>
      <c r="H85" s="50" t="n">
        <f aca="false">F85/G85*100-100</f>
        <v>-36.0542941139676</v>
      </c>
      <c r="I85" s="58" t="n">
        <v>1052718</v>
      </c>
      <c r="J85" s="58" t="n">
        <v>918498</v>
      </c>
      <c r="K85" s="50" t="n">
        <f aca="false">I85/J85*100-100</f>
        <v>14.6129877256129</v>
      </c>
      <c r="L85" s="52" t="n">
        <v>743626</v>
      </c>
      <c r="M85" s="58" t="n">
        <v>650721</v>
      </c>
      <c r="N85" s="50" t="n">
        <f aca="false">L85/M85*100-100</f>
        <v>14.2772401689818</v>
      </c>
      <c r="O85" s="52" t="n">
        <v>158</v>
      </c>
      <c r="P85" s="58" t="n">
        <v>40</v>
      </c>
      <c r="Q85" s="52" t="n">
        <v>180</v>
      </c>
      <c r="R85" s="51" t="n">
        <f aca="false">O85*P85</f>
        <v>6320</v>
      </c>
    </row>
    <row r="86" customFormat="false" ht="14.25" hidden="false" customHeight="false" outlineLevel="0" collapsed="false">
      <c r="A86" s="91" t="n">
        <v>5</v>
      </c>
      <c r="B86" s="92" t="s">
        <v>84</v>
      </c>
      <c r="C86" s="68" t="n">
        <v>361167</v>
      </c>
      <c r="D86" s="68" t="n">
        <v>338032</v>
      </c>
      <c r="E86" s="50" t="n">
        <f aca="false">C86/D86*100-100</f>
        <v>6.84402660103186</v>
      </c>
      <c r="F86" s="68" t="n">
        <v>15706</v>
      </c>
      <c r="G86" s="68" t="n">
        <v>23754</v>
      </c>
      <c r="H86" s="50" t="n">
        <f aca="false">F86/G86*100-100</f>
        <v>-33.8806095815442</v>
      </c>
      <c r="I86" s="68" t="n">
        <v>363849</v>
      </c>
      <c r="J86" s="68" t="n">
        <v>341034</v>
      </c>
      <c r="K86" s="50" t="n">
        <f aca="false">I86/J86*100-100</f>
        <v>6.68994880275866</v>
      </c>
      <c r="L86" s="52" t="n">
        <v>202747</v>
      </c>
      <c r="M86" s="68" t="n">
        <v>143779</v>
      </c>
      <c r="N86" s="50" t="n">
        <f aca="false">L86/M86*100-100</f>
        <v>41.012943475751</v>
      </c>
      <c r="O86" s="52" t="n">
        <v>92</v>
      </c>
      <c r="P86" s="68" t="n">
        <v>69</v>
      </c>
      <c r="Q86" s="52" t="n">
        <v>90</v>
      </c>
      <c r="R86" s="51" t="n">
        <f aca="false">O86*P86</f>
        <v>6348</v>
      </c>
    </row>
    <row r="87" customFormat="false" ht="13.8" hidden="false" customHeight="false" outlineLevel="0" collapsed="false">
      <c r="A87" s="93" t="n">
        <v>6</v>
      </c>
      <c r="B87" s="92" t="s">
        <v>85</v>
      </c>
      <c r="C87" s="49" t="n">
        <v>0</v>
      </c>
      <c r="D87" s="49" t="n">
        <v>0</v>
      </c>
      <c r="E87" s="50" t="n">
        <v>0</v>
      </c>
      <c r="F87" s="49" t="n">
        <v>0</v>
      </c>
      <c r="G87" s="49" t="n">
        <v>0</v>
      </c>
      <c r="H87" s="50" t="n">
        <v>0</v>
      </c>
      <c r="I87" s="49" t="n">
        <v>0</v>
      </c>
      <c r="J87" s="49" t="n">
        <v>0</v>
      </c>
      <c r="K87" s="50" t="n">
        <v>0</v>
      </c>
      <c r="L87" s="49" t="n">
        <v>0</v>
      </c>
      <c r="M87" s="49" t="n">
        <v>0</v>
      </c>
      <c r="N87" s="50" t="n">
        <v>0</v>
      </c>
      <c r="O87" s="52" t="n">
        <v>0</v>
      </c>
      <c r="P87" s="53" t="n">
        <v>0</v>
      </c>
      <c r="Q87" s="52" t="n">
        <v>0</v>
      </c>
      <c r="R87" s="51" t="n">
        <f aca="false">O87*P87</f>
        <v>0</v>
      </c>
    </row>
    <row r="88" customFormat="false" ht="13.8" hidden="false" customHeight="false" outlineLevel="0" collapsed="false">
      <c r="A88" s="93" t="n">
        <v>7</v>
      </c>
      <c r="B88" s="94" t="s">
        <v>87</v>
      </c>
      <c r="C88" s="68" t="n">
        <v>728269</v>
      </c>
      <c r="D88" s="68" t="n">
        <v>973986</v>
      </c>
      <c r="E88" s="50" t="n">
        <f aca="false">C88/D88*100-100</f>
        <v>-25.2279806896608</v>
      </c>
      <c r="F88" s="68" t="n">
        <v>65710</v>
      </c>
      <c r="G88" s="68" t="n">
        <v>42488</v>
      </c>
      <c r="H88" s="50" t="n">
        <f aca="false">F88/G88*100-100</f>
        <v>54.6554321220109</v>
      </c>
      <c r="I88" s="68" t="n">
        <v>1057837</v>
      </c>
      <c r="J88" s="68" t="n">
        <v>1137224</v>
      </c>
      <c r="K88" s="50" t="n">
        <f aca="false">I88/J88*100-100</f>
        <v>-6.98077071887333</v>
      </c>
      <c r="L88" s="52" t="n">
        <v>311272</v>
      </c>
      <c r="M88" s="68" t="n">
        <v>211807</v>
      </c>
      <c r="N88" s="50" t="n">
        <f aca="false">L88/M88*100-100</f>
        <v>46.9602043369671</v>
      </c>
      <c r="O88" s="52" t="n">
        <v>66</v>
      </c>
      <c r="P88" s="58" t="n">
        <v>128</v>
      </c>
      <c r="Q88" s="52" t="n">
        <v>65</v>
      </c>
      <c r="R88" s="51" t="n">
        <f aca="false">O88*P88</f>
        <v>8448</v>
      </c>
    </row>
    <row r="89" customFormat="false" ht="14.25" hidden="false" customHeight="false" outlineLevel="0" collapsed="false">
      <c r="A89" s="91" t="n">
        <v>8</v>
      </c>
      <c r="B89" s="92" t="s">
        <v>89</v>
      </c>
      <c r="C89" s="58" t="n">
        <v>1679134</v>
      </c>
      <c r="D89" s="58" t="n">
        <v>1343029</v>
      </c>
      <c r="E89" s="50" t="n">
        <f aca="false">C89/D89*100-100</f>
        <v>25.0258929628474</v>
      </c>
      <c r="F89" s="58" t="n">
        <v>173605</v>
      </c>
      <c r="G89" s="58" t="n">
        <v>155359</v>
      </c>
      <c r="H89" s="50" t="n">
        <f aca="false">F89/G89*100-100</f>
        <v>11.7444113311749</v>
      </c>
      <c r="I89" s="58" t="n">
        <v>1661370</v>
      </c>
      <c r="J89" s="58" t="n">
        <v>1362793</v>
      </c>
      <c r="K89" s="50" t="n">
        <f aca="false">I89/J89*100-100</f>
        <v>21.9091967745652</v>
      </c>
      <c r="L89" s="52" t="n">
        <f aca="false">496429+561915</f>
        <v>1058344</v>
      </c>
      <c r="M89" s="58" t="n">
        <f aca="false">327358+385034</f>
        <v>712392</v>
      </c>
      <c r="N89" s="50" t="n">
        <f aca="false">L89/M89*100-100</f>
        <v>48.5620276476996</v>
      </c>
      <c r="O89" s="52" t="n">
        <v>106</v>
      </c>
      <c r="P89" s="58" t="n">
        <v>212</v>
      </c>
      <c r="Q89" s="52" t="n">
        <v>105</v>
      </c>
      <c r="R89" s="51" t="n">
        <f aca="false">O89*P89</f>
        <v>22472</v>
      </c>
    </row>
    <row r="90" customFormat="false" ht="14.25" hidden="false" customHeight="false" outlineLevel="0" collapsed="false">
      <c r="A90" s="91" t="n">
        <v>9</v>
      </c>
      <c r="B90" s="92" t="s">
        <v>233</v>
      </c>
      <c r="C90" s="58" t="n">
        <v>1054219</v>
      </c>
      <c r="D90" s="58" t="n">
        <v>668083</v>
      </c>
      <c r="E90" s="50" t="n">
        <f aca="false">C90/D90*100-100</f>
        <v>57.7976089797226</v>
      </c>
      <c r="F90" s="58" t="n">
        <v>105434</v>
      </c>
      <c r="G90" s="58" t="n">
        <v>62219</v>
      </c>
      <c r="H90" s="50" t="n">
        <f aca="false">F90/G90*100-100</f>
        <v>69.4562754142625</v>
      </c>
      <c r="I90" s="58" t="n">
        <v>897667</v>
      </c>
      <c r="J90" s="58" t="n">
        <v>654501</v>
      </c>
      <c r="K90" s="50" t="n">
        <f aca="false">I90/J90*100-100</f>
        <v>37.1528844111774</v>
      </c>
      <c r="L90" s="52" t="n">
        <f aca="false">210604+56670</f>
        <v>267274</v>
      </c>
      <c r="M90" s="58" t="n">
        <f aca="false">193281+27039</f>
        <v>220320</v>
      </c>
      <c r="N90" s="50" t="n">
        <f aca="false">L90/M90*100-100</f>
        <v>21.3117283950617</v>
      </c>
      <c r="O90" s="52" t="n">
        <v>75</v>
      </c>
      <c r="P90" s="58" t="n">
        <v>164</v>
      </c>
      <c r="Q90" s="52" t="n">
        <v>88</v>
      </c>
      <c r="R90" s="51" t="n">
        <f aca="false">O90*P90</f>
        <v>12300</v>
      </c>
    </row>
    <row r="91" customFormat="false" ht="14.25" hidden="false" customHeight="false" outlineLevel="0" collapsed="false">
      <c r="A91" s="91" t="n">
        <v>10</v>
      </c>
      <c r="B91" s="92" t="s">
        <v>234</v>
      </c>
      <c r="C91" s="58" t="n">
        <v>188709</v>
      </c>
      <c r="D91" s="58" t="n">
        <v>157619</v>
      </c>
      <c r="E91" s="50" t="n">
        <f aca="false">C91/D91*100-100</f>
        <v>19.7247793730451</v>
      </c>
      <c r="F91" s="58" t="n">
        <v>6906</v>
      </c>
      <c r="G91" s="58" t="n">
        <v>56986</v>
      </c>
      <c r="H91" s="50" t="n">
        <f aca="false">F91/G91*100-100</f>
        <v>-87.8812339872951</v>
      </c>
      <c r="I91" s="58" t="n">
        <v>188709</v>
      </c>
      <c r="J91" s="58" t="n">
        <v>157619</v>
      </c>
      <c r="K91" s="50" t="n">
        <f aca="false">I91/J91*100-100</f>
        <v>19.7247793730451</v>
      </c>
      <c r="L91" s="52" t="n">
        <f aca="false">21747+70400</f>
        <v>92147</v>
      </c>
      <c r="M91" s="58" t="n">
        <f aca="false">25891+57806</f>
        <v>83697</v>
      </c>
      <c r="N91" s="50" t="n">
        <f aca="false">L91/M91*100-100</f>
        <v>10.0959413121139</v>
      </c>
      <c r="O91" s="52" t="n">
        <v>46</v>
      </c>
      <c r="P91" s="58" t="n">
        <v>80</v>
      </c>
      <c r="Q91" s="52" t="n">
        <v>51</v>
      </c>
      <c r="R91" s="51" t="n">
        <f aca="false">O91*P91</f>
        <v>3680</v>
      </c>
    </row>
    <row r="92" customFormat="false" ht="14.25" hidden="false" customHeight="false" outlineLevel="0" collapsed="false">
      <c r="A92" s="93" t="n">
        <v>11</v>
      </c>
      <c r="B92" s="92" t="s">
        <v>90</v>
      </c>
      <c r="C92" s="91" t="n">
        <v>335910</v>
      </c>
      <c r="D92" s="424" t="n">
        <v>320224</v>
      </c>
      <c r="E92" s="50" t="n">
        <f aca="false">C92/D92*100-100</f>
        <v>4.89844608773858</v>
      </c>
      <c r="F92" s="58" t="n">
        <v>30519</v>
      </c>
      <c r="G92" s="58" t="n">
        <v>30337</v>
      </c>
      <c r="H92" s="50" t="n">
        <f aca="false">F92/G92*100-100</f>
        <v>0.599927481293477</v>
      </c>
      <c r="I92" s="96" t="n">
        <v>3710993</v>
      </c>
      <c r="J92" s="97" t="n">
        <v>3343949</v>
      </c>
      <c r="K92" s="50" t="n">
        <f aca="false">I92/J92*100-100</f>
        <v>10.976363574923</v>
      </c>
      <c r="L92" s="96" t="n">
        <v>11953</v>
      </c>
      <c r="M92" s="97" t="n">
        <v>25612</v>
      </c>
      <c r="N92" s="50" t="n">
        <f aca="false">L92/M92*100-100</f>
        <v>-53.3304700921443</v>
      </c>
      <c r="O92" s="52" t="n">
        <v>49</v>
      </c>
      <c r="P92" s="58" t="n">
        <v>250</v>
      </c>
      <c r="Q92" s="52" t="n">
        <v>50</v>
      </c>
      <c r="R92" s="51" t="n">
        <f aca="false">O92*P92</f>
        <v>12250</v>
      </c>
    </row>
    <row r="93" customFormat="false" ht="13.8" hidden="false" customHeight="false" outlineLevel="0" collapsed="false">
      <c r="A93" s="64" t="s">
        <v>91</v>
      </c>
      <c r="B93" s="64" t="s">
        <v>92</v>
      </c>
      <c r="C93" s="86" t="n">
        <f aca="false">SUM(C82:C92)</f>
        <v>6959260</v>
      </c>
      <c r="D93" s="86" t="n">
        <f aca="false">SUM(D82:D92)</f>
        <v>6589647</v>
      </c>
      <c r="E93" s="418" t="n">
        <f aca="false">C93/D93*100-100</f>
        <v>5.60899544391376</v>
      </c>
      <c r="F93" s="86" t="n">
        <f aca="false">SUM(F82:F92)</f>
        <v>481258</v>
      </c>
      <c r="G93" s="86" t="n">
        <f aca="false">SUM(G82:G92)</f>
        <v>597949</v>
      </c>
      <c r="H93" s="418" t="n">
        <f aca="false">F93/G93*100-100</f>
        <v>-19.5152094911104</v>
      </c>
      <c r="I93" s="86" t="n">
        <f aca="false">SUM(I82:I92)</f>
        <v>10811850</v>
      </c>
      <c r="J93" s="86" t="n">
        <f aca="false">SUM(J82:J92)</f>
        <v>10788526</v>
      </c>
      <c r="K93" s="418" t="n">
        <f aca="false">I93/J93*100-100</f>
        <v>0.216192647633235</v>
      </c>
      <c r="L93" s="86" t="n">
        <f aca="false">SUM(L82:L92)</f>
        <v>3393853</v>
      </c>
      <c r="M93" s="86" t="n">
        <f aca="false">SUM(M82:M92)</f>
        <v>3190570</v>
      </c>
      <c r="N93" s="418" t="n">
        <f aca="false">L93/M93*100-100</f>
        <v>6.37136937913915</v>
      </c>
      <c r="O93" s="65" t="n">
        <f aca="false">SUM(O82:O92)</f>
        <v>3801</v>
      </c>
      <c r="P93" s="66" t="n">
        <f aca="false">R93/O93</f>
        <v>114.226519337017</v>
      </c>
      <c r="Q93" s="65" t="n">
        <f aca="false">SUM(Q82:Q92)</f>
        <v>3883</v>
      </c>
      <c r="R93" s="81" t="n">
        <f aca="false">SUM(R82:R92)</f>
        <v>434175</v>
      </c>
    </row>
    <row r="94" customFormat="false" ht="13.8" hidden="false" customHeight="false" outlineLevel="0" collapsed="false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41"/>
      <c r="L94" s="52"/>
      <c r="M94" s="52"/>
      <c r="N94" s="52"/>
      <c r="O94" s="52"/>
      <c r="P94" s="68"/>
      <c r="Q94" s="52"/>
      <c r="R94" s="46"/>
    </row>
    <row r="95" customFormat="false" ht="13.8" hidden="false" customHeight="false" outlineLevel="0" collapsed="false">
      <c r="A95" s="39" t="s">
        <v>93</v>
      </c>
      <c r="B95" s="39"/>
      <c r="C95" s="44" t="n">
        <v>3</v>
      </c>
      <c r="D95" s="44" t="n">
        <v>4</v>
      </c>
      <c r="E95" s="45" t="n">
        <v>5</v>
      </c>
      <c r="F95" s="44" t="n">
        <v>6</v>
      </c>
      <c r="G95" s="44" t="n">
        <v>7</v>
      </c>
      <c r="H95" s="44" t="n">
        <v>8</v>
      </c>
      <c r="I95" s="44" t="n">
        <v>9</v>
      </c>
      <c r="J95" s="44" t="n">
        <v>10</v>
      </c>
      <c r="K95" s="44" t="n">
        <v>11</v>
      </c>
      <c r="L95" s="44" t="n">
        <v>12</v>
      </c>
      <c r="M95" s="44" t="n">
        <v>13</v>
      </c>
      <c r="N95" s="44" t="n">
        <v>14</v>
      </c>
      <c r="O95" s="44" t="n">
        <v>15</v>
      </c>
      <c r="P95" s="45" t="n">
        <v>16</v>
      </c>
      <c r="Q95" s="44" t="n">
        <v>17</v>
      </c>
      <c r="R95" s="46"/>
    </row>
    <row r="96" customFormat="false" ht="13.8" hidden="false" customHeight="false" outlineLevel="0" collapsed="false">
      <c r="A96" s="98" t="n">
        <v>1</v>
      </c>
      <c r="B96" s="94" t="s">
        <v>94</v>
      </c>
      <c r="C96" s="99" t="n">
        <v>449426</v>
      </c>
      <c r="D96" s="99" t="n">
        <v>309335</v>
      </c>
      <c r="E96" s="50" t="n">
        <f aca="false">C96/D96*100-100</f>
        <v>45.2877947855884</v>
      </c>
      <c r="F96" s="99" t="n">
        <v>68432</v>
      </c>
      <c r="G96" s="99" t="n">
        <v>23518</v>
      </c>
      <c r="H96" s="50" t="n">
        <f aca="false">F96/G96*100-100</f>
        <v>190.977123905094</v>
      </c>
      <c r="I96" s="99" t="n">
        <v>466110</v>
      </c>
      <c r="J96" s="100" t="n">
        <v>298907</v>
      </c>
      <c r="K96" s="72" t="n">
        <f aca="false">I96/J96*100-100</f>
        <v>55.9381346037396</v>
      </c>
      <c r="L96" s="99" t="n">
        <v>466090</v>
      </c>
      <c r="M96" s="99" t="n">
        <v>298596</v>
      </c>
      <c r="N96" s="50" t="n">
        <f aca="false">L96/M96*100-100</f>
        <v>56.0938525633297</v>
      </c>
      <c r="O96" s="99" t="n">
        <v>282</v>
      </c>
      <c r="P96" s="99" t="n">
        <v>157</v>
      </c>
      <c r="Q96" s="99" t="n">
        <v>318</v>
      </c>
      <c r="R96" s="51" t="n">
        <f aca="false">O96*P96</f>
        <v>44274</v>
      </c>
    </row>
    <row r="97" customFormat="false" ht="13.8" hidden="false" customHeight="false" outlineLevel="0" collapsed="false">
      <c r="A97" s="98" t="n">
        <v>2</v>
      </c>
      <c r="B97" s="94" t="s">
        <v>95</v>
      </c>
      <c r="C97" s="49" t="n">
        <v>0</v>
      </c>
      <c r="D97" s="49" t="n">
        <v>0</v>
      </c>
      <c r="E97" s="50" t="n">
        <v>0</v>
      </c>
      <c r="F97" s="49" t="n">
        <v>0</v>
      </c>
      <c r="G97" s="49" t="n">
        <v>0</v>
      </c>
      <c r="H97" s="50" t="n">
        <v>0</v>
      </c>
      <c r="I97" s="49" t="n">
        <v>0</v>
      </c>
      <c r="J97" s="49" t="n">
        <v>0</v>
      </c>
      <c r="K97" s="50" t="n">
        <v>0</v>
      </c>
      <c r="L97" s="49" t="n">
        <v>0</v>
      </c>
      <c r="M97" s="49" t="n">
        <v>0</v>
      </c>
      <c r="N97" s="50" t="n">
        <v>0</v>
      </c>
      <c r="O97" s="99" t="n">
        <v>0</v>
      </c>
      <c r="P97" s="99" t="n">
        <v>0</v>
      </c>
      <c r="Q97" s="99" t="n">
        <v>0</v>
      </c>
      <c r="R97" s="51" t="n">
        <f aca="false">O97*P97</f>
        <v>0</v>
      </c>
    </row>
    <row r="98" customFormat="false" ht="13.8" hidden="false" customHeight="false" outlineLevel="0" collapsed="false">
      <c r="A98" s="98" t="n">
        <v>3</v>
      </c>
      <c r="B98" s="92" t="s">
        <v>96</v>
      </c>
      <c r="C98" s="49" t="n">
        <v>0</v>
      </c>
      <c r="D98" s="49" t="n">
        <v>0</v>
      </c>
      <c r="E98" s="50" t="n">
        <v>0</v>
      </c>
      <c r="F98" s="49" t="n">
        <v>0</v>
      </c>
      <c r="G98" s="49" t="n">
        <v>0</v>
      </c>
      <c r="H98" s="50" t="n">
        <v>0</v>
      </c>
      <c r="I98" s="49" t="n">
        <v>0</v>
      </c>
      <c r="J98" s="49" t="n">
        <v>0</v>
      </c>
      <c r="K98" s="50" t="n">
        <v>0</v>
      </c>
      <c r="L98" s="49" t="n">
        <v>0</v>
      </c>
      <c r="M98" s="49" t="n">
        <v>0</v>
      </c>
      <c r="N98" s="50" t="n">
        <v>0</v>
      </c>
      <c r="O98" s="99" t="n">
        <v>0</v>
      </c>
      <c r="P98" s="99" t="n">
        <v>0</v>
      </c>
      <c r="Q98" s="99" t="n">
        <v>0</v>
      </c>
      <c r="R98" s="51" t="n">
        <v>0</v>
      </c>
      <c r="S98" s="425"/>
    </row>
    <row r="99" customFormat="false" ht="13.8" hidden="false" customHeight="false" outlineLevel="0" collapsed="false">
      <c r="A99" s="98" t="n">
        <v>4</v>
      </c>
      <c r="B99" s="92" t="s">
        <v>97</v>
      </c>
      <c r="C99" s="49" t="n">
        <v>33919</v>
      </c>
      <c r="D99" s="49" t="n">
        <v>0</v>
      </c>
      <c r="E99" s="50" t="n">
        <v>0</v>
      </c>
      <c r="F99" s="49" t="n">
        <v>2844</v>
      </c>
      <c r="G99" s="49" t="n">
        <v>0</v>
      </c>
      <c r="H99" s="50" t="n">
        <v>0</v>
      </c>
      <c r="I99" s="49" t="n">
        <v>24641</v>
      </c>
      <c r="J99" s="49" t="n">
        <v>9771</v>
      </c>
      <c r="K99" s="50" t="n">
        <v>0</v>
      </c>
      <c r="L99" s="49" t="n">
        <v>0</v>
      </c>
      <c r="M99" s="49" t="n">
        <v>0</v>
      </c>
      <c r="N99" s="50" t="n">
        <v>0</v>
      </c>
      <c r="O99" s="99" t="n">
        <v>31</v>
      </c>
      <c r="P99" s="99" t="n">
        <v>140</v>
      </c>
      <c r="Q99" s="99" t="n">
        <v>30</v>
      </c>
      <c r="R99" s="51" t="n">
        <f aca="false">O99*P99</f>
        <v>4340</v>
      </c>
    </row>
    <row r="100" customFormat="false" ht="13.8" hidden="false" customHeight="false" outlineLevel="0" collapsed="false">
      <c r="A100" s="98" t="n">
        <v>5</v>
      </c>
      <c r="B100" s="94" t="s">
        <v>98</v>
      </c>
      <c r="C100" s="99" t="n">
        <v>526149</v>
      </c>
      <c r="D100" s="99" t="n">
        <v>549659</v>
      </c>
      <c r="E100" s="50" t="n">
        <f aca="false">C100/D100*100-100</f>
        <v>-4.27719731688192</v>
      </c>
      <c r="F100" s="99" t="n">
        <v>46940</v>
      </c>
      <c r="G100" s="99" t="n">
        <v>23570</v>
      </c>
      <c r="H100" s="50" t="n">
        <f aca="false">F100/G100*100-100</f>
        <v>99.1514637250743</v>
      </c>
      <c r="I100" s="99" t="n">
        <v>566866</v>
      </c>
      <c r="J100" s="99" t="n">
        <v>624910</v>
      </c>
      <c r="K100" s="50" t="n">
        <f aca="false">I100/J100*100-100</f>
        <v>-9.2883775263638</v>
      </c>
      <c r="L100" s="99" t="n">
        <f aca="false">9126+557740</f>
        <v>566866</v>
      </c>
      <c r="M100" s="99" t="n">
        <v>624910</v>
      </c>
      <c r="N100" s="50" t="n">
        <f aca="false">L100/M100*100-100</f>
        <v>-9.2883775263638</v>
      </c>
      <c r="O100" s="99" t="n">
        <v>408</v>
      </c>
      <c r="P100" s="99" t="n">
        <v>52</v>
      </c>
      <c r="Q100" s="99" t="n">
        <v>408</v>
      </c>
      <c r="R100" s="51" t="n">
        <f aca="false">O100*P100</f>
        <v>21216</v>
      </c>
    </row>
    <row r="101" customFormat="false" ht="13.8" hidden="false" customHeight="false" outlineLevel="0" collapsed="false">
      <c r="A101" s="98" t="n">
        <v>6</v>
      </c>
      <c r="B101" s="94" t="s">
        <v>99</v>
      </c>
      <c r="C101" s="49" t="n">
        <v>0</v>
      </c>
      <c r="D101" s="49" t="n">
        <v>0</v>
      </c>
      <c r="E101" s="50" t="n">
        <v>0</v>
      </c>
      <c r="F101" s="49" t="n">
        <v>0</v>
      </c>
      <c r="G101" s="49" t="n">
        <v>0</v>
      </c>
      <c r="H101" s="50" t="n">
        <v>0</v>
      </c>
      <c r="I101" s="49" t="n">
        <v>0</v>
      </c>
      <c r="J101" s="49" t="n">
        <v>0</v>
      </c>
      <c r="K101" s="50" t="n">
        <v>0</v>
      </c>
      <c r="L101" s="49" t="n">
        <v>0</v>
      </c>
      <c r="M101" s="49" t="n">
        <v>0</v>
      </c>
      <c r="N101" s="50" t="n">
        <v>0</v>
      </c>
      <c r="O101" s="99" t="n">
        <v>0</v>
      </c>
      <c r="P101" s="99" t="n">
        <v>0</v>
      </c>
      <c r="Q101" s="99" t="n">
        <v>0</v>
      </c>
      <c r="R101" s="51" t="n">
        <f aca="false">O101*P101</f>
        <v>0</v>
      </c>
    </row>
    <row r="102" customFormat="false" ht="13.8" hidden="false" customHeight="false" outlineLevel="0" collapsed="false">
      <c r="A102" s="98" t="n">
        <v>7</v>
      </c>
      <c r="B102" s="92" t="s">
        <v>100</v>
      </c>
      <c r="C102" s="49" t="n">
        <v>0</v>
      </c>
      <c r="D102" s="49" t="n">
        <v>0</v>
      </c>
      <c r="E102" s="50" t="n">
        <v>0</v>
      </c>
      <c r="F102" s="49" t="n">
        <v>0</v>
      </c>
      <c r="G102" s="49" t="n">
        <v>0</v>
      </c>
      <c r="H102" s="50" t="n">
        <v>0</v>
      </c>
      <c r="I102" s="49" t="n">
        <v>0</v>
      </c>
      <c r="J102" s="49" t="n">
        <v>0</v>
      </c>
      <c r="K102" s="50" t="n">
        <v>0</v>
      </c>
      <c r="L102" s="49" t="n">
        <v>0</v>
      </c>
      <c r="M102" s="49" t="n">
        <v>0</v>
      </c>
      <c r="N102" s="50" t="n">
        <v>0</v>
      </c>
      <c r="O102" s="99" t="n">
        <v>0</v>
      </c>
      <c r="P102" s="99" t="n">
        <v>0</v>
      </c>
      <c r="Q102" s="99" t="n">
        <v>0</v>
      </c>
      <c r="R102" s="51" t="n">
        <f aca="false">O102*P102</f>
        <v>0</v>
      </c>
    </row>
    <row r="103" customFormat="false" ht="13.8" hidden="false" customHeight="false" outlineLevel="0" collapsed="false">
      <c r="A103" s="98" t="n">
        <v>8</v>
      </c>
      <c r="B103" s="94" t="s">
        <v>101</v>
      </c>
      <c r="C103" s="58" t="n">
        <v>349057</v>
      </c>
      <c r="D103" s="58" t="n">
        <v>370547</v>
      </c>
      <c r="E103" s="50" t="n">
        <f aca="false">C103/D103*100-100</f>
        <v>-5.799534202139</v>
      </c>
      <c r="F103" s="58" t="n">
        <v>12321</v>
      </c>
      <c r="G103" s="58" t="n">
        <v>38236</v>
      </c>
      <c r="H103" s="50" t="n">
        <f aca="false">F103/G103*100-100</f>
        <v>-67.7764410503191</v>
      </c>
      <c r="I103" s="58" t="n">
        <v>395312</v>
      </c>
      <c r="J103" s="58" t="n">
        <v>323560</v>
      </c>
      <c r="K103" s="50" t="n">
        <f aca="false">I103/J103*100-100</f>
        <v>22.17579428854</v>
      </c>
      <c r="L103" s="58" t="n">
        <f aca="false">38543+69157</f>
        <v>107700</v>
      </c>
      <c r="M103" s="58" t="n">
        <f aca="false">10836+96385</f>
        <v>107221</v>
      </c>
      <c r="N103" s="72" t="n">
        <f aca="false">L103/M103*100-100</f>
        <v>0.446740843678015</v>
      </c>
      <c r="O103" s="99" t="n">
        <v>120</v>
      </c>
      <c r="P103" s="99" t="n">
        <v>74</v>
      </c>
      <c r="Q103" s="99" t="n">
        <v>118</v>
      </c>
      <c r="R103" s="51" t="n">
        <f aca="false">O103*P103</f>
        <v>8880</v>
      </c>
    </row>
    <row r="104" customFormat="false" ht="13.8" hidden="false" customHeight="false" outlineLevel="0" collapsed="false">
      <c r="A104" s="98" t="n">
        <v>9</v>
      </c>
      <c r="B104" s="94" t="s">
        <v>102</v>
      </c>
      <c r="C104" s="49" t="n">
        <v>0</v>
      </c>
      <c r="D104" s="49" t="n">
        <v>0</v>
      </c>
      <c r="E104" s="50" t="n">
        <v>0</v>
      </c>
      <c r="F104" s="49" t="n">
        <v>0</v>
      </c>
      <c r="G104" s="49" t="n">
        <v>0</v>
      </c>
      <c r="H104" s="50" t="n">
        <v>0</v>
      </c>
      <c r="I104" s="49" t="n">
        <v>0</v>
      </c>
      <c r="J104" s="49" t="n">
        <v>0</v>
      </c>
      <c r="K104" s="50" t="n">
        <v>0</v>
      </c>
      <c r="L104" s="49" t="n">
        <v>0</v>
      </c>
      <c r="M104" s="49" t="n">
        <v>0</v>
      </c>
      <c r="N104" s="50" t="n">
        <v>0</v>
      </c>
      <c r="O104" s="99" t="n">
        <v>0</v>
      </c>
      <c r="P104" s="99" t="n">
        <v>0</v>
      </c>
      <c r="Q104" s="99" t="n">
        <v>0</v>
      </c>
      <c r="R104" s="51" t="n">
        <f aca="false">O104*P104</f>
        <v>0</v>
      </c>
    </row>
    <row r="105" customFormat="false" ht="13.8" hidden="false" customHeight="false" outlineLevel="0" collapsed="false">
      <c r="A105" s="98" t="n">
        <v>10</v>
      </c>
      <c r="B105" s="92" t="s">
        <v>220</v>
      </c>
      <c r="C105" s="52" t="n">
        <v>153896</v>
      </c>
      <c r="D105" s="52" t="n">
        <v>125671</v>
      </c>
      <c r="E105" s="50" t="n">
        <f aca="false">C105/D105*100-100</f>
        <v>22.4594377382212</v>
      </c>
      <c r="F105" s="52" t="n">
        <v>0</v>
      </c>
      <c r="G105" s="52" t="n">
        <v>0</v>
      </c>
      <c r="H105" s="50" t="n">
        <v>0</v>
      </c>
      <c r="I105" s="52" t="n">
        <v>153896</v>
      </c>
      <c r="J105" s="52" t="n">
        <v>125671</v>
      </c>
      <c r="K105" s="50" t="n">
        <f aca="false">I105/J105*100-100</f>
        <v>22.4594377382212</v>
      </c>
      <c r="L105" s="52" t="n">
        <v>153896</v>
      </c>
      <c r="M105" s="52" t="n">
        <v>125671</v>
      </c>
      <c r="N105" s="50" t="n">
        <f aca="false">L105/M105*100-100</f>
        <v>22.4594377382212</v>
      </c>
      <c r="O105" s="99" t="n">
        <v>92</v>
      </c>
      <c r="P105" s="99" t="n">
        <v>57</v>
      </c>
      <c r="Q105" s="99" t="n">
        <v>87</v>
      </c>
      <c r="R105" s="51" t="n">
        <f aca="false">O105*P105</f>
        <v>5244</v>
      </c>
    </row>
    <row r="106" customFormat="false" ht="13.8" hidden="false" customHeight="false" outlineLevel="0" collapsed="false">
      <c r="A106" s="98" t="n">
        <v>11</v>
      </c>
      <c r="B106" s="94" t="s">
        <v>104</v>
      </c>
      <c r="C106" s="49" t="n">
        <v>0</v>
      </c>
      <c r="D106" s="49" t="n">
        <v>0</v>
      </c>
      <c r="E106" s="50" t="n">
        <v>0</v>
      </c>
      <c r="F106" s="49" t="n">
        <v>0</v>
      </c>
      <c r="G106" s="49" t="n">
        <v>0</v>
      </c>
      <c r="H106" s="50" t="n">
        <v>0</v>
      </c>
      <c r="I106" s="49" t="n">
        <v>0</v>
      </c>
      <c r="J106" s="49" t="n">
        <v>0</v>
      </c>
      <c r="K106" s="50" t="n">
        <v>0</v>
      </c>
      <c r="L106" s="49" t="n">
        <v>0</v>
      </c>
      <c r="M106" s="49" t="n">
        <v>0</v>
      </c>
      <c r="N106" s="50" t="n">
        <v>0</v>
      </c>
      <c r="O106" s="99" t="n">
        <v>0</v>
      </c>
      <c r="P106" s="99" t="n">
        <v>0</v>
      </c>
      <c r="Q106" s="99" t="n">
        <v>0</v>
      </c>
      <c r="R106" s="51" t="n">
        <f aca="false">O106*P106</f>
        <v>0</v>
      </c>
    </row>
    <row r="107" customFormat="false" ht="13.8" hidden="false" customHeight="false" outlineLevel="0" collapsed="false">
      <c r="A107" s="98" t="n">
        <v>12</v>
      </c>
      <c r="B107" s="94" t="s">
        <v>221</v>
      </c>
      <c r="C107" s="100" t="n">
        <v>75582</v>
      </c>
      <c r="D107" s="99" t="n">
        <v>86524</v>
      </c>
      <c r="E107" s="50" t="n">
        <f aca="false">C107/D107*100-100</f>
        <v>-12.6462022097915</v>
      </c>
      <c r="F107" s="100" t="n">
        <v>0</v>
      </c>
      <c r="G107" s="99" t="n">
        <v>0</v>
      </c>
      <c r="H107" s="50" t="n">
        <v>0</v>
      </c>
      <c r="I107" s="100" t="n">
        <v>75582</v>
      </c>
      <c r="J107" s="100" t="n">
        <v>86524</v>
      </c>
      <c r="K107" s="50" t="n">
        <f aca="false">I107/J107*100-100</f>
        <v>-12.6462022097915</v>
      </c>
      <c r="L107" s="99" t="n">
        <v>0</v>
      </c>
      <c r="M107" s="99" t="n">
        <v>0</v>
      </c>
      <c r="N107" s="50" t="n">
        <v>0</v>
      </c>
      <c r="O107" s="99" t="n">
        <v>8</v>
      </c>
      <c r="P107" s="99" t="n">
        <v>58</v>
      </c>
      <c r="Q107" s="99" t="n">
        <v>12</v>
      </c>
      <c r="R107" s="51" t="n">
        <f aca="false">O107*P107</f>
        <v>464</v>
      </c>
    </row>
    <row r="108" customFormat="false" ht="13.8" hidden="false" customHeight="false" outlineLevel="0" collapsed="false">
      <c r="A108" s="98" t="n">
        <v>13</v>
      </c>
      <c r="B108" s="94" t="s">
        <v>222</v>
      </c>
      <c r="C108" s="100" t="n">
        <v>45419</v>
      </c>
      <c r="D108" s="100" t="n">
        <v>50467</v>
      </c>
      <c r="E108" s="109" t="n">
        <f aca="false">C108/D108*100-100</f>
        <v>-10.0025759407137</v>
      </c>
      <c r="F108" s="100" t="n">
        <v>7516</v>
      </c>
      <c r="G108" s="100" t="n">
        <v>2128</v>
      </c>
      <c r="H108" s="100" t="n">
        <f aca="false">F108/G108*100-100</f>
        <v>253.195488721804</v>
      </c>
      <c r="I108" s="100" t="n">
        <v>41118</v>
      </c>
      <c r="J108" s="100" t="n">
        <v>98948</v>
      </c>
      <c r="K108" s="109" t="n">
        <f aca="false">I108/J108*100-100</f>
        <v>-58.4448397137891</v>
      </c>
      <c r="L108" s="100" t="n">
        <v>28156</v>
      </c>
      <c r="M108" s="100" t="n">
        <f aca="false">28982+52721</f>
        <v>81703</v>
      </c>
      <c r="N108" s="109" t="n">
        <f aca="false">L108/M108*100-100</f>
        <v>-65.5385971139371</v>
      </c>
      <c r="O108" s="100" t="n">
        <v>75</v>
      </c>
      <c r="P108" s="100" t="n">
        <v>60</v>
      </c>
      <c r="Q108" s="100" t="n">
        <v>74</v>
      </c>
      <c r="R108" s="51" t="n">
        <f aca="false">O108*P108</f>
        <v>4500</v>
      </c>
    </row>
    <row r="109" customFormat="false" ht="13.8" hidden="false" customHeight="false" outlineLevel="0" collapsed="false">
      <c r="A109" s="98" t="n">
        <v>14</v>
      </c>
      <c r="B109" s="94" t="s">
        <v>223</v>
      </c>
      <c r="C109" s="49" t="n">
        <v>0</v>
      </c>
      <c r="D109" s="49" t="n">
        <v>0</v>
      </c>
      <c r="E109" s="50" t="n">
        <v>0</v>
      </c>
      <c r="F109" s="49" t="n">
        <v>0</v>
      </c>
      <c r="G109" s="49" t="n">
        <v>0</v>
      </c>
      <c r="H109" s="50" t="n">
        <v>0</v>
      </c>
      <c r="I109" s="49" t="n">
        <v>0</v>
      </c>
      <c r="J109" s="49" t="n">
        <v>0</v>
      </c>
      <c r="K109" s="50" t="n">
        <v>0</v>
      </c>
      <c r="L109" s="49" t="n">
        <v>0</v>
      </c>
      <c r="M109" s="49" t="n">
        <v>0</v>
      </c>
      <c r="N109" s="50" t="n">
        <v>0</v>
      </c>
      <c r="O109" s="99" t="n">
        <v>0</v>
      </c>
      <c r="P109" s="99" t="n">
        <v>0</v>
      </c>
      <c r="Q109" s="99" t="n">
        <v>0</v>
      </c>
      <c r="R109" s="51" t="n">
        <f aca="false">O109*P109</f>
        <v>0</v>
      </c>
    </row>
    <row r="110" customFormat="false" ht="13.8" hidden="false" customHeight="false" outlineLevel="0" collapsed="false">
      <c r="A110" s="98" t="n">
        <v>15</v>
      </c>
      <c r="B110" s="94" t="s">
        <v>224</v>
      </c>
      <c r="C110" s="58" t="n">
        <v>121086</v>
      </c>
      <c r="D110" s="58" t="n">
        <v>73285</v>
      </c>
      <c r="E110" s="50" t="n">
        <f aca="false">C110/D110*100-100</f>
        <v>65.2261717950467</v>
      </c>
      <c r="F110" s="58" t="n">
        <v>15105</v>
      </c>
      <c r="G110" s="58" t="n">
        <v>14874</v>
      </c>
      <c r="H110" s="50" t="n">
        <f aca="false">F110/G110*100-100</f>
        <v>1.55304558289633</v>
      </c>
      <c r="I110" s="58" t="n">
        <v>121086</v>
      </c>
      <c r="J110" s="58" t="n">
        <v>73285</v>
      </c>
      <c r="K110" s="50" t="n">
        <v>0</v>
      </c>
      <c r="L110" s="58" t="n">
        <v>121086</v>
      </c>
      <c r="M110" s="58" t="n">
        <v>73285</v>
      </c>
      <c r="N110" s="50" t="n">
        <f aca="false">L110/M110*100-100</f>
        <v>65.2261717950467</v>
      </c>
      <c r="O110" s="99" t="n">
        <v>90</v>
      </c>
      <c r="P110" s="99" t="n">
        <v>85</v>
      </c>
      <c r="Q110" s="99" t="n">
        <v>91</v>
      </c>
      <c r="R110" s="51" t="n">
        <f aca="false">O110*P110</f>
        <v>7650</v>
      </c>
    </row>
    <row r="111" customFormat="false" ht="13.8" hidden="false" customHeight="false" outlineLevel="0" collapsed="false">
      <c r="A111" s="98" t="n">
        <v>16</v>
      </c>
      <c r="B111" s="94" t="s">
        <v>109</v>
      </c>
      <c r="C111" s="58" t="n">
        <v>239620</v>
      </c>
      <c r="D111" s="58" t="n">
        <v>442656</v>
      </c>
      <c r="E111" s="50" t="n">
        <f aca="false">C111/D111*100-100</f>
        <v>-45.8676715101569</v>
      </c>
      <c r="F111" s="58" t="n">
        <v>32661</v>
      </c>
      <c r="G111" s="58" t="n">
        <v>6943</v>
      </c>
      <c r="H111" s="50" t="n">
        <f aca="false">F111/G111*100-100</f>
        <v>370.416246579289</v>
      </c>
      <c r="I111" s="58" t="n">
        <v>240333</v>
      </c>
      <c r="J111" s="58" t="n">
        <v>433349</v>
      </c>
      <c r="K111" s="50" t="n">
        <f aca="false">I111/J111*100-100</f>
        <v>-44.5405435341953</v>
      </c>
      <c r="L111" s="58" t="n">
        <v>0</v>
      </c>
      <c r="M111" s="58" t="n">
        <v>0</v>
      </c>
      <c r="N111" s="50" t="n">
        <v>0</v>
      </c>
      <c r="O111" s="99" t="n">
        <v>96</v>
      </c>
      <c r="P111" s="99" t="n">
        <v>70</v>
      </c>
      <c r="Q111" s="99" t="n">
        <v>100</v>
      </c>
      <c r="R111" s="51" t="n">
        <f aca="false">O111*P111</f>
        <v>6720</v>
      </c>
    </row>
    <row r="112" customFormat="false" ht="13.8" hidden="false" customHeight="false" outlineLevel="0" collapsed="false">
      <c r="A112" s="98" t="n">
        <v>17</v>
      </c>
      <c r="B112" s="94" t="s">
        <v>110</v>
      </c>
      <c r="C112" s="100" t="n">
        <v>746524</v>
      </c>
      <c r="D112" s="99" t="n">
        <v>930712</v>
      </c>
      <c r="E112" s="50" t="n">
        <f aca="false">C112/D112*100-100</f>
        <v>-19.7900102287281</v>
      </c>
      <c r="F112" s="100" t="n">
        <v>101394</v>
      </c>
      <c r="G112" s="100" t="n">
        <v>87940</v>
      </c>
      <c r="H112" s="50" t="n">
        <f aca="false">F112/G112*100-100</f>
        <v>15.2990675460541</v>
      </c>
      <c r="I112" s="100" t="n">
        <v>718778</v>
      </c>
      <c r="J112" s="100" t="n">
        <v>918576</v>
      </c>
      <c r="K112" s="50" t="n">
        <f aca="false">I112/J112*100-100</f>
        <v>-21.7508404312762</v>
      </c>
      <c r="L112" s="99" t="n">
        <v>0</v>
      </c>
      <c r="M112" s="99" t="n">
        <v>0</v>
      </c>
      <c r="N112" s="100" t="n">
        <v>0</v>
      </c>
      <c r="O112" s="99" t="n">
        <v>168</v>
      </c>
      <c r="P112" s="99" t="n">
        <v>100</v>
      </c>
      <c r="Q112" s="99" t="n">
        <v>168</v>
      </c>
      <c r="R112" s="51" t="n">
        <f aca="false">O112*P112</f>
        <v>16800</v>
      </c>
    </row>
    <row r="113" customFormat="false" ht="13.8" hidden="false" customHeight="false" outlineLevel="0" collapsed="false">
      <c r="A113" s="98" t="n">
        <v>18</v>
      </c>
      <c r="B113" s="92" t="s">
        <v>111</v>
      </c>
      <c r="C113" s="58" t="n">
        <v>523825</v>
      </c>
      <c r="D113" s="58" t="n">
        <v>451894</v>
      </c>
      <c r="E113" s="50" t="n">
        <f aca="false">C113/D113*100-100</f>
        <v>15.9176709582336</v>
      </c>
      <c r="F113" s="58" t="n">
        <v>14259</v>
      </c>
      <c r="G113" s="58" t="n">
        <v>85008</v>
      </c>
      <c r="H113" s="50" t="n">
        <v>0</v>
      </c>
      <c r="I113" s="58" t="n">
        <v>523825</v>
      </c>
      <c r="J113" s="58" t="n">
        <v>451834</v>
      </c>
      <c r="K113" s="50" t="n">
        <f aca="false">I113/J113*100-100</f>
        <v>15.9330639128529</v>
      </c>
      <c r="L113" s="58" t="n">
        <v>523825</v>
      </c>
      <c r="M113" s="58" t="n">
        <v>451834</v>
      </c>
      <c r="N113" s="50" t="n">
        <f aca="false">L113/M113*100-100</f>
        <v>15.9330639128529</v>
      </c>
      <c r="O113" s="99" t="n">
        <v>7</v>
      </c>
      <c r="P113" s="99" t="n">
        <v>70</v>
      </c>
      <c r="Q113" s="99" t="n">
        <v>117</v>
      </c>
      <c r="R113" s="51" t="n">
        <f aca="false">O113*P113</f>
        <v>490</v>
      </c>
    </row>
    <row r="114" customFormat="false" ht="13.8" hidden="false" customHeight="false" outlineLevel="0" collapsed="false">
      <c r="A114" s="98" t="n">
        <v>19</v>
      </c>
      <c r="B114" s="94" t="s">
        <v>112</v>
      </c>
      <c r="C114" s="49" t="n">
        <v>0</v>
      </c>
      <c r="D114" s="49" t="n">
        <v>0</v>
      </c>
      <c r="E114" s="50" t="n">
        <v>0</v>
      </c>
      <c r="F114" s="49" t="n">
        <v>0</v>
      </c>
      <c r="G114" s="49" t="n">
        <v>0</v>
      </c>
      <c r="H114" s="50" t="n">
        <v>0</v>
      </c>
      <c r="I114" s="49" t="n">
        <v>0</v>
      </c>
      <c r="J114" s="49" t="n">
        <v>0</v>
      </c>
      <c r="K114" s="50" t="n">
        <v>0</v>
      </c>
      <c r="L114" s="49" t="n">
        <v>0</v>
      </c>
      <c r="M114" s="49" t="n">
        <v>0</v>
      </c>
      <c r="N114" s="50" t="n">
        <v>0</v>
      </c>
      <c r="O114" s="100" t="n">
        <v>0</v>
      </c>
      <c r="P114" s="100" t="n">
        <v>0</v>
      </c>
      <c r="Q114" s="100" t="n">
        <v>0</v>
      </c>
      <c r="R114" s="51" t="n">
        <f aca="false">O114*P114</f>
        <v>0</v>
      </c>
    </row>
    <row r="115" customFormat="false" ht="13.8" hidden="false" customHeight="false" outlineLevel="0" collapsed="false">
      <c r="A115" s="98" t="n">
        <v>20</v>
      </c>
      <c r="B115" s="94" t="s">
        <v>113</v>
      </c>
      <c r="C115" s="49" t="n">
        <v>0</v>
      </c>
      <c r="D115" s="49" t="n">
        <v>0</v>
      </c>
      <c r="E115" s="50" t="n">
        <v>0</v>
      </c>
      <c r="F115" s="49" t="n">
        <v>0</v>
      </c>
      <c r="G115" s="49" t="n">
        <v>0</v>
      </c>
      <c r="H115" s="50" t="n">
        <v>0</v>
      </c>
      <c r="I115" s="49" t="n">
        <v>0</v>
      </c>
      <c r="J115" s="49" t="n">
        <v>0</v>
      </c>
      <c r="K115" s="50" t="n">
        <v>0</v>
      </c>
      <c r="L115" s="49" t="n">
        <v>0</v>
      </c>
      <c r="M115" s="49" t="n">
        <v>0</v>
      </c>
      <c r="N115" s="50" t="n">
        <v>0</v>
      </c>
      <c r="O115" s="100" t="n">
        <v>0</v>
      </c>
      <c r="P115" s="100" t="n">
        <v>0</v>
      </c>
      <c r="Q115" s="100" t="n">
        <v>0</v>
      </c>
      <c r="R115" s="51" t="n">
        <f aca="false">O115*P115</f>
        <v>0</v>
      </c>
    </row>
    <row r="116" customFormat="false" ht="13.8" hidden="false" customHeight="false" outlineLevel="0" collapsed="false">
      <c r="A116" s="98" t="n">
        <v>21</v>
      </c>
      <c r="B116" s="94" t="s">
        <v>225</v>
      </c>
      <c r="C116" s="99" t="n">
        <v>91275</v>
      </c>
      <c r="D116" s="99" t="n">
        <v>49598</v>
      </c>
      <c r="E116" s="50" t="n">
        <f aca="false">C116/D116*100-100</f>
        <v>84.02959796766</v>
      </c>
      <c r="F116" s="99" t="n">
        <v>8100</v>
      </c>
      <c r="G116" s="99" t="n">
        <v>6480</v>
      </c>
      <c r="H116" s="50" t="n">
        <f aca="false">F116/G116*100-100</f>
        <v>25</v>
      </c>
      <c r="I116" s="99" t="n">
        <v>91275</v>
      </c>
      <c r="J116" s="99" t="n">
        <v>49598</v>
      </c>
      <c r="K116" s="50" t="n">
        <f aca="false">I116/J116*100-100</f>
        <v>84.02959796766</v>
      </c>
      <c r="L116" s="99" t="n">
        <v>64220</v>
      </c>
      <c r="M116" s="99" t="n">
        <v>47932</v>
      </c>
      <c r="N116" s="50" t="n">
        <f aca="false">L116/M116*100-100</f>
        <v>33.9814737544855</v>
      </c>
      <c r="O116" s="100" t="n">
        <v>15</v>
      </c>
      <c r="P116" s="100" t="n">
        <v>60</v>
      </c>
      <c r="Q116" s="100" t="n">
        <v>15</v>
      </c>
      <c r="R116" s="51" t="n">
        <f aca="false">O116*P116</f>
        <v>900</v>
      </c>
    </row>
    <row r="117" customFormat="false" ht="13.8" hidden="false" customHeight="false" outlineLevel="0" collapsed="false">
      <c r="A117" s="98" t="n">
        <v>22</v>
      </c>
      <c r="B117" s="92" t="s">
        <v>115</v>
      </c>
      <c r="C117" s="100" t="n">
        <v>33290</v>
      </c>
      <c r="D117" s="100" t="n">
        <v>21840</v>
      </c>
      <c r="E117" s="50" t="n">
        <f aca="false">C117/D117*100-100</f>
        <v>52.4267399267399</v>
      </c>
      <c r="F117" s="100" t="n">
        <v>2400</v>
      </c>
      <c r="G117" s="100" t="n">
        <v>1820</v>
      </c>
      <c r="H117" s="50" t="n">
        <f aca="false">F117/G117*100-100</f>
        <v>31.8681318681319</v>
      </c>
      <c r="I117" s="100" t="n">
        <v>51264</v>
      </c>
      <c r="J117" s="100" t="n">
        <v>49408</v>
      </c>
      <c r="K117" s="50" t="n">
        <f aca="false">I117/J117*100-100</f>
        <v>3.75647668393782</v>
      </c>
      <c r="L117" s="99" t="n">
        <v>0</v>
      </c>
      <c r="M117" s="100" t="n">
        <v>0</v>
      </c>
      <c r="N117" s="50" t="n">
        <v>0</v>
      </c>
      <c r="O117" s="100" t="n">
        <v>13</v>
      </c>
      <c r="P117" s="100" t="n">
        <v>93</v>
      </c>
      <c r="Q117" s="100" t="n">
        <v>13</v>
      </c>
      <c r="R117" s="51" t="n">
        <f aca="false">O117*P117</f>
        <v>1209</v>
      </c>
    </row>
    <row r="118" customFormat="false" ht="13.8" hidden="false" customHeight="false" outlineLevel="0" collapsed="false">
      <c r="A118" s="98" t="n">
        <v>23</v>
      </c>
      <c r="B118" s="92" t="s">
        <v>116</v>
      </c>
      <c r="C118" s="100" t="n">
        <v>140857</v>
      </c>
      <c r="D118" s="99" t="n">
        <v>130489</v>
      </c>
      <c r="E118" s="50" t="n">
        <f aca="false">C118/D118*100-100</f>
        <v>7.94549732161332</v>
      </c>
      <c r="F118" s="100" t="n">
        <v>8746</v>
      </c>
      <c r="G118" s="100" t="n">
        <v>12102</v>
      </c>
      <c r="H118" s="50" t="n">
        <f aca="false">F118/G118*100-100</f>
        <v>-27.7309535613948</v>
      </c>
      <c r="I118" s="100" t="n">
        <v>142110</v>
      </c>
      <c r="J118" s="100" t="n">
        <v>133760</v>
      </c>
      <c r="K118" s="50" t="n">
        <v>0</v>
      </c>
      <c r="L118" s="99" t="n">
        <v>0</v>
      </c>
      <c r="M118" s="99" t="n">
        <v>5713</v>
      </c>
      <c r="N118" s="50" t="n">
        <v>0</v>
      </c>
      <c r="O118" s="100" t="n">
        <v>37</v>
      </c>
      <c r="P118" s="100" t="n">
        <v>80</v>
      </c>
      <c r="Q118" s="100" t="n">
        <v>36</v>
      </c>
      <c r="R118" s="51" t="n">
        <f aca="false">O118*P118</f>
        <v>2960</v>
      </c>
    </row>
    <row r="119" customFormat="false" ht="13.8" hidden="false" customHeight="false" outlineLevel="0" collapsed="false">
      <c r="A119" s="98" t="n">
        <v>24</v>
      </c>
      <c r="B119" s="94" t="s">
        <v>117</v>
      </c>
      <c r="C119" s="99" t="n">
        <v>47951</v>
      </c>
      <c r="D119" s="99" t="n">
        <v>32809</v>
      </c>
      <c r="E119" s="50" t="n">
        <f aca="false">C119/D119*100-100</f>
        <v>46.1519704959005</v>
      </c>
      <c r="F119" s="99" t="n">
        <v>6160</v>
      </c>
      <c r="G119" s="100" t="n">
        <v>1334</v>
      </c>
      <c r="H119" s="50" t="n">
        <f aca="false">F119/G119*100-100</f>
        <v>361.769115442279</v>
      </c>
      <c r="I119" s="99" t="n">
        <v>139969</v>
      </c>
      <c r="J119" s="99" t="n">
        <v>163156</v>
      </c>
      <c r="K119" s="50" t="n">
        <f aca="false">I119/J119*100-100</f>
        <v>-14.2115521341538</v>
      </c>
      <c r="L119" s="103" t="n">
        <v>0</v>
      </c>
      <c r="M119" s="99" t="n">
        <v>0</v>
      </c>
      <c r="N119" s="50" t="n">
        <v>0</v>
      </c>
      <c r="O119" s="100" t="n">
        <v>50</v>
      </c>
      <c r="P119" s="100" t="n">
        <v>58</v>
      </c>
      <c r="Q119" s="100" t="n">
        <v>53</v>
      </c>
      <c r="R119" s="51" t="n">
        <f aca="false">O119*P119</f>
        <v>2900</v>
      </c>
    </row>
    <row r="120" customFormat="false" ht="13.8" hidden="false" customHeight="false" outlineLevel="0" collapsed="false">
      <c r="A120" s="98" t="n">
        <v>25</v>
      </c>
      <c r="B120" s="94" t="s">
        <v>118</v>
      </c>
      <c r="C120" s="99" t="n">
        <v>39091</v>
      </c>
      <c r="D120" s="99" t="n">
        <v>29774</v>
      </c>
      <c r="E120" s="50" t="n">
        <f aca="false">C120/D120*100-100</f>
        <v>31.2924027675153</v>
      </c>
      <c r="F120" s="99" t="n">
        <v>3458</v>
      </c>
      <c r="G120" s="99" t="n">
        <v>1453</v>
      </c>
      <c r="H120" s="50" t="n">
        <f aca="false">F120/G120*100-100</f>
        <v>137.99036476256</v>
      </c>
      <c r="I120" s="99" t="n">
        <v>39516</v>
      </c>
      <c r="J120" s="99" t="n">
        <v>31021</v>
      </c>
      <c r="K120" s="50" t="n">
        <f aca="false">I120/J120*100-100</f>
        <v>27.38467489765</v>
      </c>
      <c r="L120" s="99" t="n">
        <v>0</v>
      </c>
      <c r="M120" s="99" t="n">
        <v>0</v>
      </c>
      <c r="N120" s="50" t="n">
        <v>0</v>
      </c>
      <c r="O120" s="100" t="n">
        <v>23</v>
      </c>
      <c r="P120" s="100" t="n">
        <v>54</v>
      </c>
      <c r="Q120" s="100" t="n">
        <v>23</v>
      </c>
      <c r="R120" s="51" t="n">
        <f aca="false">O120*P120</f>
        <v>1242</v>
      </c>
    </row>
    <row r="121" customFormat="false" ht="13.8" hidden="false" customHeight="false" outlineLevel="0" collapsed="false">
      <c r="A121" s="64" t="s">
        <v>119</v>
      </c>
      <c r="B121" s="64" t="s">
        <v>119</v>
      </c>
      <c r="C121" s="65" t="n">
        <f aca="false">SUM(C96:C120)</f>
        <v>3616967</v>
      </c>
      <c r="D121" s="65" t="n">
        <f aca="false">SUM(D96:D120)</f>
        <v>3655260</v>
      </c>
      <c r="E121" s="418" t="n">
        <f aca="false">C121/D121*100-100</f>
        <v>-1.04761357605204</v>
      </c>
      <c r="F121" s="65" t="n">
        <f aca="false">SUM(F96:F120)</f>
        <v>330336</v>
      </c>
      <c r="G121" s="65" t="n">
        <f aca="false">SUM(G96:G120)</f>
        <v>305406</v>
      </c>
      <c r="H121" s="418" t="n">
        <f aca="false">F121/G121*100-100</f>
        <v>8.16290446160193</v>
      </c>
      <c r="I121" s="65" t="n">
        <f aca="false">SUM(I96:I120)</f>
        <v>3791681</v>
      </c>
      <c r="J121" s="65" t="n">
        <f aca="false">SUM(J96:J120)</f>
        <v>3872278</v>
      </c>
      <c r="K121" s="418" t="n">
        <f aca="false">I121/J121*100-100</f>
        <v>-2.08138465265148</v>
      </c>
      <c r="L121" s="65" t="n">
        <f aca="false">SUM(L96:L120)</f>
        <v>2031839</v>
      </c>
      <c r="M121" s="65" t="n">
        <f aca="false">SUM(M96:M120)</f>
        <v>1816865</v>
      </c>
      <c r="N121" s="418" t="n">
        <f aca="false">L121/M121*100-100</f>
        <v>11.83213942698</v>
      </c>
      <c r="O121" s="65" t="n">
        <f aca="false">SUM(O96:O120)</f>
        <v>1515</v>
      </c>
      <c r="P121" s="66" t="n">
        <f aca="false">R121/O121</f>
        <v>85.6693069306931</v>
      </c>
      <c r="Q121" s="65" t="n">
        <f aca="false">SUM(Q96:Q120)</f>
        <v>1663</v>
      </c>
      <c r="R121" s="81" t="n">
        <f aca="false">SUM(R96:R120)</f>
        <v>129789</v>
      </c>
    </row>
    <row r="122" customFormat="false" ht="13.8" hidden="false" customHeight="false" outlineLevel="0" collapsed="false">
      <c r="A122" s="104"/>
      <c r="B122" s="104"/>
      <c r="C122" s="105"/>
      <c r="D122" s="105"/>
      <c r="E122" s="106"/>
      <c r="F122" s="105"/>
      <c r="G122" s="105"/>
      <c r="H122" s="106"/>
      <c r="I122" s="105"/>
      <c r="J122" s="105"/>
      <c r="K122" s="106"/>
      <c r="L122" s="105"/>
      <c r="M122" s="105"/>
      <c r="N122" s="106"/>
      <c r="O122" s="105"/>
      <c r="P122" s="106"/>
      <c r="Q122" s="105"/>
      <c r="R122" s="51" t="n">
        <f aca="false">O122*P122</f>
        <v>0</v>
      </c>
    </row>
    <row r="123" customFormat="false" ht="13.8" hidden="false" customHeight="false" outlineLevel="0" collapsed="false">
      <c r="A123" s="44"/>
      <c r="B123" s="44" t="s">
        <v>120</v>
      </c>
      <c r="C123" s="44" t="n">
        <v>3</v>
      </c>
      <c r="D123" s="44" t="n">
        <v>4</v>
      </c>
      <c r="E123" s="45" t="n">
        <v>5</v>
      </c>
      <c r="F123" s="44" t="n">
        <v>6</v>
      </c>
      <c r="G123" s="44" t="n">
        <v>7</v>
      </c>
      <c r="H123" s="44" t="n">
        <v>8</v>
      </c>
      <c r="I123" s="44" t="n">
        <v>9</v>
      </c>
      <c r="J123" s="44" t="n">
        <v>10</v>
      </c>
      <c r="K123" s="44" t="n">
        <v>11</v>
      </c>
      <c r="L123" s="44" t="n">
        <v>12</v>
      </c>
      <c r="M123" s="44" t="n">
        <v>13</v>
      </c>
      <c r="N123" s="44" t="n">
        <v>14</v>
      </c>
      <c r="O123" s="44" t="n">
        <v>15</v>
      </c>
      <c r="P123" s="45" t="n">
        <v>16</v>
      </c>
      <c r="Q123" s="44" t="n">
        <v>17</v>
      </c>
      <c r="R123" s="51" t="n">
        <f aca="false">O123*P123</f>
        <v>240</v>
      </c>
    </row>
    <row r="124" customFormat="false" ht="13.8" hidden="false" customHeight="false" outlineLevel="0" collapsed="false">
      <c r="A124" s="60" t="n">
        <v>1</v>
      </c>
      <c r="B124" s="107" t="s">
        <v>122</v>
      </c>
      <c r="C124" s="52" t="n">
        <v>110434</v>
      </c>
      <c r="D124" s="52" t="n">
        <v>238042</v>
      </c>
      <c r="E124" s="50" t="n">
        <f aca="false">C124/D124*100-100</f>
        <v>-53.6073466027004</v>
      </c>
      <c r="F124" s="52" t="n">
        <v>3763</v>
      </c>
      <c r="G124" s="52" t="n">
        <v>35156</v>
      </c>
      <c r="H124" s="50" t="n">
        <f aca="false">F124/G124*100-100</f>
        <v>-89.2962794402094</v>
      </c>
      <c r="I124" s="52" t="n">
        <v>111028</v>
      </c>
      <c r="J124" s="52" t="n">
        <v>237480</v>
      </c>
      <c r="K124" s="50" t="n">
        <f aca="false">I124/J124*100-100</f>
        <v>-53.2474313626411</v>
      </c>
      <c r="L124" s="52" t="n">
        <v>54250</v>
      </c>
      <c r="M124" s="52" t="n">
        <v>3379</v>
      </c>
      <c r="N124" s="41" t="n">
        <v>0</v>
      </c>
      <c r="O124" s="68" t="n">
        <v>74</v>
      </c>
      <c r="P124" s="53" t="n">
        <v>80</v>
      </c>
      <c r="Q124" s="68" t="n">
        <v>79</v>
      </c>
      <c r="R124" s="51" t="n">
        <f aca="false">O124*P124</f>
        <v>5920</v>
      </c>
    </row>
    <row r="125" customFormat="false" ht="13.8" hidden="false" customHeight="false" outlineLevel="0" collapsed="false">
      <c r="A125" s="60" t="n">
        <v>2</v>
      </c>
      <c r="B125" s="107" t="s">
        <v>123</v>
      </c>
      <c r="C125" s="49" t="n">
        <v>0</v>
      </c>
      <c r="D125" s="49" t="n">
        <v>0</v>
      </c>
      <c r="E125" s="50" t="n">
        <v>0</v>
      </c>
      <c r="F125" s="49" t="n">
        <v>0</v>
      </c>
      <c r="G125" s="49" t="n">
        <v>0</v>
      </c>
      <c r="H125" s="50" t="n">
        <v>0</v>
      </c>
      <c r="I125" s="49" t="n">
        <v>0</v>
      </c>
      <c r="J125" s="49" t="n">
        <v>0</v>
      </c>
      <c r="K125" s="50" t="n">
        <v>0</v>
      </c>
      <c r="L125" s="49" t="n">
        <v>0</v>
      </c>
      <c r="M125" s="49" t="n">
        <v>0</v>
      </c>
      <c r="N125" s="50" t="n">
        <v>0</v>
      </c>
      <c r="O125" s="52" t="n">
        <v>0</v>
      </c>
      <c r="P125" s="53" t="n">
        <v>0</v>
      </c>
      <c r="Q125" s="52" t="n">
        <v>0</v>
      </c>
      <c r="R125" s="51" t="n">
        <f aca="false">O125*P125</f>
        <v>0</v>
      </c>
    </row>
    <row r="126" customFormat="false" ht="13.8" hidden="false" customHeight="false" outlineLevel="0" collapsed="false">
      <c r="A126" s="60" t="n">
        <v>3</v>
      </c>
      <c r="B126" s="107" t="s">
        <v>124</v>
      </c>
      <c r="C126" s="49" t="n">
        <v>0</v>
      </c>
      <c r="D126" s="49" t="n">
        <v>0</v>
      </c>
      <c r="E126" s="50" t="n">
        <v>0</v>
      </c>
      <c r="F126" s="49" t="n">
        <v>0</v>
      </c>
      <c r="G126" s="49" t="n">
        <v>0</v>
      </c>
      <c r="H126" s="50" t="n">
        <v>0</v>
      </c>
      <c r="I126" s="49" t="n">
        <v>0</v>
      </c>
      <c r="J126" s="49" t="n">
        <v>0</v>
      </c>
      <c r="K126" s="50" t="n">
        <v>0</v>
      </c>
      <c r="L126" s="49" t="n">
        <v>0</v>
      </c>
      <c r="M126" s="49" t="n">
        <v>0</v>
      </c>
      <c r="N126" s="50" t="n">
        <v>0</v>
      </c>
      <c r="O126" s="52" t="n">
        <v>0</v>
      </c>
      <c r="P126" s="53" t="n">
        <v>0</v>
      </c>
      <c r="Q126" s="52" t="n">
        <v>0</v>
      </c>
      <c r="R126" s="51" t="n">
        <f aca="false">O126*P126</f>
        <v>0</v>
      </c>
    </row>
    <row r="127" customFormat="false" ht="13.8" hidden="false" customHeight="false" outlineLevel="0" collapsed="false">
      <c r="A127" s="60" t="n">
        <v>4</v>
      </c>
      <c r="B127" s="108" t="s">
        <v>125</v>
      </c>
      <c r="C127" s="100" t="n">
        <v>4195</v>
      </c>
      <c r="D127" s="100" t="n">
        <v>4782</v>
      </c>
      <c r="E127" s="50" t="n">
        <v>0</v>
      </c>
      <c r="F127" s="100" t="n">
        <v>2700</v>
      </c>
      <c r="G127" s="100" t="n">
        <v>0</v>
      </c>
      <c r="H127" s="50" t="n">
        <v>0</v>
      </c>
      <c r="I127" s="100" t="n">
        <v>11853</v>
      </c>
      <c r="J127" s="100" t="n">
        <v>9337</v>
      </c>
      <c r="K127" s="50" t="n">
        <f aca="false">I127/J127*100-100</f>
        <v>26.946556709864</v>
      </c>
      <c r="L127" s="100" t="n">
        <v>0</v>
      </c>
      <c r="M127" s="100" t="n">
        <v>0</v>
      </c>
      <c r="N127" s="100" t="n">
        <v>0</v>
      </c>
      <c r="O127" s="68" t="n">
        <v>8</v>
      </c>
      <c r="P127" s="110" t="n">
        <v>70</v>
      </c>
      <c r="Q127" s="68" t="n">
        <v>48</v>
      </c>
      <c r="R127" s="51" t="n">
        <f aca="false">O127*P127</f>
        <v>560</v>
      </c>
    </row>
    <row r="128" customFormat="false" ht="13.8" hidden="false" customHeight="false" outlineLevel="0" collapsed="false">
      <c r="A128" s="60" t="n">
        <v>5</v>
      </c>
      <c r="B128" s="108" t="s">
        <v>126</v>
      </c>
      <c r="C128" s="49" t="n">
        <v>0</v>
      </c>
      <c r="D128" s="49" t="n">
        <v>0</v>
      </c>
      <c r="E128" s="50" t="n">
        <v>0</v>
      </c>
      <c r="F128" s="49" t="n">
        <v>0</v>
      </c>
      <c r="G128" s="49" t="n">
        <v>0</v>
      </c>
      <c r="H128" s="50" t="n">
        <v>0</v>
      </c>
      <c r="I128" s="49" t="n">
        <v>0</v>
      </c>
      <c r="J128" s="49" t="n">
        <v>0</v>
      </c>
      <c r="K128" s="50" t="n">
        <v>0</v>
      </c>
      <c r="L128" s="49" t="n">
        <v>0</v>
      </c>
      <c r="M128" s="49" t="n">
        <v>0</v>
      </c>
      <c r="N128" s="50" t="n">
        <v>0</v>
      </c>
      <c r="O128" s="52" t="n">
        <v>0</v>
      </c>
      <c r="P128" s="53" t="n">
        <v>0</v>
      </c>
      <c r="Q128" s="52" t="n">
        <v>0</v>
      </c>
      <c r="R128" s="51" t="n">
        <f aca="false">O128*P128</f>
        <v>0</v>
      </c>
    </row>
    <row r="129" customFormat="false" ht="13.8" hidden="false" customHeight="false" outlineLevel="0" collapsed="false">
      <c r="A129" s="60" t="n">
        <v>6</v>
      </c>
      <c r="B129" s="107" t="s">
        <v>127</v>
      </c>
      <c r="C129" s="58" t="n">
        <v>53417</v>
      </c>
      <c r="D129" s="58" t="n">
        <v>25915</v>
      </c>
      <c r="E129" s="50" t="n">
        <f aca="false">C129/D129*100-100</f>
        <v>106.123866486591</v>
      </c>
      <c r="F129" s="58" t="n">
        <v>12302</v>
      </c>
      <c r="G129" s="58" t="n">
        <v>4891</v>
      </c>
      <c r="H129" s="50" t="n">
        <f aca="false">F129/G129*100-100</f>
        <v>151.523205888366</v>
      </c>
      <c r="I129" s="58" t="n">
        <v>53417</v>
      </c>
      <c r="J129" s="58" t="n">
        <v>25915</v>
      </c>
      <c r="K129" s="50" t="n">
        <f aca="false">I129/J129*100-100</f>
        <v>106.123866486591</v>
      </c>
      <c r="L129" s="58" t="n">
        <v>0</v>
      </c>
      <c r="M129" s="58" t="n">
        <v>0</v>
      </c>
      <c r="N129" s="41" t="n">
        <v>0</v>
      </c>
      <c r="O129" s="68" t="n">
        <v>20</v>
      </c>
      <c r="P129" s="99" t="n">
        <v>100</v>
      </c>
      <c r="Q129" s="68" t="n">
        <v>23</v>
      </c>
      <c r="R129" s="51" t="n">
        <f aca="false">O129*P129</f>
        <v>2000</v>
      </c>
    </row>
    <row r="130" customFormat="false" ht="13.8" hidden="false" customHeight="false" outlineLevel="0" collapsed="false">
      <c r="A130" s="64" t="s">
        <v>128</v>
      </c>
      <c r="B130" s="64" t="s">
        <v>128</v>
      </c>
      <c r="C130" s="65" t="n">
        <f aca="false">SUM(C124:C129)</f>
        <v>168046</v>
      </c>
      <c r="D130" s="65" t="n">
        <f aca="false">SUM(D124:D129)</f>
        <v>268739</v>
      </c>
      <c r="E130" s="418" t="n">
        <f aca="false">C130/D130*100-100</f>
        <v>-37.4686963931547</v>
      </c>
      <c r="F130" s="65" t="n">
        <f aca="false">SUM(F124:F129)</f>
        <v>18765</v>
      </c>
      <c r="G130" s="65" t="n">
        <f aca="false">SUM(G124:G129)</f>
        <v>40047</v>
      </c>
      <c r="H130" s="418" t="n">
        <f aca="false">F130/G130*100-100</f>
        <v>-53.1425574949435</v>
      </c>
      <c r="I130" s="65" t="n">
        <f aca="false">SUM(I124:I129)</f>
        <v>176298</v>
      </c>
      <c r="J130" s="65" t="n">
        <f aca="false">SUM(J124:J129)</f>
        <v>272732</v>
      </c>
      <c r="K130" s="418" t="n">
        <f aca="false">I130/J130*100-100</f>
        <v>-35.3585204523122</v>
      </c>
      <c r="L130" s="65" t="n">
        <f aca="false">SUM(L124:L129)</f>
        <v>54250</v>
      </c>
      <c r="M130" s="65" t="n">
        <f aca="false">SUM(M124:M129)</f>
        <v>3379</v>
      </c>
      <c r="N130" s="86" t="n">
        <v>0</v>
      </c>
      <c r="O130" s="65" t="n">
        <f aca="false">SUM(O124:O129)</f>
        <v>102</v>
      </c>
      <c r="P130" s="86" t="n">
        <f aca="false">R130/O130</f>
        <v>83.1372549019608</v>
      </c>
      <c r="Q130" s="65" t="n">
        <f aca="false">SUM(Q124:Q129)</f>
        <v>150</v>
      </c>
      <c r="R130" s="81" t="n">
        <f aca="false">SUM(R124:R129)</f>
        <v>8480</v>
      </c>
    </row>
    <row r="131" customFormat="false" ht="13.8" hidden="false" customHeight="false" outlineLevel="0" collapsed="false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41"/>
      <c r="L131" s="52"/>
      <c r="M131" s="52"/>
      <c r="N131" s="52"/>
      <c r="O131" s="52"/>
      <c r="P131" s="68"/>
      <c r="Q131" s="52"/>
      <c r="R131" s="46"/>
    </row>
    <row r="132" customFormat="false" ht="13.8" hidden="false" customHeight="false" outlineLevel="0" collapsed="false">
      <c r="A132" s="39" t="s">
        <v>129</v>
      </c>
      <c r="B132" s="39"/>
      <c r="C132" s="44" t="n">
        <v>3</v>
      </c>
      <c r="D132" s="44" t="n">
        <v>4</v>
      </c>
      <c r="E132" s="45" t="n">
        <v>5</v>
      </c>
      <c r="F132" s="44" t="n">
        <v>6</v>
      </c>
      <c r="G132" s="44" t="n">
        <v>7</v>
      </c>
      <c r="H132" s="44" t="n">
        <v>8</v>
      </c>
      <c r="I132" s="44" t="n">
        <v>9</v>
      </c>
      <c r="J132" s="44" t="n">
        <v>10</v>
      </c>
      <c r="K132" s="44" t="n">
        <v>11</v>
      </c>
      <c r="L132" s="44" t="n">
        <v>12</v>
      </c>
      <c r="M132" s="44" t="n">
        <v>13</v>
      </c>
      <c r="N132" s="44" t="n">
        <v>14</v>
      </c>
      <c r="O132" s="44" t="n">
        <v>15</v>
      </c>
      <c r="P132" s="45" t="n">
        <v>16</v>
      </c>
      <c r="Q132" s="44" t="n">
        <v>17</v>
      </c>
      <c r="R132" s="38"/>
    </row>
    <row r="133" customFormat="false" ht="13.8" hidden="false" customHeight="false" outlineLevel="0" collapsed="false">
      <c r="A133" s="111" t="n">
        <v>1</v>
      </c>
      <c r="B133" s="92" t="s">
        <v>130</v>
      </c>
      <c r="C133" s="68" t="n">
        <v>121415423</v>
      </c>
      <c r="D133" s="68" t="n">
        <v>119426756</v>
      </c>
      <c r="E133" s="50" t="n">
        <f aca="false">C133/D133*100-100</f>
        <v>1.66517710654387</v>
      </c>
      <c r="F133" s="68" t="n">
        <v>8404522</v>
      </c>
      <c r="G133" s="68" t="n">
        <v>10758451</v>
      </c>
      <c r="H133" s="50" t="n">
        <f aca="false">F133/G133*100-100</f>
        <v>-21.8798133671846</v>
      </c>
      <c r="I133" s="111" t="n">
        <v>116773573</v>
      </c>
      <c r="J133" s="111" t="n">
        <v>116403439</v>
      </c>
      <c r="K133" s="50" t="n">
        <f aca="false">I133/J133*100-100</f>
        <v>0.317975141610717</v>
      </c>
      <c r="L133" s="111" t="n">
        <v>67126830</v>
      </c>
      <c r="M133" s="111" t="n">
        <v>54076624</v>
      </c>
      <c r="N133" s="50" t="n">
        <f aca="false">L133/M133*100-100</f>
        <v>24.1328045922393</v>
      </c>
      <c r="O133" s="52" t="n">
        <v>2974</v>
      </c>
      <c r="P133" s="68" t="n">
        <v>145</v>
      </c>
      <c r="Q133" s="52" t="n">
        <v>2973</v>
      </c>
      <c r="R133" s="51" t="n">
        <f aca="false">O133*P133</f>
        <v>431230</v>
      </c>
    </row>
    <row r="134" customFormat="false" ht="13.8" hidden="false" customHeight="false" outlineLevel="0" collapsed="false">
      <c r="A134" s="111" t="n">
        <v>2</v>
      </c>
      <c r="B134" s="92" t="s">
        <v>131</v>
      </c>
      <c r="C134" s="68" t="n">
        <v>26541057</v>
      </c>
      <c r="D134" s="68" t="n">
        <v>26091481</v>
      </c>
      <c r="E134" s="50" t="n">
        <f aca="false">C134/D134*100-100</f>
        <v>1.72307581926836</v>
      </c>
      <c r="F134" s="68" t="n">
        <v>2639060</v>
      </c>
      <c r="G134" s="68" t="n">
        <v>2014588</v>
      </c>
      <c r="H134" s="50" t="n">
        <f aca="false">F134/G134*100-100</f>
        <v>30.9975042043336</v>
      </c>
      <c r="I134" s="111" t="n">
        <v>20764290</v>
      </c>
      <c r="J134" s="111" t="n">
        <v>22466350</v>
      </c>
      <c r="K134" s="50" t="n">
        <f aca="false">I134/J134*100-100</f>
        <v>-7.57604150206865</v>
      </c>
      <c r="L134" s="111" t="n">
        <v>20764290</v>
      </c>
      <c r="M134" s="111" t="n">
        <v>22466350</v>
      </c>
      <c r="N134" s="50" t="n">
        <f aca="false">L134/M134*100-100</f>
        <v>-7.57604150206865</v>
      </c>
      <c r="O134" s="52" t="n">
        <v>1006</v>
      </c>
      <c r="P134" s="68" t="n">
        <v>120</v>
      </c>
      <c r="Q134" s="52" t="n">
        <v>1005</v>
      </c>
      <c r="R134" s="51" t="n">
        <f aca="false">O134*P134</f>
        <v>120720</v>
      </c>
    </row>
    <row r="135" customFormat="false" ht="13.8" hidden="false" customHeight="false" outlineLevel="0" collapsed="false">
      <c r="A135" s="111" t="n">
        <v>3</v>
      </c>
      <c r="B135" s="426" t="s">
        <v>226</v>
      </c>
      <c r="C135" s="72" t="n">
        <v>21340047</v>
      </c>
      <c r="D135" s="72" t="n">
        <v>23786922</v>
      </c>
      <c r="E135" s="50" t="n">
        <f aca="false">C135/D135*100-100</f>
        <v>-10.2866398603401</v>
      </c>
      <c r="F135" s="72" t="n">
        <v>1432626</v>
      </c>
      <c r="G135" s="72" t="n">
        <v>1903530</v>
      </c>
      <c r="H135" s="50" t="n">
        <f aca="false">F135/G135*100-100</f>
        <v>-24.7384595987455</v>
      </c>
      <c r="I135" s="56" t="n">
        <v>19365663</v>
      </c>
      <c r="J135" s="56" t="n">
        <v>23495127</v>
      </c>
      <c r="K135" s="50" t="n">
        <f aca="false">I135/J135*100-100</f>
        <v>-17.5758317884385</v>
      </c>
      <c r="L135" s="56" t="n">
        <v>19365663</v>
      </c>
      <c r="M135" s="56" t="n">
        <f aca="false">1958616+21536511</f>
        <v>23495127</v>
      </c>
      <c r="N135" s="50" t="n">
        <f aca="false">L135/M135*100-100</f>
        <v>-17.5758317884385</v>
      </c>
      <c r="O135" s="49" t="n">
        <v>1085</v>
      </c>
      <c r="P135" s="71" t="n">
        <v>306</v>
      </c>
      <c r="Q135" s="49" t="n">
        <v>1087</v>
      </c>
      <c r="R135" s="51" t="n">
        <f aca="false">O135*P135</f>
        <v>332010</v>
      </c>
    </row>
    <row r="136" customFormat="false" ht="13.8" hidden="false" customHeight="false" outlineLevel="0" collapsed="false">
      <c r="A136" s="111" t="n">
        <v>4</v>
      </c>
      <c r="B136" s="92" t="s">
        <v>133</v>
      </c>
      <c r="C136" s="85" t="n">
        <v>4967308</v>
      </c>
      <c r="D136" s="85" t="n">
        <v>4870025</v>
      </c>
      <c r="E136" s="50" t="n">
        <f aca="false">C136/D136*100-100</f>
        <v>1.99758728137947</v>
      </c>
      <c r="F136" s="52" t="n">
        <v>467298</v>
      </c>
      <c r="G136" s="52" t="n">
        <v>329869</v>
      </c>
      <c r="H136" s="50" t="n">
        <f aca="false">F136/G136*100-100</f>
        <v>41.6616899435837</v>
      </c>
      <c r="I136" s="52" t="n">
        <v>4860259</v>
      </c>
      <c r="J136" s="52" t="n">
        <v>4556326</v>
      </c>
      <c r="K136" s="50" t="n">
        <f aca="false">I136/J136*100-100</f>
        <v>6.6705718598713</v>
      </c>
      <c r="L136" s="52" t="n">
        <v>4860259</v>
      </c>
      <c r="M136" s="52" t="n">
        <v>4556326</v>
      </c>
      <c r="N136" s="50" t="n">
        <v>0</v>
      </c>
      <c r="O136" s="52" t="n">
        <v>525</v>
      </c>
      <c r="P136" s="68" t="n">
        <v>170</v>
      </c>
      <c r="Q136" s="52" t="n">
        <v>509</v>
      </c>
      <c r="R136" s="51" t="n">
        <f aca="false">O136*P136</f>
        <v>89250</v>
      </c>
    </row>
    <row r="137" customFormat="false" ht="13.8" hidden="false" customHeight="false" outlineLevel="0" collapsed="false">
      <c r="A137" s="111" t="n">
        <v>5</v>
      </c>
      <c r="B137" s="92" t="s">
        <v>134</v>
      </c>
      <c r="C137" s="52" t="n">
        <v>3563447</v>
      </c>
      <c r="D137" s="52" t="n">
        <v>4805863</v>
      </c>
      <c r="E137" s="50" t="n">
        <f aca="false">C137/D137*100-100</f>
        <v>-25.8520894166147</v>
      </c>
      <c r="F137" s="52" t="n">
        <v>243086</v>
      </c>
      <c r="G137" s="52" t="n">
        <v>478755</v>
      </c>
      <c r="H137" s="50" t="n">
        <f aca="false">F137/G137*100-100</f>
        <v>-49.2253866800347</v>
      </c>
      <c r="I137" s="52" t="n">
        <v>4101558</v>
      </c>
      <c r="J137" s="52" t="n">
        <v>3990951</v>
      </c>
      <c r="K137" s="50" t="n">
        <f aca="false">I137/J137*100-100</f>
        <v>2.77144470077432</v>
      </c>
      <c r="L137" s="52" t="n">
        <v>4101558</v>
      </c>
      <c r="M137" s="52" t="n">
        <v>3990951</v>
      </c>
      <c r="N137" s="50" t="n">
        <f aca="false">L137/M137*100-100</f>
        <v>2.77144470077432</v>
      </c>
      <c r="O137" s="52" t="n">
        <v>411</v>
      </c>
      <c r="P137" s="53" t="n">
        <v>189</v>
      </c>
      <c r="Q137" s="52" t="n">
        <v>416</v>
      </c>
      <c r="R137" s="51" t="n">
        <f aca="false">O137*P137</f>
        <v>77679</v>
      </c>
    </row>
    <row r="138" customFormat="false" ht="13.8" hidden="false" customHeight="false" outlineLevel="0" collapsed="false">
      <c r="A138" s="64" t="s">
        <v>135</v>
      </c>
      <c r="B138" s="64" t="s">
        <v>136</v>
      </c>
      <c r="C138" s="86" t="n">
        <f aca="false">SUM(C133:C137)</f>
        <v>177827282</v>
      </c>
      <c r="D138" s="86" t="n">
        <f aca="false">SUM(D133:D137)</f>
        <v>178981047</v>
      </c>
      <c r="E138" s="418" t="n">
        <f aca="false">C138/D138*100-100</f>
        <v>-0.644629707636028</v>
      </c>
      <c r="F138" s="86" t="n">
        <f aca="false">SUM(F133:F137)</f>
        <v>13186592</v>
      </c>
      <c r="G138" s="86" t="n">
        <f aca="false">SUM(G133:G137)</f>
        <v>15485193</v>
      </c>
      <c r="H138" s="418" t="n">
        <f aca="false">F138/G138*100-100</f>
        <v>-14.8438640706642</v>
      </c>
      <c r="I138" s="86" t="n">
        <f aca="false">SUM(I133:I137)</f>
        <v>165865343</v>
      </c>
      <c r="J138" s="86" t="n">
        <f aca="false">SUM(J133:J137)</f>
        <v>170912193</v>
      </c>
      <c r="K138" s="418" t="n">
        <f aca="false">I138/J138*100-100</f>
        <v>-2.95289055240195</v>
      </c>
      <c r="L138" s="86" t="n">
        <f aca="false">SUM(L133:L137)</f>
        <v>116218600</v>
      </c>
      <c r="M138" s="86" t="n">
        <f aca="false">SUM(M133:M137)</f>
        <v>108585378</v>
      </c>
      <c r="N138" s="418" t="n">
        <f aca="false">L138/M138*100-100</f>
        <v>7.02969602408162</v>
      </c>
      <c r="O138" s="86" t="n">
        <f aca="false">SUM(O133:O137)</f>
        <v>6001</v>
      </c>
      <c r="P138" s="86" t="n">
        <f aca="false">R138/O138</f>
        <v>175.118980169972</v>
      </c>
      <c r="Q138" s="86" t="n">
        <f aca="false">SUM(Q133:Q137)</f>
        <v>5990</v>
      </c>
      <c r="R138" s="86" t="n">
        <f aca="false">SUM(R133:R137)</f>
        <v>1050889</v>
      </c>
    </row>
    <row r="139" customFormat="false" ht="13.8" hidden="false" customHeight="false" outlineLevel="0" collapsed="false">
      <c r="A139" s="112"/>
      <c r="B139" s="112"/>
      <c r="C139" s="113"/>
      <c r="D139" s="113"/>
      <c r="E139" s="114"/>
      <c r="F139" s="115"/>
      <c r="G139" s="115"/>
      <c r="H139" s="114"/>
      <c r="I139" s="115"/>
      <c r="J139" s="115"/>
      <c r="K139" s="114"/>
      <c r="L139" s="115"/>
      <c r="M139" s="115"/>
      <c r="N139" s="114"/>
      <c r="O139" s="115"/>
      <c r="P139" s="113"/>
      <c r="Q139" s="115"/>
      <c r="R139" s="116"/>
    </row>
    <row r="140" customFormat="false" ht="13.8" hidden="false" customHeight="false" outlineLevel="0" collapsed="false">
      <c r="A140" s="112"/>
      <c r="B140" s="112" t="s">
        <v>137</v>
      </c>
      <c r="C140" s="44" t="n">
        <v>3</v>
      </c>
      <c r="D140" s="44" t="n">
        <v>4</v>
      </c>
      <c r="E140" s="45" t="n">
        <v>5</v>
      </c>
      <c r="F140" s="44" t="n">
        <v>6</v>
      </c>
      <c r="G140" s="44" t="n">
        <v>7</v>
      </c>
      <c r="H140" s="44" t="n">
        <v>8</v>
      </c>
      <c r="I140" s="44" t="n">
        <v>9</v>
      </c>
      <c r="J140" s="44" t="n">
        <v>10</v>
      </c>
      <c r="K140" s="44" t="n">
        <v>11</v>
      </c>
      <c r="L140" s="44" t="n">
        <v>12</v>
      </c>
      <c r="M140" s="44" t="n">
        <v>13</v>
      </c>
      <c r="N140" s="44" t="n">
        <v>14</v>
      </c>
      <c r="O140" s="44" t="n">
        <v>15</v>
      </c>
      <c r="P140" s="45" t="n">
        <v>16</v>
      </c>
      <c r="Q140" s="44" t="n">
        <v>17</v>
      </c>
      <c r="R140" s="116"/>
    </row>
    <row r="141" customFormat="false" ht="13.8" hidden="false" customHeight="false" outlineLevel="0" collapsed="false">
      <c r="A141" s="111" t="n">
        <v>1</v>
      </c>
      <c r="B141" s="92" t="s">
        <v>138</v>
      </c>
      <c r="C141" s="68" t="n">
        <v>19665485</v>
      </c>
      <c r="D141" s="68" t="n">
        <v>20752564</v>
      </c>
      <c r="E141" s="50" t="n">
        <f aca="false">C141/D141*100-100</f>
        <v>-5.23828766411707</v>
      </c>
      <c r="F141" s="68" t="n">
        <v>1567807</v>
      </c>
      <c r="G141" s="68" t="n">
        <v>1780379</v>
      </c>
      <c r="H141" s="50" t="n">
        <f aca="false">F141/G141*100-100</f>
        <v>-11.9397049729299</v>
      </c>
      <c r="I141" s="111" t="n">
        <v>19268433</v>
      </c>
      <c r="J141" s="111" t="n">
        <v>20111394</v>
      </c>
      <c r="K141" s="50" t="n">
        <f aca="false">I141/J141*100-100</f>
        <v>-4.19145982620599</v>
      </c>
      <c r="L141" s="111" t="n">
        <v>19268433</v>
      </c>
      <c r="M141" s="111" t="n">
        <v>20111394</v>
      </c>
      <c r="N141" s="50" t="n">
        <f aca="false">L141/M141*100-100</f>
        <v>-4.19145982620599</v>
      </c>
      <c r="O141" s="52" t="n">
        <v>498</v>
      </c>
      <c r="P141" s="85" t="n">
        <v>150</v>
      </c>
      <c r="Q141" s="52" t="n">
        <v>494</v>
      </c>
      <c r="R141" s="51" t="n">
        <f aca="false">O141*P141</f>
        <v>74700</v>
      </c>
    </row>
    <row r="142" customFormat="false" ht="13.8" hidden="false" customHeight="false" outlineLevel="0" collapsed="false">
      <c r="A142" s="111" t="n">
        <v>2</v>
      </c>
      <c r="B142" s="92" t="s">
        <v>139</v>
      </c>
      <c r="C142" s="68" t="n">
        <v>36797035</v>
      </c>
      <c r="D142" s="68" t="n">
        <v>42992839</v>
      </c>
      <c r="E142" s="50" t="n">
        <f aca="false">C142/D142*100-100</f>
        <v>-14.4112464868859</v>
      </c>
      <c r="F142" s="85" t="n">
        <v>3078120</v>
      </c>
      <c r="G142" s="85" t="n">
        <v>4122855</v>
      </c>
      <c r="H142" s="50" t="n">
        <f aca="false">F142/G142*100-100</f>
        <v>-25.3400859355956</v>
      </c>
      <c r="I142" s="52" t="n">
        <v>35228081</v>
      </c>
      <c r="J142" s="52" t="n">
        <v>42785537</v>
      </c>
      <c r="K142" s="50" t="n">
        <f aca="false">I142/J142*100-100</f>
        <v>-17.6635763622647</v>
      </c>
      <c r="L142" s="52" t="n">
        <v>35107013</v>
      </c>
      <c r="M142" s="52" t="n">
        <v>42643633</v>
      </c>
      <c r="N142" s="50" t="n">
        <f aca="false">L142/M142*100-100</f>
        <v>-17.6734941884525</v>
      </c>
      <c r="O142" s="52" t="n">
        <v>660</v>
      </c>
      <c r="P142" s="68" t="n">
        <v>165</v>
      </c>
      <c r="Q142" s="52" t="n">
        <v>666</v>
      </c>
      <c r="R142" s="51" t="n">
        <f aca="false">O142*P142</f>
        <v>108900</v>
      </c>
    </row>
    <row r="143" customFormat="false" ht="13.8" hidden="false" customHeight="false" outlineLevel="0" collapsed="false">
      <c r="A143" s="111" t="n">
        <v>3</v>
      </c>
      <c r="B143" s="92" t="s">
        <v>140</v>
      </c>
      <c r="C143" s="68" t="n">
        <v>29119197</v>
      </c>
      <c r="D143" s="68" t="n">
        <v>29664842</v>
      </c>
      <c r="E143" s="50" t="n">
        <f aca="false">C143/D143*100-100</f>
        <v>-1.83936594032761</v>
      </c>
      <c r="F143" s="52" t="n">
        <v>2228752</v>
      </c>
      <c r="G143" s="52" t="n">
        <v>2395921</v>
      </c>
      <c r="H143" s="50" t="n">
        <f aca="false">F143/G143*100-100</f>
        <v>-6.9772333895817</v>
      </c>
      <c r="I143" s="52" t="n">
        <v>28627305</v>
      </c>
      <c r="J143" s="52" t="n">
        <v>28732125</v>
      </c>
      <c r="K143" s="50" t="n">
        <f aca="false">I143/J143*100-100</f>
        <v>-0.364818126052285</v>
      </c>
      <c r="L143" s="52" t="n">
        <v>28627305</v>
      </c>
      <c r="M143" s="52" t="n">
        <v>28732125</v>
      </c>
      <c r="N143" s="50" t="n">
        <f aca="false">L143/M143*100-100</f>
        <v>-0.364818126052285</v>
      </c>
      <c r="O143" s="52" t="n">
        <v>560</v>
      </c>
      <c r="P143" s="68" t="n">
        <v>180</v>
      </c>
      <c r="Q143" s="52" t="n">
        <v>565</v>
      </c>
      <c r="R143" s="51" t="n">
        <f aca="false">O143*P143</f>
        <v>100800</v>
      </c>
    </row>
    <row r="144" customFormat="false" ht="13.8" hidden="false" customHeight="false" outlineLevel="0" collapsed="false">
      <c r="A144" s="111" t="n">
        <v>4</v>
      </c>
      <c r="B144" s="92" t="s">
        <v>141</v>
      </c>
      <c r="C144" s="85" t="n">
        <v>5059425</v>
      </c>
      <c r="D144" s="85" t="n">
        <v>4147425</v>
      </c>
      <c r="E144" s="50" t="n">
        <f aca="false">C144/D144*100-100</f>
        <v>21.9895477314237</v>
      </c>
      <c r="F144" s="111" t="n">
        <v>511060</v>
      </c>
      <c r="G144" s="111" t="n">
        <v>381222</v>
      </c>
      <c r="H144" s="50" t="n">
        <f aca="false">F144/G144*100-100</f>
        <v>34.0583701884991</v>
      </c>
      <c r="I144" s="111" t="n">
        <v>5430820</v>
      </c>
      <c r="J144" s="111" t="n">
        <v>4351233</v>
      </c>
      <c r="K144" s="50" t="n">
        <f aca="false">I144/J144*100-100</f>
        <v>24.8110593020415</v>
      </c>
      <c r="L144" s="111" t="n">
        <v>0</v>
      </c>
      <c r="M144" s="111" t="n">
        <v>0</v>
      </c>
      <c r="N144" s="50" t="n">
        <v>0</v>
      </c>
      <c r="O144" s="52" t="n">
        <v>358</v>
      </c>
      <c r="P144" s="85" t="n">
        <v>58</v>
      </c>
      <c r="Q144" s="52" t="n">
        <v>355</v>
      </c>
      <c r="R144" s="51" t="n">
        <f aca="false">O144*P144</f>
        <v>20764</v>
      </c>
    </row>
    <row r="145" customFormat="false" ht="13.8" hidden="false" customHeight="false" outlineLevel="0" collapsed="false">
      <c r="A145" s="111" t="n">
        <v>5</v>
      </c>
      <c r="B145" s="92" t="s">
        <v>142</v>
      </c>
      <c r="C145" s="85" t="n">
        <v>31048877</v>
      </c>
      <c r="D145" s="85" t="n">
        <v>30031870</v>
      </c>
      <c r="E145" s="50" t="n">
        <f aca="false">C145/D145*100-100</f>
        <v>3.38642582030357</v>
      </c>
      <c r="F145" s="85" t="n">
        <v>1688522</v>
      </c>
      <c r="G145" s="85" t="n">
        <v>2375851</v>
      </c>
      <c r="H145" s="50" t="n">
        <f aca="false">F145/G145*100-100</f>
        <v>-28.9298024160606</v>
      </c>
      <c r="I145" s="52" t="n">
        <v>30010997</v>
      </c>
      <c r="J145" s="52" t="n">
        <v>31205281</v>
      </c>
      <c r="K145" s="50" t="n">
        <f aca="false">I145/J145*100-100</f>
        <v>-3.82718553311537</v>
      </c>
      <c r="L145" s="52" t="n">
        <v>30010997</v>
      </c>
      <c r="M145" s="52" t="n">
        <v>31205281</v>
      </c>
      <c r="N145" s="50" t="n">
        <f aca="false">L145/M145*100-100</f>
        <v>-3.82718553311537</v>
      </c>
      <c r="O145" s="52" t="n">
        <v>985</v>
      </c>
      <c r="P145" s="68" t="n">
        <v>100</v>
      </c>
      <c r="Q145" s="52" t="n">
        <v>969</v>
      </c>
      <c r="R145" s="51" t="n">
        <f aca="false">O145*P145</f>
        <v>98500</v>
      </c>
    </row>
    <row r="146" customFormat="false" ht="13.8" hidden="false" customHeight="false" outlineLevel="0" collapsed="false">
      <c r="A146" s="111" t="n">
        <v>6</v>
      </c>
      <c r="B146" s="92" t="s">
        <v>143</v>
      </c>
      <c r="C146" s="68" t="n">
        <v>33713456</v>
      </c>
      <c r="D146" s="68" t="n">
        <v>32573457</v>
      </c>
      <c r="E146" s="50" t="n">
        <f aca="false">C146/D146*100-100</f>
        <v>3.49977897648384</v>
      </c>
      <c r="F146" s="68" t="n">
        <v>2692031</v>
      </c>
      <c r="G146" s="68" t="n">
        <v>2607051</v>
      </c>
      <c r="H146" s="50" t="n">
        <f aca="false">F146/G146*100-100</f>
        <v>3.25962169516438</v>
      </c>
      <c r="I146" s="52" t="n">
        <v>32841845</v>
      </c>
      <c r="J146" s="68" t="n">
        <v>32660427</v>
      </c>
      <c r="K146" s="50" t="n">
        <f aca="false">I146/J146*100-100</f>
        <v>0.55546732441681</v>
      </c>
      <c r="L146" s="52" t="n">
        <v>32753256</v>
      </c>
      <c r="M146" s="52" t="n">
        <v>32565774</v>
      </c>
      <c r="N146" s="50" t="n">
        <f aca="false">L146/M146*100-100</f>
        <v>0.575702576576262</v>
      </c>
      <c r="O146" s="52" t="n">
        <v>641</v>
      </c>
      <c r="P146" s="68" t="n">
        <v>130</v>
      </c>
      <c r="Q146" s="52" t="n">
        <v>546</v>
      </c>
      <c r="R146" s="51" t="n">
        <f aca="false">O146*P146</f>
        <v>83330</v>
      </c>
    </row>
    <row r="147" customFormat="false" ht="13.8" hidden="false" customHeight="false" outlineLevel="0" collapsed="false">
      <c r="A147" s="111" t="n">
        <v>7</v>
      </c>
      <c r="B147" s="92" t="s">
        <v>235</v>
      </c>
      <c r="C147" s="68" t="n">
        <v>3443516</v>
      </c>
      <c r="D147" s="68" t="n">
        <v>2844753</v>
      </c>
      <c r="E147" s="50" t="n">
        <f aca="false">C147/D147*100-100</f>
        <v>21.0479785063941</v>
      </c>
      <c r="F147" s="68" t="n">
        <v>301741</v>
      </c>
      <c r="G147" s="68" t="n">
        <v>348837</v>
      </c>
      <c r="H147" s="50" t="n">
        <f aca="false">F147/G147*100-100</f>
        <v>-13.5008614338502</v>
      </c>
      <c r="I147" s="52" t="n">
        <v>3120784</v>
      </c>
      <c r="J147" s="68" t="n">
        <v>2730668</v>
      </c>
      <c r="K147" s="50" t="n">
        <f aca="false">I147/J147*100-100</f>
        <v>14.2864676335607</v>
      </c>
      <c r="L147" s="52" t="n">
        <v>0</v>
      </c>
      <c r="M147" s="52" t="n">
        <v>0</v>
      </c>
      <c r="N147" s="50" t="n">
        <v>0</v>
      </c>
      <c r="O147" s="52" t="n">
        <v>35</v>
      </c>
      <c r="P147" s="68"/>
      <c r="Q147" s="52" t="n">
        <v>36</v>
      </c>
      <c r="R147" s="51"/>
    </row>
    <row r="148" customFormat="false" ht="13.8" hidden="false" customHeight="false" outlineLevel="0" collapsed="false">
      <c r="A148" s="111" t="n">
        <v>8</v>
      </c>
      <c r="B148" s="92" t="s">
        <v>144</v>
      </c>
      <c r="C148" s="49" t="n">
        <v>0</v>
      </c>
      <c r="D148" s="49" t="n">
        <v>0</v>
      </c>
      <c r="E148" s="50" t="n">
        <v>0</v>
      </c>
      <c r="F148" s="49" t="n">
        <v>0</v>
      </c>
      <c r="G148" s="49" t="n">
        <v>0</v>
      </c>
      <c r="H148" s="50" t="n">
        <v>0</v>
      </c>
      <c r="I148" s="49" t="n">
        <v>0</v>
      </c>
      <c r="J148" s="49" t="n">
        <v>0</v>
      </c>
      <c r="K148" s="50" t="n">
        <v>0</v>
      </c>
      <c r="L148" s="49" t="n">
        <v>0</v>
      </c>
      <c r="M148" s="49" t="n">
        <v>0</v>
      </c>
      <c r="N148" s="50" t="n">
        <v>0</v>
      </c>
      <c r="O148" s="52" t="n">
        <v>0</v>
      </c>
      <c r="P148" s="53" t="n">
        <v>0</v>
      </c>
      <c r="Q148" s="52" t="n">
        <v>0</v>
      </c>
      <c r="R148" s="51" t="n">
        <v>0</v>
      </c>
    </row>
    <row r="149" customFormat="false" ht="13.8" hidden="false" customHeight="false" outlineLevel="0" collapsed="false">
      <c r="A149" s="64" t="s">
        <v>145</v>
      </c>
      <c r="B149" s="64" t="s">
        <v>136</v>
      </c>
      <c r="C149" s="86" t="n">
        <f aca="false">SUM(C141:C148)</f>
        <v>158846991</v>
      </c>
      <c r="D149" s="86" t="n">
        <f aca="false">SUM(D141:D148)</f>
        <v>163007750</v>
      </c>
      <c r="E149" s="418" t="n">
        <f aca="false">C149/D149*100-100</f>
        <v>-2.55249152264233</v>
      </c>
      <c r="F149" s="86" t="n">
        <f aca="false">SUM(F141:F148)</f>
        <v>12068033</v>
      </c>
      <c r="G149" s="86" t="n">
        <f aca="false">SUM(G141:G148)</f>
        <v>14012116</v>
      </c>
      <c r="H149" s="418" t="n">
        <f aca="false">F149/G149*100-100</f>
        <v>-13.8742999272915</v>
      </c>
      <c r="I149" s="86" t="n">
        <f aca="false">SUM(I141:I148)</f>
        <v>154528265</v>
      </c>
      <c r="J149" s="86" t="n">
        <f aca="false">SUM(J141:J148)</f>
        <v>162576665</v>
      </c>
      <c r="K149" s="418" t="n">
        <f aca="false">I149/J149*100-100</f>
        <v>-4.95052595647721</v>
      </c>
      <c r="L149" s="86" t="n">
        <f aca="false">SUM(L141:L148)</f>
        <v>145767004</v>
      </c>
      <c r="M149" s="86" t="n">
        <f aca="false">SUM(M141:M148)</f>
        <v>155258207</v>
      </c>
      <c r="N149" s="418" t="n">
        <f aca="false">L149/M149*100-100</f>
        <v>-6.11317313486688</v>
      </c>
      <c r="O149" s="65" t="n">
        <f aca="false">SUM(O141:O148)</f>
        <v>3737</v>
      </c>
      <c r="P149" s="86" t="n">
        <f aca="false">R149/O149</f>
        <v>130.316831683168</v>
      </c>
      <c r="Q149" s="65" t="n">
        <f aca="false">SUM(Q141:Q148)</f>
        <v>3631</v>
      </c>
      <c r="R149" s="81" t="n">
        <f aca="false">SUM(R141:R148)</f>
        <v>486994</v>
      </c>
    </row>
    <row r="150" customFormat="false" ht="13.8" hidden="false" customHeight="false" outlineLevel="0" collapsed="false">
      <c r="A150" s="427" t="s">
        <v>146</v>
      </c>
      <c r="B150" s="427" t="s">
        <v>78</v>
      </c>
      <c r="C150" s="428" t="n">
        <f aca="false">C138+C149</f>
        <v>336674273</v>
      </c>
      <c r="D150" s="428" t="n">
        <f aca="false">D138+D149</f>
        <v>341988797</v>
      </c>
      <c r="E150" s="414" t="n">
        <f aca="false">C150/D150*100-100</f>
        <v>-1.55400529099788</v>
      </c>
      <c r="F150" s="428" t="n">
        <f aca="false">F138+F149</f>
        <v>25254625</v>
      </c>
      <c r="G150" s="428" t="n">
        <f aca="false">G138+G149</f>
        <v>29497309</v>
      </c>
      <c r="H150" s="414" t="n">
        <f aca="false">F150/G150*100-100</f>
        <v>-14.3832917097624</v>
      </c>
      <c r="I150" s="428" t="n">
        <f aca="false">I138+I149</f>
        <v>320393608</v>
      </c>
      <c r="J150" s="428" t="n">
        <f aca="false">J138+J149</f>
        <v>333488858</v>
      </c>
      <c r="K150" s="414" t="n">
        <f aca="false">I150/J150*100-100</f>
        <v>-3.92674288386571</v>
      </c>
      <c r="L150" s="428" t="n">
        <f aca="false">L138+L149</f>
        <v>261985604</v>
      </c>
      <c r="M150" s="428" t="n">
        <f aca="false">M138+M149</f>
        <v>263843585</v>
      </c>
      <c r="N150" s="414" t="n">
        <f aca="false">L150/M150*100-100</f>
        <v>-0.704197905740259</v>
      </c>
      <c r="O150" s="428" t="n">
        <f aca="false">O138+O149</f>
        <v>9738</v>
      </c>
      <c r="P150" s="429" t="n">
        <f aca="false">R150/O150</f>
        <v>157.92596015609</v>
      </c>
      <c r="Q150" s="428" t="n">
        <f aca="false">Q138+Q149</f>
        <v>9621</v>
      </c>
      <c r="R150" s="428" t="n">
        <f aca="false">R138+R149</f>
        <v>1537883</v>
      </c>
    </row>
    <row r="151" s="433" customFormat="true" ht="13.8" hidden="false" customHeight="false" outlineLevel="0" collapsed="false">
      <c r="A151" s="430"/>
      <c r="B151" s="430"/>
      <c r="C151" s="113"/>
      <c r="D151" s="113"/>
      <c r="E151" s="431"/>
      <c r="F151" s="113"/>
      <c r="G151" s="113"/>
      <c r="H151" s="431"/>
      <c r="I151" s="113"/>
      <c r="J151" s="113"/>
      <c r="K151" s="431"/>
      <c r="L151" s="113"/>
      <c r="M151" s="113"/>
      <c r="N151" s="431"/>
      <c r="O151" s="113"/>
      <c r="P151" s="114"/>
      <c r="Q151" s="113"/>
      <c r="R151" s="432"/>
    </row>
    <row r="152" customFormat="false" ht="13.8" hidden="false" customHeight="false" outlineLevel="0" collapsed="false">
      <c r="A152" s="112"/>
      <c r="B152" s="112"/>
      <c r="C152" s="113"/>
      <c r="D152" s="113"/>
      <c r="E152" s="114"/>
      <c r="F152" s="115"/>
      <c r="G152" s="115"/>
      <c r="H152" s="114"/>
      <c r="I152" s="115"/>
      <c r="J152" s="115"/>
      <c r="K152" s="114"/>
      <c r="L152" s="115"/>
      <c r="M152" s="115"/>
      <c r="N152" s="114"/>
      <c r="O152" s="115"/>
      <c r="P152" s="113"/>
      <c r="Q152" s="115"/>
      <c r="R152" s="116"/>
    </row>
    <row r="153" customFormat="false" ht="13.8" hidden="false" customHeight="false" outlineLevel="0" collapsed="false">
      <c r="A153" s="28"/>
      <c r="B153" s="119" t="s">
        <v>147</v>
      </c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38"/>
    </row>
    <row r="154" customFormat="false" ht="13.8" hidden="false" customHeight="false" outlineLevel="0" collapsed="false">
      <c r="A154" s="119"/>
      <c r="B154" s="119"/>
      <c r="C154" s="44" t="n">
        <v>3</v>
      </c>
      <c r="D154" s="44" t="n">
        <v>4</v>
      </c>
      <c r="E154" s="45" t="n">
        <v>5</v>
      </c>
      <c r="F154" s="44" t="n">
        <v>6</v>
      </c>
      <c r="G154" s="44" t="n">
        <v>7</v>
      </c>
      <c r="H154" s="44" t="n">
        <v>8</v>
      </c>
      <c r="I154" s="44" t="n">
        <v>9</v>
      </c>
      <c r="J154" s="44" t="n">
        <v>10</v>
      </c>
      <c r="K154" s="44" t="n">
        <v>11</v>
      </c>
      <c r="L154" s="44" t="n">
        <v>12</v>
      </c>
      <c r="M154" s="44" t="n">
        <v>13</v>
      </c>
      <c r="N154" s="44" t="n">
        <v>14</v>
      </c>
      <c r="O154" s="44" t="n">
        <v>15</v>
      </c>
      <c r="P154" s="45" t="n">
        <v>16</v>
      </c>
      <c r="Q154" s="44" t="n">
        <v>17</v>
      </c>
      <c r="R154" s="120"/>
    </row>
    <row r="155" customFormat="false" ht="13.8" hidden="false" customHeight="false" outlineLevel="0" collapsed="false">
      <c r="A155" s="111" t="n">
        <v>1</v>
      </c>
      <c r="B155" s="121" t="s">
        <v>148</v>
      </c>
      <c r="C155" s="111" t="n">
        <v>35027</v>
      </c>
      <c r="D155" s="111" t="n">
        <v>71191</v>
      </c>
      <c r="E155" s="50" t="n">
        <f aca="false">C155/D155*100-100</f>
        <v>-50.7985559972468</v>
      </c>
      <c r="F155" s="41" t="n">
        <v>1255</v>
      </c>
      <c r="G155" s="111" t="n">
        <v>8286</v>
      </c>
      <c r="H155" s="50" t="n">
        <f aca="false">F155/G155*100-100</f>
        <v>-84.8539705527396</v>
      </c>
      <c r="I155" s="111" t="n">
        <v>35027</v>
      </c>
      <c r="J155" s="111" t="n">
        <v>71191</v>
      </c>
      <c r="K155" s="50" t="n">
        <f aca="false">I155/J155*100-100</f>
        <v>-50.7985559972468</v>
      </c>
      <c r="L155" s="111" t="n">
        <v>0</v>
      </c>
      <c r="M155" s="111" t="n">
        <v>0</v>
      </c>
      <c r="N155" s="50" t="n">
        <v>0</v>
      </c>
      <c r="O155" s="111" t="n">
        <v>31</v>
      </c>
      <c r="P155" s="85" t="n">
        <v>73</v>
      </c>
      <c r="Q155" s="111" t="n">
        <v>39</v>
      </c>
      <c r="R155" s="51" t="n">
        <f aca="false">O155*P155</f>
        <v>2263</v>
      </c>
    </row>
    <row r="156" customFormat="false" ht="13.8" hidden="false" customHeight="false" outlineLevel="0" collapsed="false">
      <c r="A156" s="111" t="n">
        <v>2</v>
      </c>
      <c r="B156" s="121" t="s">
        <v>149</v>
      </c>
      <c r="C156" s="58" t="n">
        <v>10293236</v>
      </c>
      <c r="D156" s="58" t="n">
        <v>6221471</v>
      </c>
      <c r="E156" s="50" t="n">
        <f aca="false">C156/D156*100-100</f>
        <v>65.4469819115126</v>
      </c>
      <c r="F156" s="58" t="n">
        <v>974159</v>
      </c>
      <c r="G156" s="58" t="n">
        <v>810413</v>
      </c>
      <c r="H156" s="50" t="n">
        <f aca="false">F156/G156*100-100</f>
        <v>20.2052533708122</v>
      </c>
      <c r="I156" s="58" t="n">
        <v>9931622</v>
      </c>
      <c r="J156" s="58" t="n">
        <v>6383221</v>
      </c>
      <c r="K156" s="50" t="n">
        <f aca="false">I156/J156*100-100</f>
        <v>55.5895056743296</v>
      </c>
      <c r="L156" s="58" t="n">
        <v>4601169</v>
      </c>
      <c r="M156" s="58" t="n">
        <v>1939291</v>
      </c>
      <c r="N156" s="50" t="n">
        <f aca="false">L156/M156*100-100</f>
        <v>137.260369898071</v>
      </c>
      <c r="O156" s="111" t="n">
        <v>601</v>
      </c>
      <c r="P156" s="85" t="n">
        <v>110</v>
      </c>
      <c r="Q156" s="111" t="n">
        <v>593</v>
      </c>
      <c r="R156" s="51" t="n">
        <f aca="false">O156*P156</f>
        <v>66110</v>
      </c>
    </row>
    <row r="157" customFormat="false" ht="13.8" hidden="false" customHeight="false" outlineLevel="0" collapsed="false">
      <c r="A157" s="111" t="n">
        <v>3</v>
      </c>
      <c r="B157" s="121" t="s">
        <v>150</v>
      </c>
      <c r="C157" s="49" t="n">
        <v>0</v>
      </c>
      <c r="D157" s="49" t="n">
        <v>0</v>
      </c>
      <c r="E157" s="50" t="n">
        <v>0</v>
      </c>
      <c r="F157" s="49" t="n">
        <v>0</v>
      </c>
      <c r="G157" s="49" t="n">
        <v>0</v>
      </c>
      <c r="H157" s="50" t="n">
        <v>0</v>
      </c>
      <c r="I157" s="49" t="n">
        <v>0</v>
      </c>
      <c r="J157" s="49" t="n">
        <v>0</v>
      </c>
      <c r="K157" s="50" t="n">
        <v>0</v>
      </c>
      <c r="L157" s="49" t="n">
        <v>0</v>
      </c>
      <c r="M157" s="49" t="n">
        <v>0</v>
      </c>
      <c r="N157" s="50" t="n">
        <v>0</v>
      </c>
      <c r="O157" s="52" t="n">
        <v>0</v>
      </c>
      <c r="P157" s="53" t="n">
        <v>0</v>
      </c>
      <c r="Q157" s="52" t="n">
        <v>0</v>
      </c>
      <c r="R157" s="51" t="n">
        <v>0</v>
      </c>
    </row>
    <row r="158" customFormat="false" ht="13.8" hidden="false" customHeight="false" outlineLevel="0" collapsed="false">
      <c r="A158" s="111" t="n">
        <v>4</v>
      </c>
      <c r="B158" s="121" t="s">
        <v>151</v>
      </c>
      <c r="C158" s="111" t="n">
        <v>2756307</v>
      </c>
      <c r="D158" s="111" t="n">
        <v>3084700</v>
      </c>
      <c r="E158" s="50" t="n">
        <f aca="false">C158/D158*100-100</f>
        <v>-10.6458650760204</v>
      </c>
      <c r="F158" s="111" t="n">
        <v>199433</v>
      </c>
      <c r="G158" s="122" t="n">
        <v>229168</v>
      </c>
      <c r="H158" s="50" t="n">
        <f aca="false">F158/G158*100-100</f>
        <v>-12.9751972352161</v>
      </c>
      <c r="I158" s="122" t="n">
        <v>2511202</v>
      </c>
      <c r="J158" s="122" t="n">
        <v>3323791</v>
      </c>
      <c r="K158" s="50" t="n">
        <f aca="false">I158/J158*100-100</f>
        <v>-24.4476563057063</v>
      </c>
      <c r="L158" s="122" t="n">
        <f aca="false">1995307+22765</f>
        <v>2018072</v>
      </c>
      <c r="M158" s="122" t="n">
        <f aca="false">1979891+18916</f>
        <v>1998807</v>
      </c>
      <c r="N158" s="50" t="n">
        <f aca="false">L158/M158*100-100</f>
        <v>0.963824921565703</v>
      </c>
      <c r="O158" s="111" t="n">
        <v>291</v>
      </c>
      <c r="P158" s="85" t="n">
        <v>100</v>
      </c>
      <c r="Q158" s="111" t="n">
        <v>296</v>
      </c>
      <c r="R158" s="51" t="n">
        <f aca="false">O158*P158</f>
        <v>29100</v>
      </c>
    </row>
    <row r="159" customFormat="false" ht="13.8" hidden="false" customHeight="false" outlineLevel="0" collapsed="false">
      <c r="A159" s="111" t="n">
        <v>5</v>
      </c>
      <c r="B159" s="94" t="s">
        <v>88</v>
      </c>
      <c r="C159" s="58" t="n">
        <v>2098362</v>
      </c>
      <c r="D159" s="58" t="n">
        <v>2088371</v>
      </c>
      <c r="E159" s="50" t="n">
        <f aca="false">C159/D159*100-100</f>
        <v>0.478411163533693</v>
      </c>
      <c r="F159" s="58" t="n">
        <v>128439</v>
      </c>
      <c r="G159" s="58" t="n">
        <v>145644</v>
      </c>
      <c r="H159" s="50" t="n">
        <f aca="false">F159/G159*100-100</f>
        <v>-11.8130510010711</v>
      </c>
      <c r="I159" s="58" t="n">
        <v>2184125</v>
      </c>
      <c r="J159" s="58" t="n">
        <v>2188108</v>
      </c>
      <c r="K159" s="50" t="n">
        <f aca="false">I159/J159*100-100</f>
        <v>-0.182029406226746</v>
      </c>
      <c r="L159" s="52" t="n">
        <v>25307</v>
      </c>
      <c r="M159" s="58" t="n">
        <v>0</v>
      </c>
      <c r="N159" s="50" t="n">
        <v>0</v>
      </c>
      <c r="O159" s="52" t="n">
        <v>127</v>
      </c>
      <c r="P159" s="58" t="n">
        <v>145</v>
      </c>
      <c r="Q159" s="52" t="n">
        <v>127</v>
      </c>
      <c r="R159" s="51" t="n">
        <f aca="false">O159*P159</f>
        <v>18415</v>
      </c>
    </row>
    <row r="160" customFormat="false" ht="13.8" hidden="false" customHeight="false" outlineLevel="0" collapsed="false">
      <c r="A160" s="111" t="n">
        <v>6</v>
      </c>
      <c r="B160" s="121" t="s">
        <v>152</v>
      </c>
      <c r="C160" s="49" t="n">
        <v>1364545</v>
      </c>
      <c r="D160" s="49" t="n">
        <v>2360611</v>
      </c>
      <c r="E160" s="50" t="n">
        <f aca="false">C160/D160*100-100</f>
        <v>-42.1952621588224</v>
      </c>
      <c r="F160" s="49" t="n">
        <v>0</v>
      </c>
      <c r="G160" s="49" t="n">
        <v>0</v>
      </c>
      <c r="H160" s="50" t="n">
        <v>0</v>
      </c>
      <c r="I160" s="49" t="n">
        <v>993442</v>
      </c>
      <c r="J160" s="49" t="n">
        <v>2357135</v>
      </c>
      <c r="K160" s="50" t="n">
        <v>0</v>
      </c>
      <c r="L160" s="49" t="n">
        <v>0</v>
      </c>
      <c r="M160" s="49" t="n">
        <v>0</v>
      </c>
      <c r="N160" s="50" t="n">
        <v>0</v>
      </c>
      <c r="O160" s="52" t="n">
        <v>381</v>
      </c>
      <c r="P160" s="53" t="n">
        <v>65</v>
      </c>
      <c r="Q160" s="52" t="n">
        <v>436</v>
      </c>
      <c r="R160" s="51" t="n">
        <f aca="false">O160*P160</f>
        <v>24765</v>
      </c>
    </row>
    <row r="161" customFormat="false" ht="13.8" hidden="false" customHeight="false" outlineLevel="0" collapsed="false">
      <c r="A161" s="64" t="s">
        <v>153</v>
      </c>
      <c r="B161" s="64" t="s">
        <v>154</v>
      </c>
      <c r="C161" s="65" t="n">
        <f aca="false">SUM(C155:C160)</f>
        <v>16547477</v>
      </c>
      <c r="D161" s="65" t="n">
        <f aca="false">SUM(D155:D160)</f>
        <v>13826344</v>
      </c>
      <c r="E161" s="418" t="n">
        <f aca="false">C161/D161*100-100</f>
        <v>19.6807847396246</v>
      </c>
      <c r="F161" s="65" t="n">
        <f aca="false">SUM(F155:F160)</f>
        <v>1303286</v>
      </c>
      <c r="G161" s="65" t="n">
        <f aca="false">SUM(G155:G160)</f>
        <v>1193511</v>
      </c>
      <c r="H161" s="418" t="n">
        <f aca="false">F161/G161*100-100</f>
        <v>9.19765297512969</v>
      </c>
      <c r="I161" s="65" t="n">
        <f aca="false">SUM(I155:I160)</f>
        <v>15655418</v>
      </c>
      <c r="J161" s="65" t="n">
        <f aca="false">SUM(J155:J160)</f>
        <v>14323446</v>
      </c>
      <c r="K161" s="418" t="n">
        <f aca="false">I161/J161*100-100</f>
        <v>9.29924265431656</v>
      </c>
      <c r="L161" s="65" t="n">
        <f aca="false">SUM(L155:L160)</f>
        <v>6644548</v>
      </c>
      <c r="M161" s="65" t="n">
        <f aca="false">SUM(M155:M160)</f>
        <v>3938098</v>
      </c>
      <c r="N161" s="434" t="n">
        <f aca="false">L161/M161*100-100</f>
        <v>68.7248006524977</v>
      </c>
      <c r="O161" s="65" t="n">
        <f aca="false">SUM(O155:O160)</f>
        <v>1431</v>
      </c>
      <c r="P161" s="66" t="n">
        <f aca="false">R161/O161</f>
        <v>98.2900069881202</v>
      </c>
      <c r="Q161" s="65" t="n">
        <f aca="false">SUM(Q155:Q160)</f>
        <v>1491</v>
      </c>
      <c r="R161" s="81" t="n">
        <f aca="false">SUM(R155:R160)</f>
        <v>140653</v>
      </c>
    </row>
    <row r="162" customFormat="false" ht="13.8" hidden="false" customHeight="false" outlineLevel="0" collapsed="false">
      <c r="A162" s="123"/>
      <c r="B162" s="105"/>
      <c r="C162" s="124"/>
      <c r="D162" s="124"/>
      <c r="E162" s="125"/>
      <c r="F162" s="124"/>
      <c r="G162" s="124"/>
      <c r="H162" s="125"/>
      <c r="I162" s="124"/>
      <c r="J162" s="124"/>
      <c r="K162" s="125"/>
      <c r="L162" s="124"/>
      <c r="M162" s="126"/>
      <c r="N162" s="127"/>
      <c r="O162" s="126"/>
      <c r="P162" s="124"/>
      <c r="Q162" s="126"/>
      <c r="R162" s="128"/>
    </row>
    <row r="163" customFormat="false" ht="13.8" hidden="false" customHeight="false" outlineLevel="0" collapsed="false">
      <c r="A163" s="123"/>
      <c r="B163" s="435" t="s">
        <v>194</v>
      </c>
      <c r="C163" s="435"/>
      <c r="D163" s="124"/>
      <c r="E163" s="125"/>
      <c r="F163" s="124"/>
      <c r="G163" s="124"/>
      <c r="H163" s="125"/>
      <c r="I163" s="124"/>
      <c r="J163" s="124"/>
      <c r="K163" s="125"/>
      <c r="L163" s="124"/>
      <c r="M163" s="126"/>
      <c r="N163" s="127"/>
      <c r="O163" s="126"/>
      <c r="P163" s="124"/>
      <c r="Q163" s="126"/>
      <c r="R163" s="128"/>
    </row>
    <row r="164" customFormat="false" ht="13.8" hidden="false" customHeight="false" outlineLevel="0" collapsed="false">
      <c r="A164" s="436" t="s">
        <v>195</v>
      </c>
      <c r="B164" s="436"/>
      <c r="C164" s="44" t="n">
        <v>3</v>
      </c>
      <c r="D164" s="44" t="n">
        <v>4</v>
      </c>
      <c r="E164" s="45" t="n">
        <v>5</v>
      </c>
      <c r="F164" s="44" t="n">
        <v>6</v>
      </c>
      <c r="G164" s="44" t="n">
        <v>7</v>
      </c>
      <c r="H164" s="44" t="n">
        <v>8</v>
      </c>
      <c r="I164" s="44" t="n">
        <v>9</v>
      </c>
      <c r="J164" s="44" t="n">
        <v>10</v>
      </c>
      <c r="K164" s="44" t="n">
        <v>11</v>
      </c>
      <c r="L164" s="44" t="n">
        <v>12</v>
      </c>
      <c r="M164" s="44" t="n">
        <v>13</v>
      </c>
      <c r="N164" s="44" t="n">
        <v>14</v>
      </c>
      <c r="O164" s="44" t="n">
        <v>15</v>
      </c>
      <c r="P164" s="45" t="n">
        <v>16</v>
      </c>
      <c r="Q164" s="44" t="n">
        <v>17</v>
      </c>
      <c r="R164" s="51"/>
    </row>
    <row r="165" customFormat="false" ht="13.8" hidden="false" customHeight="false" outlineLevel="0" collapsed="false">
      <c r="A165" s="437" t="n">
        <v>1</v>
      </c>
      <c r="B165" s="92" t="s">
        <v>249</v>
      </c>
      <c r="C165" s="52" t="n">
        <v>27050981</v>
      </c>
      <c r="D165" s="52" t="n">
        <v>20255571</v>
      </c>
      <c r="E165" s="50" t="n">
        <f aca="false">C165/D165*100-100</f>
        <v>33.5483507228703</v>
      </c>
      <c r="F165" s="52" t="n">
        <v>2238891</v>
      </c>
      <c r="G165" s="52" t="n">
        <v>1653799</v>
      </c>
      <c r="H165" s="50" t="n">
        <f aca="false">F165/G165*100-100</f>
        <v>35.3786645172721</v>
      </c>
      <c r="I165" s="52" t="n">
        <v>26168122</v>
      </c>
      <c r="J165" s="52" t="n">
        <v>20378598</v>
      </c>
      <c r="K165" s="50" t="n">
        <f aca="false">I165/J165*100-100</f>
        <v>28.4098248564499</v>
      </c>
      <c r="L165" s="52" t="n">
        <f aca="false">21672673+1172936</f>
        <v>22845609</v>
      </c>
      <c r="M165" s="52" t="n">
        <f aca="false">16167216+1229424</f>
        <v>17396640</v>
      </c>
      <c r="N165" s="50" t="n">
        <f aca="false">L165/M165*100-100</f>
        <v>31.3219621720056</v>
      </c>
      <c r="O165" s="52" t="n">
        <v>342</v>
      </c>
      <c r="P165" s="52" t="n">
        <v>190</v>
      </c>
      <c r="Q165" s="52" t="n">
        <v>343</v>
      </c>
      <c r="R165" s="51" t="n">
        <f aca="false">O165*P165</f>
        <v>64980</v>
      </c>
    </row>
    <row r="166" customFormat="false" ht="13.8" hidden="false" customHeight="false" outlineLevel="0" collapsed="false">
      <c r="A166" s="437" t="n">
        <v>2</v>
      </c>
      <c r="B166" s="92" t="s">
        <v>250</v>
      </c>
      <c r="C166" s="52" t="n">
        <v>4154827</v>
      </c>
      <c r="D166" s="52" t="n">
        <v>1295806</v>
      </c>
      <c r="E166" s="50" t="n">
        <f aca="false">C166/D166*100-100</f>
        <v>220.636499599477</v>
      </c>
      <c r="F166" s="52" t="n">
        <v>598880</v>
      </c>
      <c r="G166" s="52" t="n">
        <v>230454</v>
      </c>
      <c r="H166" s="72" t="n">
        <f aca="false">F166/G166*100-100</f>
        <v>159.869648606663</v>
      </c>
      <c r="I166" s="52" t="n">
        <v>4177512</v>
      </c>
      <c r="J166" s="52" t="n">
        <v>1329095</v>
      </c>
      <c r="K166" s="50" t="n">
        <f aca="false">I166/J166*100-100</f>
        <v>214.312520925893</v>
      </c>
      <c r="L166" s="52" t="n">
        <f aca="false">31266575+188021</f>
        <v>31454596</v>
      </c>
      <c r="M166" s="52" t="n">
        <f aca="false">234350+47352</f>
        <v>281702</v>
      </c>
      <c r="N166" s="72" t="n">
        <f aca="false">L166/M166*100-100</f>
        <v>11065.9114951261</v>
      </c>
      <c r="O166" s="52" t="n">
        <v>117</v>
      </c>
      <c r="P166" s="52" t="n">
        <v>110</v>
      </c>
      <c r="Q166" s="52" t="n">
        <v>132</v>
      </c>
      <c r="R166" s="51" t="n">
        <f aca="false">O166*P166</f>
        <v>12870</v>
      </c>
    </row>
    <row r="167" customFormat="false" ht="13.8" hidden="false" customHeight="false" outlineLevel="0" collapsed="false">
      <c r="A167" s="437" t="n">
        <v>3</v>
      </c>
      <c r="B167" s="92" t="s">
        <v>251</v>
      </c>
      <c r="C167" s="52" t="n">
        <v>744082</v>
      </c>
      <c r="D167" s="52" t="n">
        <v>524786</v>
      </c>
      <c r="E167" s="50" t="n">
        <f aca="false">C167/D167*100-100</f>
        <v>41.7877001291955</v>
      </c>
      <c r="F167" s="52" t="n">
        <v>2854</v>
      </c>
      <c r="G167" s="52" t="n">
        <v>41505</v>
      </c>
      <c r="H167" s="72" t="n">
        <f aca="false">F167/G167*100-100</f>
        <v>-93.1237200337309</v>
      </c>
      <c r="I167" s="52" t="n">
        <v>819290</v>
      </c>
      <c r="J167" s="52" t="n">
        <v>165776</v>
      </c>
      <c r="K167" s="72" t="n">
        <f aca="false">I167/J167*100-100</f>
        <v>394.215085416466</v>
      </c>
      <c r="L167" s="52" t="n">
        <f aca="false">188891+531875</f>
        <v>720766</v>
      </c>
      <c r="M167" s="52" t="n">
        <f aca="false">119847+10895</f>
        <v>130742</v>
      </c>
      <c r="N167" s="72" t="n">
        <f aca="false">L167/M167*100-100</f>
        <v>451.288797784951</v>
      </c>
      <c r="O167" s="52" t="n">
        <v>56</v>
      </c>
      <c r="P167" s="52" t="n">
        <v>131</v>
      </c>
      <c r="Q167" s="52" t="n">
        <v>53</v>
      </c>
      <c r="R167" s="51" t="n">
        <f aca="false">O167*P167</f>
        <v>7336</v>
      </c>
    </row>
    <row r="168" customFormat="false" ht="13.8" hidden="false" customHeight="false" outlineLevel="0" collapsed="false">
      <c r="A168" s="437" t="n">
        <v>4</v>
      </c>
      <c r="B168" s="92" t="s">
        <v>252</v>
      </c>
      <c r="C168" s="58" t="n">
        <v>1684331</v>
      </c>
      <c r="D168" s="58" t="n">
        <v>1314955</v>
      </c>
      <c r="E168" s="50" t="n">
        <f aca="false">C168/D168*100-100</f>
        <v>28.0903909259252</v>
      </c>
      <c r="F168" s="58" t="n">
        <v>222272</v>
      </c>
      <c r="G168" s="58" t="n">
        <v>166501</v>
      </c>
      <c r="H168" s="50" t="n">
        <f aca="false">F168/G168*100-100</f>
        <v>33.49589491955</v>
      </c>
      <c r="I168" s="58" t="n">
        <v>2419482</v>
      </c>
      <c r="J168" s="58" t="n">
        <v>2543859</v>
      </c>
      <c r="K168" s="50" t="n">
        <f aca="false">I168/J168*100-100</f>
        <v>-4.88930400623619</v>
      </c>
      <c r="L168" s="58" t="n">
        <v>1534739</v>
      </c>
      <c r="M168" s="58" t="n">
        <v>1260557</v>
      </c>
      <c r="N168" s="72" t="n">
        <f aca="false">L168/M168*100-100</f>
        <v>21.7508609289386</v>
      </c>
      <c r="O168" s="99" t="n">
        <v>201</v>
      </c>
      <c r="P168" s="52" t="n">
        <v>137</v>
      </c>
      <c r="Q168" s="99" t="n">
        <v>202</v>
      </c>
      <c r="R168" s="51" t="n">
        <f aca="false">O168*P168</f>
        <v>27537</v>
      </c>
    </row>
    <row r="169" customFormat="false" ht="22.5" hidden="false" customHeight="false" outlineLevel="0" collapsed="false">
      <c r="A169" s="438" t="n">
        <v>5</v>
      </c>
      <c r="B169" s="439" t="s">
        <v>253</v>
      </c>
      <c r="C169" s="55" t="n">
        <v>10412199</v>
      </c>
      <c r="D169" s="55" t="n">
        <v>9682656</v>
      </c>
      <c r="E169" s="50" t="n">
        <f aca="false">C169/D169*100-100</f>
        <v>7.534533913009</v>
      </c>
      <c r="F169" s="55" t="n">
        <v>546004</v>
      </c>
      <c r="G169" s="55" t="n">
        <v>304813</v>
      </c>
      <c r="H169" s="50" t="n">
        <f aca="false">F169/G169*100-100</f>
        <v>79.1275306499395</v>
      </c>
      <c r="I169" s="55" t="n">
        <v>9885330</v>
      </c>
      <c r="J169" s="55" t="n">
        <v>10113143</v>
      </c>
      <c r="K169" s="50" t="n">
        <f aca="false">I169/J169*100-100</f>
        <v>-2.25264292218552</v>
      </c>
      <c r="L169" s="55" t="n">
        <f aca="false">9360815+92649</f>
        <v>9453464</v>
      </c>
      <c r="M169" s="55" t="n">
        <f aca="false">9431712+210992</f>
        <v>9642704</v>
      </c>
      <c r="N169" s="72" t="n">
        <f aca="false">L169/M169*100-100</f>
        <v>-1.96252005661482</v>
      </c>
      <c r="O169" s="440" t="n">
        <v>254</v>
      </c>
      <c r="P169" s="49" t="n">
        <v>190</v>
      </c>
      <c r="Q169" s="440" t="n">
        <v>254</v>
      </c>
      <c r="R169" s="441" t="n">
        <f aca="false">O169*P169</f>
        <v>48260</v>
      </c>
    </row>
    <row r="170" s="442" customFormat="true" ht="13.8" hidden="false" customHeight="false" outlineLevel="0" collapsed="false">
      <c r="A170" s="438" t="n">
        <v>6</v>
      </c>
      <c r="B170" s="439" t="s">
        <v>254</v>
      </c>
      <c r="C170" s="55" t="n">
        <v>8166722</v>
      </c>
      <c r="D170" s="55" t="n">
        <v>8872437</v>
      </c>
      <c r="E170" s="50" t="n">
        <f aca="false">C170/D170*100-100</f>
        <v>-7.9540153398666</v>
      </c>
      <c r="F170" s="55" t="n">
        <v>1117319</v>
      </c>
      <c r="G170" s="55" t="n">
        <v>1350097</v>
      </c>
      <c r="H170" s="50" t="n">
        <f aca="false">F170/G170*100-100</f>
        <v>-17.2415759756521</v>
      </c>
      <c r="I170" s="55" t="n">
        <v>8166722</v>
      </c>
      <c r="J170" s="55" t="n">
        <v>8872437</v>
      </c>
      <c r="K170" s="50" t="n">
        <f aca="false">I170/J170*100-100</f>
        <v>-7.9540153398666</v>
      </c>
      <c r="L170" s="55" t="n">
        <f aca="false">2612529+2483287</f>
        <v>5095816</v>
      </c>
      <c r="M170" s="55" t="n">
        <f aca="false">4147246+2128888</f>
        <v>6276134</v>
      </c>
      <c r="N170" s="50" t="n">
        <f aca="false">L170/M170*100-100</f>
        <v>-18.8064499578881</v>
      </c>
      <c r="O170" s="440" t="n">
        <v>253</v>
      </c>
      <c r="P170" s="49" t="n">
        <v>114</v>
      </c>
      <c r="Q170" s="440" t="n">
        <v>251</v>
      </c>
      <c r="R170" s="441" t="n">
        <f aca="false">O170*P170</f>
        <v>28842</v>
      </c>
    </row>
    <row r="171" s="442" customFormat="true" ht="13.8" hidden="false" customHeight="false" outlineLevel="0" collapsed="false">
      <c r="A171" s="438" t="n">
        <v>7</v>
      </c>
      <c r="B171" s="92" t="s">
        <v>267</v>
      </c>
      <c r="C171" s="55" t="n">
        <v>1671515</v>
      </c>
      <c r="D171" s="55" t="n">
        <v>0</v>
      </c>
      <c r="E171" s="50" t="n">
        <v>0</v>
      </c>
      <c r="F171" s="55" t="n">
        <v>374561</v>
      </c>
      <c r="G171" s="55" t="n">
        <v>0</v>
      </c>
      <c r="H171" s="50" t="n">
        <v>0</v>
      </c>
      <c r="I171" s="55" t="n">
        <v>3010337</v>
      </c>
      <c r="J171" s="55" t="n">
        <v>0</v>
      </c>
      <c r="K171" s="50" t="n">
        <v>0</v>
      </c>
      <c r="L171" s="55" t="n">
        <v>2131821</v>
      </c>
      <c r="M171" s="55" t="n">
        <v>0</v>
      </c>
      <c r="N171" s="50" t="n">
        <v>0</v>
      </c>
      <c r="O171" s="440" t="n">
        <v>123</v>
      </c>
      <c r="P171" s="49" t="n">
        <v>93</v>
      </c>
      <c r="Q171" s="440" t="n">
        <v>127</v>
      </c>
      <c r="R171" s="441" t="n">
        <f aca="false">O171*P171</f>
        <v>11439</v>
      </c>
      <c r="T171" s="443"/>
    </row>
    <row r="172" s="442" customFormat="true" ht="13.8" hidden="false" customHeight="false" outlineLevel="0" collapsed="false">
      <c r="A172" s="438" t="n">
        <v>8</v>
      </c>
      <c r="B172" s="92" t="s">
        <v>268</v>
      </c>
      <c r="C172" s="55" t="n">
        <v>84460</v>
      </c>
      <c r="D172" s="55" t="n">
        <v>42860</v>
      </c>
      <c r="E172" s="50" t="n">
        <f aca="false">C172/D172*100-100</f>
        <v>97.0601959869342</v>
      </c>
      <c r="F172" s="55" t="n">
        <v>0</v>
      </c>
      <c r="G172" s="55" t="n">
        <v>2367</v>
      </c>
      <c r="H172" s="50" t="n">
        <v>0</v>
      </c>
      <c r="I172" s="55" t="n">
        <v>84460</v>
      </c>
      <c r="J172" s="55" t="n">
        <v>42860</v>
      </c>
      <c r="K172" s="50" t="n">
        <f aca="false">I172/J172*100-100</f>
        <v>97.0601959869342</v>
      </c>
      <c r="L172" s="55" t="n">
        <v>63460</v>
      </c>
      <c r="M172" s="55" t="n">
        <f aca="false">3216+24368</f>
        <v>27584</v>
      </c>
      <c r="N172" s="50" t="n">
        <f aca="false">L172/M172*100-100</f>
        <v>130.06090487239</v>
      </c>
      <c r="O172" s="440" t="n">
        <v>12</v>
      </c>
      <c r="P172" s="49" t="n">
        <v>80</v>
      </c>
      <c r="Q172" s="440" t="n">
        <v>12</v>
      </c>
      <c r="R172" s="441" t="n">
        <f aca="false">O172*P172</f>
        <v>960</v>
      </c>
      <c r="T172" s="443"/>
    </row>
    <row r="173" s="446" customFormat="true" ht="13.8" hidden="false" customHeight="false" outlineLevel="0" collapsed="false">
      <c r="A173" s="68" t="n">
        <v>9</v>
      </c>
      <c r="B173" s="444" t="s">
        <v>256</v>
      </c>
      <c r="C173" s="68" t="n">
        <v>20670248</v>
      </c>
      <c r="D173" s="68" t="n">
        <v>10106026</v>
      </c>
      <c r="E173" s="50" t="n">
        <f aca="false">C173/D173*100-100</f>
        <v>104.533888988609</v>
      </c>
      <c r="F173" s="68" t="n">
        <v>185083</v>
      </c>
      <c r="G173" s="68" t="n">
        <v>10064</v>
      </c>
      <c r="H173" s="72" t="n">
        <f aca="false">F173/G173*100-100</f>
        <v>1739.06001589825</v>
      </c>
      <c r="I173" s="68" t="n">
        <v>20658746</v>
      </c>
      <c r="J173" s="68" t="n">
        <v>1091630</v>
      </c>
      <c r="K173" s="72" t="n">
        <f aca="false">I173/J173*100-100</f>
        <v>1792.46777754367</v>
      </c>
      <c r="L173" s="68" t="n">
        <v>16014</v>
      </c>
      <c r="M173" s="68" t="n">
        <v>60655</v>
      </c>
      <c r="N173" s="445" t="n">
        <f aca="false">L173/M173*100-100</f>
        <v>-73.598219437804</v>
      </c>
      <c r="O173" s="68" t="n">
        <v>264</v>
      </c>
      <c r="P173" s="68" t="n">
        <v>75</v>
      </c>
      <c r="Q173" s="68" t="n">
        <v>260</v>
      </c>
      <c r="R173" s="441" t="n">
        <f aca="false">O173*P173</f>
        <v>19800</v>
      </c>
      <c r="T173" s="46"/>
    </row>
    <row r="174" s="446" customFormat="true" ht="13.8" hidden="false" customHeight="false" outlineLevel="0" collapsed="false">
      <c r="A174" s="68" t="n">
        <v>10</v>
      </c>
      <c r="B174" s="444" t="s">
        <v>269</v>
      </c>
      <c r="C174" s="68" t="n">
        <v>12553528</v>
      </c>
      <c r="D174" s="68" t="n">
        <v>3821492</v>
      </c>
      <c r="E174" s="50" t="n">
        <f aca="false">C174/D174*100-100</f>
        <v>228.498083994419</v>
      </c>
      <c r="F174" s="68" t="n">
        <v>305450</v>
      </c>
      <c r="G174" s="68" t="n">
        <v>795436</v>
      </c>
      <c r="H174" s="50" t="n">
        <f aca="false">F174/G174*100-100</f>
        <v>-61.5996761524497</v>
      </c>
      <c r="I174" s="68" t="n">
        <v>12553528</v>
      </c>
      <c r="J174" s="68" t="n">
        <v>3821492</v>
      </c>
      <c r="K174" s="72" t="n">
        <f aca="false">I174/J174*100-100</f>
        <v>228.498083994419</v>
      </c>
      <c r="L174" s="68" t="n">
        <f aca="false">12456199+1937</f>
        <v>12458136</v>
      </c>
      <c r="M174" s="68" t="n">
        <v>3792112</v>
      </c>
      <c r="N174" s="445" t="n">
        <f aca="false">L174/M174*100-100</f>
        <v>228.527638424182</v>
      </c>
      <c r="O174" s="68" t="n">
        <v>66</v>
      </c>
      <c r="P174" s="68" t="n">
        <v>256</v>
      </c>
      <c r="Q174" s="68" t="n">
        <v>66</v>
      </c>
      <c r="R174" s="441" t="n">
        <f aca="false">O174*P174</f>
        <v>16896</v>
      </c>
      <c r="T174" s="46"/>
    </row>
    <row r="175" customFormat="false" ht="13.8" hidden="false" customHeight="false" outlineLevel="0" collapsed="false">
      <c r="A175" s="52" t="n">
        <v>11</v>
      </c>
      <c r="B175" s="92" t="s">
        <v>257</v>
      </c>
      <c r="C175" s="52" t="n">
        <v>1820935</v>
      </c>
      <c r="D175" s="52" t="n">
        <v>1489420</v>
      </c>
      <c r="E175" s="50" t="n">
        <f aca="false">C175/D175*100-100</f>
        <v>22.2579930442723</v>
      </c>
      <c r="F175" s="52" t="n">
        <v>269089</v>
      </c>
      <c r="G175" s="52" t="n">
        <v>183361</v>
      </c>
      <c r="H175" s="50" t="n">
        <f aca="false">F175/G175*100-100</f>
        <v>46.7536717186316</v>
      </c>
      <c r="I175" s="52" t="n">
        <v>1803686</v>
      </c>
      <c r="J175" s="52" t="n">
        <v>1547791</v>
      </c>
      <c r="K175" s="50" t="n">
        <f aca="false">I175/J175*100-100</f>
        <v>16.5329169119087</v>
      </c>
      <c r="L175" s="52" t="n">
        <v>9796</v>
      </c>
      <c r="M175" s="52" t="n">
        <v>17776</v>
      </c>
      <c r="N175" s="50" t="n">
        <f aca="false">L175/M175*100-100</f>
        <v>-44.8919891989199</v>
      </c>
      <c r="O175" s="52" t="n">
        <v>36</v>
      </c>
      <c r="P175" s="52" t="n">
        <v>85</v>
      </c>
      <c r="Q175" s="52" t="n">
        <v>30</v>
      </c>
      <c r="R175" s="441" t="n">
        <f aca="false">O175*P175</f>
        <v>3060</v>
      </c>
      <c r="T175" s="84"/>
    </row>
    <row r="176" customFormat="false" ht="13.8" hidden="false" customHeight="false" outlineLevel="0" collapsed="false">
      <c r="A176" s="64" t="s">
        <v>201</v>
      </c>
      <c r="B176" s="64" t="s">
        <v>119</v>
      </c>
      <c r="C176" s="78" t="n">
        <f aca="false">SUM(C165:C175)</f>
        <v>89013828</v>
      </c>
      <c r="D176" s="78" t="n">
        <f aca="false">SUM(D165:D175)</f>
        <v>57406009</v>
      </c>
      <c r="E176" s="418" t="n">
        <f aca="false">C176/D176*100-100</f>
        <v>55.0601227129376</v>
      </c>
      <c r="F176" s="78" t="n">
        <f aca="false">SUM(F165:F175)</f>
        <v>5860403</v>
      </c>
      <c r="G176" s="78" t="n">
        <f aca="false">SUM(G165:G175)</f>
        <v>4738397</v>
      </c>
      <c r="H176" s="418" t="n">
        <f aca="false">F176/G176*100-100</f>
        <v>23.6790205632833</v>
      </c>
      <c r="I176" s="78" t="n">
        <f aca="false">SUM(I165:I175)</f>
        <v>89747215</v>
      </c>
      <c r="J176" s="78" t="n">
        <f aca="false">SUM(J165:J175)</f>
        <v>49906681</v>
      </c>
      <c r="K176" s="418" t="n">
        <f aca="false">I176/J176*100-100</f>
        <v>79.8300612296779</v>
      </c>
      <c r="L176" s="78" t="n">
        <f aca="false">SUM(L165:L175)</f>
        <v>85784217</v>
      </c>
      <c r="M176" s="78" t="n">
        <f aca="false">SUM(M165:M175)</f>
        <v>38886606</v>
      </c>
      <c r="N176" s="418" t="n">
        <f aca="false">L176/M176*100-100</f>
        <v>120.600936476688</v>
      </c>
      <c r="O176" s="78" t="n">
        <f aca="false">SUM(O165:O175)</f>
        <v>1724</v>
      </c>
      <c r="P176" s="80" t="n">
        <f aca="false">R176/O176</f>
        <v>140.359628770302</v>
      </c>
      <c r="Q176" s="78" t="n">
        <f aca="false">SUM(Q165:Q175)</f>
        <v>1730</v>
      </c>
      <c r="R176" s="78" t="n">
        <f aca="false">SUM(R165:R175)</f>
        <v>241980</v>
      </c>
      <c r="T176" s="23"/>
    </row>
    <row r="177" customFormat="false" ht="13.8" hidden="false" customHeight="false" outlineLevel="0" collapsed="false">
      <c r="A177" s="52"/>
      <c r="B177" s="130"/>
      <c r="C177" s="52"/>
      <c r="D177" s="52"/>
      <c r="E177" s="50"/>
      <c r="F177" s="52"/>
      <c r="G177" s="52"/>
      <c r="H177" s="50"/>
      <c r="I177" s="52"/>
      <c r="J177" s="52"/>
      <c r="K177" s="50"/>
      <c r="L177" s="52"/>
      <c r="M177" s="52"/>
      <c r="N177" s="50"/>
      <c r="O177" s="52"/>
      <c r="P177" s="52"/>
      <c r="Q177" s="52"/>
      <c r="R177" s="51"/>
    </row>
    <row r="178" customFormat="false" ht="13.8" hidden="false" customHeight="false" outlineLevel="0" collapsed="false">
      <c r="A178" s="52"/>
      <c r="B178" s="447" t="s">
        <v>202</v>
      </c>
      <c r="C178" s="44" t="n">
        <v>3</v>
      </c>
      <c r="D178" s="44" t="n">
        <v>4</v>
      </c>
      <c r="E178" s="45" t="n">
        <v>5</v>
      </c>
      <c r="F178" s="44" t="n">
        <v>6</v>
      </c>
      <c r="G178" s="44" t="n">
        <v>7</v>
      </c>
      <c r="H178" s="44" t="n">
        <v>8</v>
      </c>
      <c r="I178" s="44" t="n">
        <v>9</v>
      </c>
      <c r="J178" s="44" t="n">
        <v>10</v>
      </c>
      <c r="K178" s="44" t="n">
        <v>11</v>
      </c>
      <c r="L178" s="44" t="n">
        <v>12</v>
      </c>
      <c r="M178" s="33" t="n">
        <v>13</v>
      </c>
      <c r="N178" s="33" t="n">
        <v>14</v>
      </c>
      <c r="O178" s="33" t="n">
        <v>15</v>
      </c>
      <c r="P178" s="45" t="n">
        <v>16</v>
      </c>
      <c r="Q178" s="33" t="n">
        <v>17</v>
      </c>
      <c r="R178" s="51"/>
    </row>
    <row r="179" customFormat="false" ht="13.8" hidden="false" customHeight="false" outlineLevel="0" collapsed="false">
      <c r="A179" s="52" t="n">
        <v>1</v>
      </c>
      <c r="B179" s="92" t="s">
        <v>227</v>
      </c>
      <c r="C179" s="52" t="n">
        <v>123274</v>
      </c>
      <c r="D179" s="52" t="n">
        <v>132448</v>
      </c>
      <c r="E179" s="50" t="n">
        <f aca="false">C179/D179*100-100</f>
        <v>-6.92649190625755</v>
      </c>
      <c r="F179" s="52" t="n">
        <v>108</v>
      </c>
      <c r="G179" s="52" t="n">
        <v>8866</v>
      </c>
      <c r="H179" s="50" t="n">
        <f aca="false">F179/G179*100-100</f>
        <v>-98.7818632979923</v>
      </c>
      <c r="I179" s="52" t="n">
        <v>113516</v>
      </c>
      <c r="J179" s="52" t="n">
        <v>161606</v>
      </c>
      <c r="K179" s="50" t="n">
        <f aca="false">I179/J179*100-100</f>
        <v>-29.7575585064911</v>
      </c>
      <c r="L179" s="52" t="n">
        <f aca="false">104550+3774</f>
        <v>108324</v>
      </c>
      <c r="M179" s="52" t="n">
        <v>156233</v>
      </c>
      <c r="N179" s="50" t="n">
        <f aca="false">L179/M179*100-100</f>
        <v>-30.6650963624842</v>
      </c>
      <c r="O179" s="52" t="n">
        <v>33</v>
      </c>
      <c r="P179" s="52" t="n">
        <v>112</v>
      </c>
      <c r="Q179" s="52" t="n">
        <v>25</v>
      </c>
      <c r="R179" s="51" t="n">
        <f aca="false">O179*P179</f>
        <v>3696</v>
      </c>
    </row>
    <row r="180" customFormat="false" ht="13.8" hidden="false" customHeight="false" outlineLevel="0" collapsed="false">
      <c r="A180" s="52" t="n">
        <v>2</v>
      </c>
      <c r="B180" s="92" t="s">
        <v>238</v>
      </c>
      <c r="C180" s="52" t="n">
        <v>1740643</v>
      </c>
      <c r="D180" s="52" t="n">
        <v>1377029</v>
      </c>
      <c r="E180" s="72" t="n">
        <f aca="false">C180/D180*100-100</f>
        <v>26.4056893500427</v>
      </c>
      <c r="F180" s="52" t="n">
        <v>553013</v>
      </c>
      <c r="G180" s="52" t="n">
        <v>188608</v>
      </c>
      <c r="H180" s="50" t="n">
        <f aca="false">F180/G180*100-100</f>
        <v>193.20760519172</v>
      </c>
      <c r="I180" s="52" t="n">
        <v>242750</v>
      </c>
      <c r="J180" s="52" t="n">
        <v>1297459</v>
      </c>
      <c r="K180" s="50" t="n">
        <f aca="false">I180/J180*100-100</f>
        <v>-81.2903529128859</v>
      </c>
      <c r="L180" s="52" t="n">
        <v>1719796</v>
      </c>
      <c r="M180" s="52" t="n">
        <v>1297459</v>
      </c>
      <c r="N180" s="50" t="n">
        <f aca="false">L180/M180*100-100</f>
        <v>32.5510863927107</v>
      </c>
      <c r="O180" s="52" t="n">
        <v>98</v>
      </c>
      <c r="P180" s="52" t="n">
        <v>92</v>
      </c>
      <c r="Q180" s="52" t="n">
        <v>78</v>
      </c>
      <c r="R180" s="51" t="n">
        <f aca="false">O180*P180</f>
        <v>9016</v>
      </c>
    </row>
    <row r="181" customFormat="false" ht="13.8" hidden="false" customHeight="false" outlineLevel="0" collapsed="false">
      <c r="A181" s="52" t="n">
        <v>3</v>
      </c>
      <c r="B181" s="92" t="s">
        <v>239</v>
      </c>
      <c r="C181" s="52" t="n">
        <v>393641</v>
      </c>
      <c r="D181" s="52" t="n">
        <v>316351</v>
      </c>
      <c r="E181" s="72" t="n">
        <f aca="false">C181/D181*100-100</f>
        <v>24.4317229912344</v>
      </c>
      <c r="F181" s="52" t="n">
        <v>61840</v>
      </c>
      <c r="G181" s="52" t="n">
        <v>59190</v>
      </c>
      <c r="H181" s="50" t="n">
        <f aca="false">F181/G181*100-100</f>
        <v>4.47710761953033</v>
      </c>
      <c r="I181" s="52" t="n">
        <v>662887</v>
      </c>
      <c r="J181" s="52" t="n">
        <v>598940</v>
      </c>
      <c r="K181" s="50" t="n">
        <f aca="false">I181/J181*100-100</f>
        <v>10.6766954953752</v>
      </c>
      <c r="L181" s="52" t="n">
        <f aca="false">451431+115571</f>
        <v>567002</v>
      </c>
      <c r="M181" s="52" t="n">
        <f aca="false">394638+132180</f>
        <v>526818</v>
      </c>
      <c r="N181" s="50" t="n">
        <f aca="false">L181/M181*100-100</f>
        <v>7.62768166615415</v>
      </c>
      <c r="O181" s="52" t="n">
        <v>85</v>
      </c>
      <c r="P181" s="52" t="n">
        <v>85</v>
      </c>
      <c r="Q181" s="52" t="n">
        <v>118</v>
      </c>
      <c r="R181" s="51"/>
    </row>
    <row r="182" customFormat="false" ht="13.8" hidden="false" customHeight="false" outlineLevel="0" collapsed="false">
      <c r="A182" s="52" t="n">
        <v>4</v>
      </c>
      <c r="B182" s="92" t="s">
        <v>240</v>
      </c>
      <c r="C182" s="52" t="n">
        <v>3226418</v>
      </c>
      <c r="D182" s="52" t="n">
        <v>3011058</v>
      </c>
      <c r="E182" s="72" t="n">
        <f aca="false">C182/D182*100-100</f>
        <v>7.15230327678842</v>
      </c>
      <c r="F182" s="52" t="n">
        <v>319712</v>
      </c>
      <c r="G182" s="52" t="n">
        <v>522968</v>
      </c>
      <c r="H182" s="50" t="n">
        <f aca="false">F182/G182*100-100</f>
        <v>-38.8658579492435</v>
      </c>
      <c r="I182" s="52" t="n">
        <v>3172713</v>
      </c>
      <c r="J182" s="52" t="n">
        <v>3391890</v>
      </c>
      <c r="K182" s="50" t="n">
        <f aca="false">I182/J182*100-100</f>
        <v>-6.46179563606131</v>
      </c>
      <c r="L182" s="52" t="n">
        <f aca="false">1285800+272950</f>
        <v>1558750</v>
      </c>
      <c r="M182" s="52" t="n">
        <f aca="false">1896906+250300</f>
        <v>2147206</v>
      </c>
      <c r="N182" s="50" t="n">
        <f aca="false">L182/M182*100-100</f>
        <v>-27.4056611242703</v>
      </c>
      <c r="O182" s="52" t="n">
        <v>240</v>
      </c>
      <c r="P182" s="52" t="n">
        <v>150</v>
      </c>
      <c r="Q182" s="52" t="n">
        <v>240</v>
      </c>
      <c r="R182" s="51"/>
    </row>
    <row r="183" customFormat="false" ht="13.8" hidden="false" customHeight="false" outlineLevel="0" collapsed="false">
      <c r="A183" s="52" t="n">
        <v>5</v>
      </c>
      <c r="B183" s="92" t="s">
        <v>241</v>
      </c>
      <c r="C183" s="52" t="n">
        <v>47814843</v>
      </c>
      <c r="D183" s="52" t="n">
        <v>48276841</v>
      </c>
      <c r="E183" s="50" t="n">
        <f aca="false">C183/D183*100-100</f>
        <v>-0.956976451711071</v>
      </c>
      <c r="F183" s="52" t="n">
        <v>2982643</v>
      </c>
      <c r="G183" s="52" t="n">
        <v>7094370</v>
      </c>
      <c r="H183" s="50" t="n">
        <f aca="false">F183/G183*100-100</f>
        <v>-57.9576058198261</v>
      </c>
      <c r="I183" s="52" t="n">
        <v>3526278</v>
      </c>
      <c r="J183" s="52" t="n">
        <v>43746594</v>
      </c>
      <c r="K183" s="50" t="n">
        <f aca="false">I183/J183*100-100</f>
        <v>-91.9393084636486</v>
      </c>
      <c r="L183" s="52" t="n">
        <v>2035096</v>
      </c>
      <c r="M183" s="52" t="n">
        <v>1891460</v>
      </c>
      <c r="N183" s="50" t="n">
        <f aca="false">L183/M183*100-100</f>
        <v>7.59392215537204</v>
      </c>
      <c r="O183" s="52" t="n">
        <v>778</v>
      </c>
      <c r="P183" s="52" t="n">
        <v>47</v>
      </c>
      <c r="Q183" s="52" t="n">
        <v>778</v>
      </c>
      <c r="R183" s="51"/>
    </row>
    <row r="184" customFormat="false" ht="13.8" hidden="false" customHeight="false" outlineLevel="0" collapsed="false">
      <c r="A184" s="52" t="n">
        <v>6</v>
      </c>
      <c r="B184" s="92" t="s">
        <v>204</v>
      </c>
      <c r="C184" s="52" t="n">
        <v>5204312</v>
      </c>
      <c r="D184" s="52" t="n">
        <v>4598151</v>
      </c>
      <c r="E184" s="50" t="n">
        <f aca="false">C184/D184*100-100</f>
        <v>13.1827119205089</v>
      </c>
      <c r="F184" s="52" t="n">
        <v>313753</v>
      </c>
      <c r="G184" s="52" t="n">
        <v>320534</v>
      </c>
      <c r="H184" s="50" t="n">
        <f aca="false">F184/G184*100-100</f>
        <v>-2.11553220563185</v>
      </c>
      <c r="I184" s="52" t="n">
        <v>4697990</v>
      </c>
      <c r="J184" s="52" t="n">
        <v>4145651</v>
      </c>
      <c r="K184" s="50" t="n">
        <f aca="false">I184/J184*100-100</f>
        <v>13.3233357077091</v>
      </c>
      <c r="L184" s="52" t="n">
        <f aca="false">1178885+42962</f>
        <v>1221847</v>
      </c>
      <c r="M184" s="52" t="n">
        <f aca="false">116174+65362</f>
        <v>181536</v>
      </c>
      <c r="N184" s="50" t="n">
        <f aca="false">L184/M184*100-100</f>
        <v>573.060439802574</v>
      </c>
      <c r="O184" s="52" t="n">
        <v>471</v>
      </c>
      <c r="P184" s="52" t="n">
        <v>138</v>
      </c>
      <c r="Q184" s="52" t="n">
        <v>474</v>
      </c>
      <c r="R184" s="51" t="n">
        <f aca="false">O184*P184</f>
        <v>64998</v>
      </c>
    </row>
    <row r="185" customFormat="false" ht="13.8" hidden="false" customHeight="false" outlineLevel="0" collapsed="false">
      <c r="A185" s="52" t="n">
        <v>7</v>
      </c>
      <c r="B185" s="92" t="s">
        <v>205</v>
      </c>
      <c r="C185" s="52" t="n">
        <v>2006894</v>
      </c>
      <c r="D185" s="52" t="n">
        <v>1477797</v>
      </c>
      <c r="E185" s="50" t="n">
        <f aca="false">C185/D185*100-100</f>
        <v>35.8030906816024</v>
      </c>
      <c r="F185" s="52" t="n">
        <v>71201</v>
      </c>
      <c r="G185" s="52" t="n">
        <v>170917</v>
      </c>
      <c r="H185" s="50" t="n">
        <f aca="false">F185/G185*100-100</f>
        <v>-58.3417682266831</v>
      </c>
      <c r="I185" s="52" t="n">
        <v>1816947</v>
      </c>
      <c r="J185" s="52" t="n">
        <v>1400643</v>
      </c>
      <c r="K185" s="50" t="n">
        <f aca="false">I185/J185*100-100</f>
        <v>29.7223489497324</v>
      </c>
      <c r="L185" s="52" t="n">
        <f aca="false">97927+30144</f>
        <v>128071</v>
      </c>
      <c r="M185" s="52" t="n">
        <v>0</v>
      </c>
      <c r="N185" s="50" t="n">
        <v>0</v>
      </c>
      <c r="O185" s="52" t="n">
        <v>168</v>
      </c>
      <c r="P185" s="52" t="n">
        <v>100</v>
      </c>
      <c r="Q185" s="52" t="n">
        <v>166</v>
      </c>
      <c r="R185" s="51" t="n">
        <f aca="false">O185*P185</f>
        <v>16800</v>
      </c>
    </row>
    <row r="186" customFormat="false" ht="13.8" hidden="false" customHeight="false" outlineLevel="0" collapsed="false">
      <c r="A186" s="52" t="n">
        <v>8</v>
      </c>
      <c r="B186" s="92" t="s">
        <v>242</v>
      </c>
      <c r="C186" s="52" t="n">
        <v>42738</v>
      </c>
      <c r="D186" s="52" t="n">
        <v>42466</v>
      </c>
      <c r="E186" s="50" t="n">
        <f aca="false">C186/D186*100-100</f>
        <v>0.64051240992795</v>
      </c>
      <c r="F186" s="52" t="n">
        <v>402246</v>
      </c>
      <c r="G186" s="52" t="n">
        <v>343878</v>
      </c>
      <c r="H186" s="50" t="n">
        <f aca="false">F186/G186*100-100</f>
        <v>16.9734615183292</v>
      </c>
      <c r="I186" s="52" t="n">
        <v>631624</v>
      </c>
      <c r="J186" s="52" t="n">
        <v>383220</v>
      </c>
      <c r="K186" s="50" t="n">
        <f aca="false">I186/J186*100-100</f>
        <v>64.8202077135849</v>
      </c>
      <c r="L186" s="52" t="n">
        <v>543876</v>
      </c>
      <c r="M186" s="52" t="n">
        <v>322425</v>
      </c>
      <c r="N186" s="50" t="n">
        <f aca="false">L186/M186*100-100</f>
        <v>68.6829495231449</v>
      </c>
      <c r="O186" s="52" t="n">
        <v>32</v>
      </c>
      <c r="P186" s="52" t="n">
        <v>80</v>
      </c>
      <c r="Q186" s="52" t="n">
        <v>32</v>
      </c>
      <c r="R186" s="51"/>
    </row>
    <row r="187" customFormat="false" ht="13.8" hidden="false" customHeight="false" outlineLevel="0" collapsed="false">
      <c r="A187" s="52" t="n">
        <v>9</v>
      </c>
      <c r="B187" s="92" t="s">
        <v>243</v>
      </c>
      <c r="C187" s="52" t="n">
        <v>2064132</v>
      </c>
      <c r="D187" s="52" t="n">
        <v>1510699</v>
      </c>
      <c r="E187" s="50" t="n">
        <f aca="false">C187/D187*100-100</f>
        <v>36.634233556784</v>
      </c>
      <c r="F187" s="52" t="n">
        <v>286209</v>
      </c>
      <c r="G187" s="52" t="n">
        <v>167866</v>
      </c>
      <c r="H187" s="50" t="n">
        <f aca="false">F187/G187*100-100</f>
        <v>70.4984928454839</v>
      </c>
      <c r="I187" s="52" t="n">
        <v>2059753</v>
      </c>
      <c r="J187" s="52" t="n">
        <v>1510699</v>
      </c>
      <c r="K187" s="50" t="n">
        <f aca="false">I187/J187*100-100</f>
        <v>36.344367739702</v>
      </c>
      <c r="L187" s="52" t="n">
        <v>80812</v>
      </c>
      <c r="M187" s="52" t="n">
        <v>20025</v>
      </c>
      <c r="N187" s="50" t="n">
        <f aca="false">L187/M187*100-100</f>
        <v>303.555555555556</v>
      </c>
      <c r="O187" s="52" t="n">
        <v>166</v>
      </c>
      <c r="P187" s="52" t="n">
        <v>118</v>
      </c>
      <c r="Q187" s="52" t="n">
        <v>155</v>
      </c>
      <c r="R187" s="51"/>
    </row>
    <row r="188" customFormat="false" ht="13.8" hidden="false" customHeight="false" outlineLevel="0" collapsed="false">
      <c r="A188" s="52" t="n">
        <v>10</v>
      </c>
      <c r="B188" s="444" t="s">
        <v>264</v>
      </c>
      <c r="C188" s="68" t="n">
        <v>1013280</v>
      </c>
      <c r="D188" s="68" t="n">
        <v>629815</v>
      </c>
      <c r="E188" s="50" t="n">
        <f aca="false">C188/D188*100-100</f>
        <v>60.8853393456809</v>
      </c>
      <c r="F188" s="68" t="n">
        <v>71750</v>
      </c>
      <c r="G188" s="68" t="n">
        <v>51692</v>
      </c>
      <c r="H188" s="50" t="n">
        <f aca="false">F188/G188*100-100</f>
        <v>38.8029095411282</v>
      </c>
      <c r="I188" s="68" t="n">
        <v>1013280</v>
      </c>
      <c r="J188" s="68" t="n">
        <v>629815</v>
      </c>
      <c r="K188" s="72" t="n">
        <f aca="false">I188/J188*100-100</f>
        <v>60.8853393456809</v>
      </c>
      <c r="L188" s="68" t="n">
        <f aca="false">780563+47982</f>
        <v>828545</v>
      </c>
      <c r="M188" s="68" t="n">
        <f aca="false">43538+55101</f>
        <v>98639</v>
      </c>
      <c r="N188" s="50" t="n">
        <f aca="false">L188/M188*100-100</f>
        <v>739.977088169994</v>
      </c>
      <c r="O188" s="68" t="n">
        <v>76</v>
      </c>
      <c r="P188" s="68" t="n">
        <v>80</v>
      </c>
      <c r="Q188" s="68" t="n">
        <v>76</v>
      </c>
      <c r="R188" s="51"/>
    </row>
    <row r="189" customFormat="false" ht="13.8" hidden="false" customHeight="false" outlineLevel="0" collapsed="false">
      <c r="A189" s="52" t="n">
        <v>11</v>
      </c>
      <c r="B189" s="444" t="s">
        <v>270</v>
      </c>
      <c r="C189" s="68" t="n">
        <v>227774</v>
      </c>
      <c r="D189" s="68" t="n">
        <v>172380</v>
      </c>
      <c r="E189" s="50" t="n">
        <f aca="false">C189/D189*100-100</f>
        <v>32.1348184244112</v>
      </c>
      <c r="F189" s="68" t="n">
        <v>30857</v>
      </c>
      <c r="G189" s="68" t="n">
        <v>21773</v>
      </c>
      <c r="H189" s="50" t="n">
        <f aca="false">F189/G189*100-100</f>
        <v>41.7213980618197</v>
      </c>
      <c r="I189" s="68" t="n">
        <v>227774</v>
      </c>
      <c r="J189" s="68" t="n">
        <v>172380</v>
      </c>
      <c r="K189" s="72" t="n">
        <f aca="false">I189/J189*100-100</f>
        <v>32.1348184244112</v>
      </c>
      <c r="L189" s="68" t="n">
        <v>0</v>
      </c>
      <c r="M189" s="68" t="n">
        <v>0</v>
      </c>
      <c r="N189" s="50" t="n">
        <v>0</v>
      </c>
      <c r="O189" s="68" t="n">
        <v>17</v>
      </c>
      <c r="P189" s="68" t="n">
        <v>80</v>
      </c>
      <c r="Q189" s="68" t="n">
        <v>17</v>
      </c>
      <c r="R189" s="51"/>
    </row>
    <row r="190" customFormat="false" ht="13.8" hidden="false" customHeight="false" outlineLevel="0" collapsed="false">
      <c r="A190" s="52" t="n">
        <v>12</v>
      </c>
      <c r="B190" s="92" t="s">
        <v>258</v>
      </c>
      <c r="C190" s="52" t="n">
        <v>555756</v>
      </c>
      <c r="D190" s="52" t="n">
        <v>526422</v>
      </c>
      <c r="E190" s="50" t="n">
        <f aca="false">C190/D190*100-100</f>
        <v>5.57233550269555</v>
      </c>
      <c r="F190" s="52" t="n">
        <v>23045</v>
      </c>
      <c r="G190" s="52" t="n">
        <v>71329</v>
      </c>
      <c r="H190" s="50" t="n">
        <f aca="false">F190/G190*100-100</f>
        <v>-67.6919625958586</v>
      </c>
      <c r="I190" s="52" t="n">
        <v>549299</v>
      </c>
      <c r="J190" s="52" t="n">
        <v>527868</v>
      </c>
      <c r="K190" s="50" t="n">
        <f aca="false">I190/J190*100-100</f>
        <v>4.05991649427509</v>
      </c>
      <c r="L190" s="52" t="n">
        <v>20588</v>
      </c>
      <c r="M190" s="52" t="n">
        <v>52215</v>
      </c>
      <c r="N190" s="50" t="n">
        <f aca="false">L190/M190*100-100</f>
        <v>-60.5707172268505</v>
      </c>
      <c r="O190" s="52" t="n">
        <v>102</v>
      </c>
      <c r="P190" s="52" t="n">
        <v>95</v>
      </c>
      <c r="Q190" s="52" t="n">
        <v>99</v>
      </c>
      <c r="R190" s="51"/>
    </row>
    <row r="191" customFormat="false" ht="13.8" hidden="false" customHeight="false" outlineLevel="0" collapsed="false">
      <c r="A191" s="52" t="n">
        <v>13</v>
      </c>
      <c r="B191" s="92" t="s">
        <v>271</v>
      </c>
      <c r="C191" s="52" t="n">
        <v>12407</v>
      </c>
      <c r="D191" s="52" t="n">
        <v>30380</v>
      </c>
      <c r="E191" s="50" t="n">
        <f aca="false">C191/D191*100-100</f>
        <v>-59.1606319947334</v>
      </c>
      <c r="F191" s="52" t="n">
        <v>372</v>
      </c>
      <c r="G191" s="52" t="n">
        <v>3806</v>
      </c>
      <c r="H191" s="50" t="n">
        <f aca="false">F191/G191*100-100</f>
        <v>-90.2259590120862</v>
      </c>
      <c r="I191" s="52" t="n">
        <v>0</v>
      </c>
      <c r="J191" s="52" t="n">
        <v>0</v>
      </c>
      <c r="K191" s="50" t="n">
        <v>0</v>
      </c>
      <c r="L191" s="52" t="n">
        <v>9022</v>
      </c>
      <c r="M191" s="52" t="n">
        <v>21546</v>
      </c>
      <c r="N191" s="50" t="n">
        <f aca="false">L191/M191*100-100</f>
        <v>-58.1267984776757</v>
      </c>
      <c r="O191" s="52" t="n">
        <v>45</v>
      </c>
      <c r="P191" s="52" t="n">
        <v>80</v>
      </c>
      <c r="Q191" s="52" t="n">
        <v>45</v>
      </c>
      <c r="R191" s="51"/>
    </row>
    <row r="192" customFormat="false" ht="13.8" hidden="false" customHeight="false" outlineLevel="0" collapsed="false">
      <c r="A192" s="52" t="n">
        <v>14</v>
      </c>
      <c r="B192" s="92" t="s">
        <v>157</v>
      </c>
      <c r="C192" s="52" t="n">
        <v>2987237</v>
      </c>
      <c r="D192" s="52" t="n">
        <v>2752212</v>
      </c>
      <c r="E192" s="50" t="n">
        <f aca="false">C192/D192*100-100</f>
        <v>8.53949477729185</v>
      </c>
      <c r="F192" s="52" t="n">
        <v>151045</v>
      </c>
      <c r="G192" s="52" t="n">
        <v>452045</v>
      </c>
      <c r="H192" s="50" t="n">
        <f aca="false">F192/G192*100-100</f>
        <v>-66.5862911878242</v>
      </c>
      <c r="I192" s="52" t="n">
        <v>2480770</v>
      </c>
      <c r="J192" s="52" t="n">
        <v>2454637</v>
      </c>
      <c r="K192" s="50" t="n">
        <f aca="false">I192/J192*100-100</f>
        <v>1.06463807072083</v>
      </c>
      <c r="L192" s="52" t="n">
        <v>0</v>
      </c>
      <c r="M192" s="52" t="n">
        <v>0</v>
      </c>
      <c r="N192" s="50" t="n">
        <v>0</v>
      </c>
      <c r="O192" s="52" t="n">
        <v>466</v>
      </c>
      <c r="P192" s="52" t="n">
        <v>100</v>
      </c>
      <c r="Q192" s="52" t="n">
        <v>446</v>
      </c>
      <c r="R192" s="51" t="n">
        <f aca="false">O192*P192</f>
        <v>46600</v>
      </c>
    </row>
    <row r="193" customFormat="false" ht="13.8" hidden="false" customHeight="false" outlineLevel="0" collapsed="false">
      <c r="A193" s="64" t="s">
        <v>206</v>
      </c>
      <c r="B193" s="64" t="s">
        <v>119</v>
      </c>
      <c r="C193" s="65" t="n">
        <f aca="false">SUM(C179:C192)</f>
        <v>67413349</v>
      </c>
      <c r="D193" s="65" t="n">
        <f aca="false">SUM(D179:D192)</f>
        <v>64854049</v>
      </c>
      <c r="E193" s="418" t="n">
        <f aca="false">C193/D193*100-100</f>
        <v>3.94624551506415</v>
      </c>
      <c r="F193" s="65" t="n">
        <f aca="false">SUM(F179:F192)</f>
        <v>5267794</v>
      </c>
      <c r="G193" s="65" t="n">
        <f aca="false">SUM(G179:G192)</f>
        <v>9477842</v>
      </c>
      <c r="H193" s="418" t="n">
        <f aca="false">F193/G193*100-100</f>
        <v>-44.4199006482699</v>
      </c>
      <c r="I193" s="65" t="n">
        <f aca="false">SUM(I179:I192)</f>
        <v>21195581</v>
      </c>
      <c r="J193" s="65" t="n">
        <f aca="false">SUM(J179:J192)</f>
        <v>60421402</v>
      </c>
      <c r="K193" s="418" t="n">
        <f aca="false">I193/J193*100-100</f>
        <v>-64.920408500286</v>
      </c>
      <c r="L193" s="65" t="n">
        <f aca="false">SUM(L179:L192)</f>
        <v>8821729</v>
      </c>
      <c r="M193" s="65" t="n">
        <f aca="false">SUM(M179:M192)</f>
        <v>6715562</v>
      </c>
      <c r="N193" s="418" t="n">
        <f aca="false">L193/M193*100-100</f>
        <v>31.362483139907</v>
      </c>
      <c r="O193" s="65" t="n">
        <f aca="false">SUM(O173:O192)</f>
        <v>4882</v>
      </c>
      <c r="P193" s="86" t="n">
        <f aca="false">R193/O193</f>
        <v>86.6132732486686</v>
      </c>
      <c r="Q193" s="65" t="n">
        <f aca="false">SUM(Q173:Q192)</f>
        <v>4852</v>
      </c>
      <c r="R193" s="81" t="n">
        <f aca="false">SUM(R173:R192)</f>
        <v>422846</v>
      </c>
    </row>
    <row r="194" customFormat="false" ht="13.8" hidden="false" customHeight="false" outlineLevel="0" collapsed="false">
      <c r="A194" s="448"/>
      <c r="B194" s="448" t="s">
        <v>158</v>
      </c>
      <c r="C194" s="449" t="n">
        <f aca="false">C176+C193</f>
        <v>156427177</v>
      </c>
      <c r="D194" s="449" t="n">
        <f aca="false">D176+D193</f>
        <v>122260058</v>
      </c>
      <c r="E194" s="414" t="n">
        <f aca="false">C194/D194*100-100</f>
        <v>27.946264347429</v>
      </c>
      <c r="F194" s="449" t="n">
        <f aca="false">F176+F193</f>
        <v>11128197</v>
      </c>
      <c r="G194" s="449" t="n">
        <f aca="false">G176+G193</f>
        <v>14216239</v>
      </c>
      <c r="H194" s="414" t="n">
        <f aca="false">F194/G194*100-100</f>
        <v>-21.7219336281558</v>
      </c>
      <c r="I194" s="449" t="n">
        <f aca="false">I176+I193</f>
        <v>110942796</v>
      </c>
      <c r="J194" s="449" t="n">
        <f aca="false">J176+J193</f>
        <v>110328083</v>
      </c>
      <c r="K194" s="414" t="n">
        <f aca="false">I194/J194*100-100</f>
        <v>0.557168205306354</v>
      </c>
      <c r="L194" s="449" t="n">
        <f aca="false">L176+L193</f>
        <v>94605946</v>
      </c>
      <c r="M194" s="449" t="n">
        <f aca="false">M176+M193</f>
        <v>45602168</v>
      </c>
      <c r="N194" s="414" t="n">
        <f aca="false">L194/M194*100-100</f>
        <v>107.459316407939</v>
      </c>
      <c r="O194" s="449" t="n">
        <f aca="false">O176+O193</f>
        <v>6606</v>
      </c>
      <c r="P194" s="429" t="n">
        <f aca="false">R194/O194</f>
        <v>100.639721465335</v>
      </c>
      <c r="Q194" s="449" t="n">
        <f aca="false">Q176+Q193</f>
        <v>6582</v>
      </c>
      <c r="R194" s="449" t="n">
        <f aca="false">R176+R193</f>
        <v>664826</v>
      </c>
    </row>
    <row r="195" customFormat="false" ht="13.8" hidden="false" customHeight="false" outlineLevel="0" collapsed="false">
      <c r="A195" s="123"/>
      <c r="B195" s="105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8"/>
    </row>
    <row r="196" customFormat="false" ht="13.8" hidden="false" customHeight="false" outlineLevel="0" collapsed="false">
      <c r="A196" s="450"/>
      <c r="B196" s="451" t="s">
        <v>207</v>
      </c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452"/>
      <c r="N196" s="452"/>
      <c r="O196" s="452"/>
      <c r="P196" s="124"/>
      <c r="Q196" s="452"/>
      <c r="R196" s="128"/>
    </row>
    <row r="197" customFormat="false" ht="13.8" hidden="false" customHeight="false" outlineLevel="0" collapsed="false">
      <c r="A197" s="44" t="s">
        <v>208</v>
      </c>
      <c r="B197" s="44"/>
      <c r="C197" s="44" t="n">
        <v>3</v>
      </c>
      <c r="D197" s="44" t="n">
        <v>4</v>
      </c>
      <c r="E197" s="45" t="n">
        <v>5</v>
      </c>
      <c r="F197" s="44" t="n">
        <v>6</v>
      </c>
      <c r="G197" s="44" t="n">
        <v>7</v>
      </c>
      <c r="H197" s="44" t="n">
        <v>8</v>
      </c>
      <c r="I197" s="44" t="n">
        <v>9</v>
      </c>
      <c r="J197" s="44" t="n">
        <v>10</v>
      </c>
      <c r="K197" s="44" t="n">
        <v>11</v>
      </c>
      <c r="L197" s="44" t="n">
        <v>12</v>
      </c>
      <c r="M197" s="33" t="n">
        <v>13</v>
      </c>
      <c r="N197" s="33" t="n">
        <v>14</v>
      </c>
      <c r="O197" s="33" t="n">
        <v>15</v>
      </c>
      <c r="P197" s="45" t="n">
        <v>16</v>
      </c>
      <c r="Q197" s="33" t="n">
        <v>17</v>
      </c>
      <c r="R197" s="28"/>
    </row>
    <row r="198" customFormat="false" ht="13.8" hidden="false" customHeight="false" outlineLevel="0" collapsed="false">
      <c r="A198" s="453" t="n">
        <v>1</v>
      </c>
      <c r="B198" s="131" t="s">
        <v>161</v>
      </c>
      <c r="C198" s="111" t="n">
        <v>1170356</v>
      </c>
      <c r="D198" s="111" t="n">
        <v>1221024</v>
      </c>
      <c r="E198" s="50" t="n">
        <f aca="false">C198/D198*100-100</f>
        <v>-4.14963178446943</v>
      </c>
      <c r="F198" s="111" t="n">
        <v>24755</v>
      </c>
      <c r="G198" s="111" t="n">
        <v>171373</v>
      </c>
      <c r="H198" s="50" t="n">
        <f aca="false">F198/G198*100-100</f>
        <v>-85.554900713648</v>
      </c>
      <c r="I198" s="111" t="n">
        <v>1170356</v>
      </c>
      <c r="J198" s="111" t="n">
        <v>1221024</v>
      </c>
      <c r="K198" s="50" t="n">
        <f aca="false">I198/J198*100-100</f>
        <v>-4.14963178446943</v>
      </c>
      <c r="L198" s="111" t="n">
        <f aca="false">945663+394873</f>
        <v>1340536</v>
      </c>
      <c r="M198" s="111" t="n">
        <f aca="false">549041+501682</f>
        <v>1050723</v>
      </c>
      <c r="N198" s="50" t="n">
        <f aca="false">L198/M198*100-100</f>
        <v>27.5822457488796</v>
      </c>
      <c r="O198" s="111" t="n">
        <v>140</v>
      </c>
      <c r="P198" s="111" t="n">
        <v>140</v>
      </c>
      <c r="Q198" s="111" t="n">
        <v>137</v>
      </c>
      <c r="R198" s="51" t="n">
        <f aca="false">O198*P198</f>
        <v>19600</v>
      </c>
    </row>
    <row r="199" customFormat="false" ht="13.8" hidden="false" customHeight="false" outlineLevel="0" collapsed="false">
      <c r="A199" s="453" t="n">
        <v>2</v>
      </c>
      <c r="B199" s="131" t="s">
        <v>162</v>
      </c>
      <c r="C199" s="49" t="n">
        <v>0</v>
      </c>
      <c r="D199" s="49" t="n">
        <v>0</v>
      </c>
      <c r="E199" s="50" t="n">
        <v>0</v>
      </c>
      <c r="F199" s="49" t="n">
        <v>0</v>
      </c>
      <c r="G199" s="49" t="n">
        <v>0</v>
      </c>
      <c r="H199" s="50" t="n">
        <v>0</v>
      </c>
      <c r="I199" s="49" t="n">
        <v>0</v>
      </c>
      <c r="J199" s="49" t="n">
        <v>0</v>
      </c>
      <c r="K199" s="50" t="n">
        <v>0</v>
      </c>
      <c r="L199" s="49" t="n">
        <v>0</v>
      </c>
      <c r="M199" s="49" t="n">
        <v>0</v>
      </c>
      <c r="N199" s="50" t="n">
        <v>0</v>
      </c>
      <c r="O199" s="52" t="n">
        <v>0</v>
      </c>
      <c r="P199" s="53" t="n">
        <v>0</v>
      </c>
      <c r="Q199" s="52" t="n">
        <v>0</v>
      </c>
      <c r="R199" s="51" t="n">
        <f aca="false">O199*P199</f>
        <v>0</v>
      </c>
    </row>
    <row r="200" customFormat="false" ht="13.8" hidden="false" customHeight="false" outlineLevel="0" collapsed="false">
      <c r="A200" s="453" t="n">
        <v>3</v>
      </c>
      <c r="B200" s="131" t="s">
        <v>163</v>
      </c>
      <c r="C200" s="111" t="n">
        <v>6391389</v>
      </c>
      <c r="D200" s="111" t="n">
        <v>5252942</v>
      </c>
      <c r="E200" s="111" t="n">
        <f aca="false">C200/D200*100-100</f>
        <v>21.672559872163</v>
      </c>
      <c r="F200" s="111" t="n">
        <v>490486</v>
      </c>
      <c r="G200" s="111" t="n">
        <v>601445</v>
      </c>
      <c r="H200" s="111" t="n">
        <f aca="false">F200/G200*100-100</f>
        <v>-18.4487359608942</v>
      </c>
      <c r="I200" s="111" t="n">
        <v>6391389</v>
      </c>
      <c r="J200" s="111" t="n">
        <v>5252942</v>
      </c>
      <c r="K200" s="111" t="n">
        <f aca="false">I200/J200*100-100</f>
        <v>21.672559872163</v>
      </c>
      <c r="L200" s="111" t="n">
        <v>490486</v>
      </c>
      <c r="M200" s="111" t="n">
        <v>601445</v>
      </c>
      <c r="N200" s="50" t="n">
        <f aca="false">L200/M200*100-100</f>
        <v>-18.4487359608942</v>
      </c>
      <c r="O200" s="111" t="n">
        <v>114</v>
      </c>
      <c r="P200" s="135" t="n">
        <v>171</v>
      </c>
      <c r="Q200" s="111" t="n">
        <v>113</v>
      </c>
      <c r="R200" s="51" t="n">
        <f aca="false">O200*P200</f>
        <v>19494</v>
      </c>
    </row>
    <row r="201" customFormat="false" ht="13.8" hidden="false" customHeight="false" outlineLevel="0" collapsed="false">
      <c r="A201" s="453" t="n">
        <v>4</v>
      </c>
      <c r="B201" s="131" t="s">
        <v>164</v>
      </c>
      <c r="C201" s="111" t="n">
        <v>901761</v>
      </c>
      <c r="D201" s="111" t="n">
        <v>739085</v>
      </c>
      <c r="E201" s="50" t="n">
        <f aca="false">C201/D201*100-100</f>
        <v>22.0104588782075</v>
      </c>
      <c r="F201" s="454" t="n">
        <v>88548</v>
      </c>
      <c r="G201" s="454" t="n">
        <v>11717</v>
      </c>
      <c r="H201" s="50" t="n">
        <f aca="false">F201/G201*100-100</f>
        <v>655.722454553213</v>
      </c>
      <c r="I201" s="111" t="n">
        <v>839630</v>
      </c>
      <c r="J201" s="111" t="n">
        <v>942759</v>
      </c>
      <c r="K201" s="50" t="n">
        <f aca="false">I201/J201*100-100</f>
        <v>-10.939062899426</v>
      </c>
      <c r="L201" s="111" t="n">
        <v>877672</v>
      </c>
      <c r="M201" s="111" t="n">
        <v>948843</v>
      </c>
      <c r="N201" s="50" t="n">
        <f aca="false">L201/M201*100-100</f>
        <v>-7.50081941901874</v>
      </c>
      <c r="O201" s="111" t="n">
        <v>40</v>
      </c>
      <c r="P201" s="111" t="n">
        <v>68</v>
      </c>
      <c r="Q201" s="111" t="n">
        <v>39</v>
      </c>
      <c r="R201" s="51" t="n">
        <f aca="false">O201*P201</f>
        <v>2720</v>
      </c>
    </row>
    <row r="202" customFormat="false" ht="13.8" hidden="false" customHeight="false" outlineLevel="0" collapsed="false">
      <c r="A202" s="453" t="n">
        <v>5</v>
      </c>
      <c r="B202" s="131" t="s">
        <v>166</v>
      </c>
      <c r="C202" s="111" t="n">
        <v>3617533</v>
      </c>
      <c r="D202" s="111" t="n">
        <v>3165711</v>
      </c>
      <c r="E202" s="50" t="n">
        <f aca="false">C202/D202*100-100</f>
        <v>14.2723704090487</v>
      </c>
      <c r="F202" s="111" t="n">
        <v>399242</v>
      </c>
      <c r="G202" s="111" t="n">
        <v>538751</v>
      </c>
      <c r="H202" s="50" t="n">
        <f aca="false">F202/G202*100-100</f>
        <v>-25.8948939305913</v>
      </c>
      <c r="I202" s="111" t="n">
        <v>3602422</v>
      </c>
      <c r="J202" s="111" t="n">
        <v>3171428</v>
      </c>
      <c r="K202" s="50" t="n">
        <f aca="false">I202/J202*100-100</f>
        <v>13.5899033495321</v>
      </c>
      <c r="L202" s="111" t="n">
        <v>3599868</v>
      </c>
      <c r="M202" s="111" t="n">
        <v>315498</v>
      </c>
      <c r="N202" s="50" t="n">
        <f aca="false">L202/M202*100-100</f>
        <v>1041.01135347926</v>
      </c>
      <c r="O202" s="111" t="n">
        <v>46</v>
      </c>
      <c r="P202" s="111" t="n">
        <v>121</v>
      </c>
      <c r="Q202" s="111" t="n">
        <v>46</v>
      </c>
      <c r="R202" s="51" t="n">
        <f aca="false">O202*P202</f>
        <v>5566</v>
      </c>
    </row>
    <row r="203" customFormat="false" ht="13.8" hidden="false" customHeight="false" outlineLevel="0" collapsed="false">
      <c r="A203" s="453" t="n">
        <v>6</v>
      </c>
      <c r="B203" s="131" t="s">
        <v>167</v>
      </c>
      <c r="C203" s="111" t="n">
        <v>0</v>
      </c>
      <c r="D203" s="111" t="n">
        <v>754767</v>
      </c>
      <c r="E203" s="111" t="n">
        <f aca="false">C203/D203*100-100</f>
        <v>-100</v>
      </c>
      <c r="F203" s="111" t="n">
        <v>0</v>
      </c>
      <c r="G203" s="111" t="n">
        <v>0</v>
      </c>
      <c r="H203" s="111" t="e">
        <f aca="false">F203/G203*100-100</f>
        <v>#DIV/0!</v>
      </c>
      <c r="I203" s="111" t="n">
        <v>0</v>
      </c>
      <c r="J203" s="111" t="n">
        <v>754767</v>
      </c>
      <c r="K203" s="111" t="n">
        <f aca="false">I203/J203*100-100</f>
        <v>-100</v>
      </c>
      <c r="L203" s="111" t="n">
        <v>0</v>
      </c>
      <c r="M203" s="111" t="n">
        <v>754767</v>
      </c>
      <c r="N203" s="111" t="n">
        <f aca="false">L203/M203*100-100</f>
        <v>-100</v>
      </c>
      <c r="O203" s="111" t="n">
        <v>3</v>
      </c>
      <c r="P203" s="111" t="n">
        <v>143</v>
      </c>
      <c r="Q203" s="111" t="n">
        <v>3</v>
      </c>
      <c r="R203" s="51" t="n">
        <f aca="false">O203*P203</f>
        <v>429</v>
      </c>
    </row>
    <row r="204" customFormat="false" ht="13.8" hidden="false" customHeight="false" outlineLevel="0" collapsed="false">
      <c r="A204" s="453" t="n">
        <v>7</v>
      </c>
      <c r="B204" s="131" t="s">
        <v>168</v>
      </c>
      <c r="C204" s="111" t="n">
        <v>0</v>
      </c>
      <c r="D204" s="85" t="n">
        <v>0</v>
      </c>
      <c r="E204" s="50" t="n">
        <v>0</v>
      </c>
      <c r="F204" s="111" t="n">
        <v>0</v>
      </c>
      <c r="G204" s="85" t="n">
        <v>0</v>
      </c>
      <c r="H204" s="50" t="n">
        <v>0</v>
      </c>
      <c r="I204" s="111" t="n">
        <v>0</v>
      </c>
      <c r="J204" s="85" t="n">
        <v>0</v>
      </c>
      <c r="K204" s="50" t="n">
        <v>0</v>
      </c>
      <c r="L204" s="111" t="n">
        <v>0</v>
      </c>
      <c r="M204" s="85" t="n">
        <v>0</v>
      </c>
      <c r="N204" s="50" t="n">
        <v>0</v>
      </c>
      <c r="O204" s="111" t="n">
        <v>0</v>
      </c>
      <c r="P204" s="111" t="n">
        <v>0</v>
      </c>
      <c r="Q204" s="111" t="n">
        <v>0</v>
      </c>
      <c r="R204" s="51" t="n">
        <f aca="false">O204*P204</f>
        <v>0</v>
      </c>
    </row>
    <row r="205" customFormat="false" ht="13.8" hidden="false" customHeight="false" outlineLevel="0" collapsed="false">
      <c r="A205" s="64" t="s">
        <v>209</v>
      </c>
      <c r="B205" s="64" t="s">
        <v>154</v>
      </c>
      <c r="C205" s="86" t="n">
        <f aca="false">SUM(C198:C204)</f>
        <v>12081039</v>
      </c>
      <c r="D205" s="86" t="n">
        <f aca="false">SUM(D198:D204)</f>
        <v>11133529</v>
      </c>
      <c r="E205" s="418" t="n">
        <f aca="false">C205/D205*100-100</f>
        <v>8.51041929293039</v>
      </c>
      <c r="F205" s="86" t="n">
        <f aca="false">SUM(F198:F204)</f>
        <v>1003031</v>
      </c>
      <c r="G205" s="86" t="n">
        <f aca="false">SUM(G198:G204)</f>
        <v>1323286</v>
      </c>
      <c r="H205" s="418" t="n">
        <f aca="false">F205/G205*100-100</f>
        <v>-24.2014953683482</v>
      </c>
      <c r="I205" s="86" t="n">
        <f aca="false">SUM(I198:I204)</f>
        <v>12003797</v>
      </c>
      <c r="J205" s="86" t="n">
        <f aca="false">SUM(J198:J204)</f>
        <v>11342920</v>
      </c>
      <c r="K205" s="418" t="n">
        <f aca="false">I205/J205*100-100</f>
        <v>5.82633924950542</v>
      </c>
      <c r="L205" s="86" t="n">
        <f aca="false">SUM(L198:L204)</f>
        <v>6308562</v>
      </c>
      <c r="M205" s="65" t="n">
        <f aca="false">SUM(M198:M204)</f>
        <v>3671276</v>
      </c>
      <c r="N205" s="418" t="n">
        <f aca="false">L205/M205*100-100</f>
        <v>71.83567784062</v>
      </c>
      <c r="O205" s="86" t="n">
        <f aca="false">SUM(O198:O204)</f>
        <v>343</v>
      </c>
      <c r="P205" s="66" t="n">
        <f aca="false">R205/O205</f>
        <v>139.384839650146</v>
      </c>
      <c r="Q205" s="86" t="n">
        <f aca="false">SUM(Q198:Q204)</f>
        <v>338</v>
      </c>
      <c r="R205" s="81" t="n">
        <f aca="false">SUM(R198:R204)</f>
        <v>47809</v>
      </c>
    </row>
    <row r="206" customFormat="false" ht="13.8" hidden="false" customHeight="false" outlineLevel="0" collapsed="false">
      <c r="A206" s="455"/>
      <c r="B206" s="131"/>
      <c r="C206" s="111"/>
      <c r="D206" s="85"/>
      <c r="E206" s="50"/>
      <c r="F206" s="111"/>
      <c r="G206" s="85"/>
      <c r="H206" s="50"/>
      <c r="I206" s="111"/>
      <c r="J206" s="85"/>
      <c r="K206" s="50"/>
      <c r="L206" s="111"/>
      <c r="M206" s="85"/>
      <c r="N206" s="50"/>
      <c r="O206" s="111"/>
      <c r="P206" s="111"/>
      <c r="Q206" s="111"/>
      <c r="R206" s="51"/>
    </row>
    <row r="207" customFormat="false" ht="13.8" hidden="false" customHeight="false" outlineLevel="0" collapsed="false">
      <c r="A207" s="123"/>
      <c r="B207" s="456" t="s">
        <v>210</v>
      </c>
      <c r="C207" s="44" t="n">
        <v>3</v>
      </c>
      <c r="D207" s="44" t="n">
        <v>4</v>
      </c>
      <c r="E207" s="45" t="n">
        <v>5</v>
      </c>
      <c r="F207" s="44" t="n">
        <v>6</v>
      </c>
      <c r="G207" s="44" t="n">
        <v>7</v>
      </c>
      <c r="H207" s="44" t="n">
        <v>8</v>
      </c>
      <c r="I207" s="44" t="n">
        <v>9</v>
      </c>
      <c r="J207" s="44" t="n">
        <v>10</v>
      </c>
      <c r="K207" s="44" t="n">
        <v>11</v>
      </c>
      <c r="L207" s="44" t="n">
        <v>12</v>
      </c>
      <c r="M207" s="44" t="n">
        <v>13</v>
      </c>
      <c r="N207" s="44" t="n">
        <v>14</v>
      </c>
      <c r="O207" s="44" t="n">
        <v>15</v>
      </c>
      <c r="P207" s="45" t="n">
        <v>16</v>
      </c>
      <c r="Q207" s="44" t="n">
        <v>17</v>
      </c>
      <c r="R207" s="51"/>
    </row>
    <row r="208" customFormat="false" ht="13.8" hidden="false" customHeight="false" outlineLevel="0" collapsed="false">
      <c r="A208" s="123" t="n">
        <v>1</v>
      </c>
      <c r="B208" s="457" t="s">
        <v>244</v>
      </c>
      <c r="C208" s="111" t="n">
        <v>2128703</v>
      </c>
      <c r="D208" s="111" t="n">
        <v>2466597</v>
      </c>
      <c r="E208" s="50" t="n">
        <f aca="false">C208/D208*100-100</f>
        <v>-13.6987923037286</v>
      </c>
      <c r="F208" s="111" t="n">
        <v>229703</v>
      </c>
      <c r="G208" s="111" t="n">
        <v>144625</v>
      </c>
      <c r="H208" s="50" t="n">
        <f aca="false">F208/G208*100-100</f>
        <v>58.8266205704408</v>
      </c>
      <c r="I208" s="111" t="n">
        <v>2035028</v>
      </c>
      <c r="J208" s="111" t="n">
        <v>1764616</v>
      </c>
      <c r="K208" s="50" t="n">
        <f aca="false">I208/J208*100-100</f>
        <v>15.3241271755442</v>
      </c>
      <c r="L208" s="111" t="n">
        <f aca="false">657396+853208</f>
        <v>1510604</v>
      </c>
      <c r="M208" s="111" t="n">
        <f aca="false">313823+1053021</f>
        <v>1366844</v>
      </c>
      <c r="N208" s="111" t="n">
        <f aca="false">L208/M208*100-100</f>
        <v>10.517659659771</v>
      </c>
      <c r="O208" s="111" t="n">
        <v>137</v>
      </c>
      <c r="P208" s="111" t="n">
        <v>171</v>
      </c>
      <c r="Q208" s="111" t="n">
        <v>245</v>
      </c>
      <c r="R208" s="51" t="n">
        <f aca="false">O208*P208</f>
        <v>23427</v>
      </c>
    </row>
    <row r="209" customFormat="false" ht="13.8" hidden="false" customHeight="false" outlineLevel="0" collapsed="false">
      <c r="A209" s="123" t="n">
        <v>2</v>
      </c>
      <c r="B209" s="131" t="s">
        <v>160</v>
      </c>
      <c r="C209" s="111" t="n">
        <v>6575</v>
      </c>
      <c r="D209" s="111" t="n">
        <v>883</v>
      </c>
      <c r="E209" s="50" t="n">
        <f aca="false">C209/D209*100-100</f>
        <v>644.620611551529</v>
      </c>
      <c r="F209" s="111" t="n">
        <v>3708</v>
      </c>
      <c r="G209" s="111" t="n">
        <v>180</v>
      </c>
      <c r="H209" s="50" t="n">
        <f aca="false">F209/G209*100-100</f>
        <v>1960</v>
      </c>
      <c r="I209" s="111" t="n">
        <v>59280</v>
      </c>
      <c r="J209" s="111" t="n">
        <v>46509</v>
      </c>
      <c r="K209" s="50" t="n">
        <f aca="false">I209/J209*100-100</f>
        <v>27.4592014448816</v>
      </c>
      <c r="L209" s="111" t="n">
        <v>0</v>
      </c>
      <c r="M209" s="111" t="n">
        <v>0</v>
      </c>
      <c r="N209" s="50" t="n">
        <v>0</v>
      </c>
      <c r="O209" s="111" t="n">
        <v>71</v>
      </c>
      <c r="P209" s="111" t="n">
        <v>127</v>
      </c>
      <c r="Q209" s="111" t="n">
        <v>80</v>
      </c>
      <c r="R209" s="51" t="n">
        <f aca="false">O209*P209</f>
        <v>9017</v>
      </c>
    </row>
    <row r="210" customFormat="false" ht="13.8" hidden="false" customHeight="false" outlineLevel="0" collapsed="false">
      <c r="A210" s="133" t="n">
        <v>3</v>
      </c>
      <c r="B210" s="131" t="s">
        <v>245</v>
      </c>
      <c r="C210" s="49" t="n">
        <v>0</v>
      </c>
      <c r="D210" s="49" t="n">
        <v>0</v>
      </c>
      <c r="E210" s="50" t="n">
        <v>0</v>
      </c>
      <c r="F210" s="49" t="n">
        <v>0</v>
      </c>
      <c r="G210" s="49" t="n">
        <v>0</v>
      </c>
      <c r="H210" s="50" t="n">
        <v>0</v>
      </c>
      <c r="I210" s="49" t="n">
        <v>0</v>
      </c>
      <c r="J210" s="49" t="n">
        <v>0</v>
      </c>
      <c r="K210" s="50" t="n">
        <v>0</v>
      </c>
      <c r="L210" s="49" t="n">
        <v>0</v>
      </c>
      <c r="M210" s="49" t="n">
        <v>0</v>
      </c>
      <c r="N210" s="50" t="n">
        <v>0</v>
      </c>
      <c r="O210" s="52" t="n">
        <v>0</v>
      </c>
      <c r="P210" s="53" t="n">
        <v>0</v>
      </c>
      <c r="Q210" s="52" t="n">
        <v>0</v>
      </c>
      <c r="R210" s="51" t="n">
        <f aca="false">O210*P210</f>
        <v>0</v>
      </c>
    </row>
    <row r="211" customFormat="false" ht="13.8" hidden="false" customHeight="false" outlineLevel="0" collapsed="false">
      <c r="A211" s="133" t="n">
        <v>4</v>
      </c>
      <c r="B211" s="131" t="s">
        <v>169</v>
      </c>
      <c r="C211" s="111" t="n">
        <v>1020768</v>
      </c>
      <c r="D211" s="111" t="n">
        <v>672655</v>
      </c>
      <c r="E211" s="72" t="n">
        <f aca="false">C211/D211*100-100</f>
        <v>51.752086879604</v>
      </c>
      <c r="F211" s="111" t="n">
        <v>19180</v>
      </c>
      <c r="G211" s="111" t="n">
        <v>190266</v>
      </c>
      <c r="H211" s="72" t="n">
        <v>0</v>
      </c>
      <c r="I211" s="111" t="n">
        <v>1020768</v>
      </c>
      <c r="J211" s="111" t="n">
        <v>672655</v>
      </c>
      <c r="K211" s="50" t="n">
        <f aca="false">I211/J211*100-100</f>
        <v>51.752086879604</v>
      </c>
      <c r="L211" s="111" t="n">
        <f aca="false">924394+96374</f>
        <v>1020768</v>
      </c>
      <c r="M211" s="111" t="n">
        <f aca="false">480246+190409</f>
        <v>670655</v>
      </c>
      <c r="N211" s="111" t="n">
        <v>0</v>
      </c>
      <c r="O211" s="111" t="n">
        <v>30</v>
      </c>
      <c r="P211" s="111" t="n">
        <v>50</v>
      </c>
      <c r="Q211" s="111" t="n">
        <v>30</v>
      </c>
      <c r="R211" s="51" t="n">
        <f aca="false">O211*P211</f>
        <v>1500</v>
      </c>
    </row>
    <row r="212" customFormat="false" ht="13.8" hidden="false" customHeight="false" outlineLevel="0" collapsed="false">
      <c r="A212" s="64" t="s">
        <v>170</v>
      </c>
      <c r="B212" s="64" t="s">
        <v>154</v>
      </c>
      <c r="C212" s="86" t="n">
        <f aca="false">SUM(C207:C211)</f>
        <v>3156049</v>
      </c>
      <c r="D212" s="86" t="n">
        <f aca="false">SUM(D207:D211)</f>
        <v>3140139</v>
      </c>
      <c r="E212" s="418" t="n">
        <f aca="false">C212/D212*100-100</f>
        <v>0.50666546926746</v>
      </c>
      <c r="F212" s="86" t="n">
        <f aca="false">SUM(F207:F211)</f>
        <v>252597</v>
      </c>
      <c r="G212" s="86" t="n">
        <f aca="false">SUM(G207:G211)</f>
        <v>335078</v>
      </c>
      <c r="H212" s="418" t="n">
        <v>0</v>
      </c>
      <c r="I212" s="86" t="n">
        <f aca="false">SUM(I207:I211)</f>
        <v>3115085</v>
      </c>
      <c r="J212" s="86" t="n">
        <f aca="false">SUM(J207:J211)</f>
        <v>2483790</v>
      </c>
      <c r="K212" s="418" t="n">
        <f aca="false">I212/J212*100-100</f>
        <v>25.4166012424561</v>
      </c>
      <c r="L212" s="86" t="n">
        <f aca="false">SUM(L207:L211)</f>
        <v>2531384</v>
      </c>
      <c r="M212" s="65" t="n">
        <f aca="false">SUM(M207:M211)</f>
        <v>2037512</v>
      </c>
      <c r="N212" s="418" t="n">
        <f aca="false">L212/M212*100-100</f>
        <v>24.2389738072708</v>
      </c>
      <c r="O212" s="86" t="n">
        <f aca="false">SUM(O207:O211)</f>
        <v>253</v>
      </c>
      <c r="P212" s="66" t="n">
        <f aca="false">R212/O212</f>
        <v>134.166007905138</v>
      </c>
      <c r="Q212" s="86" t="n">
        <f aca="false">SUM(Q207:Q211)</f>
        <v>372</v>
      </c>
      <c r="R212" s="81" t="n">
        <f aca="false">SUM(R207:R211)</f>
        <v>33944</v>
      </c>
    </row>
    <row r="213" customFormat="false" ht="13.8" hidden="false" customHeight="false" outlineLevel="0" collapsed="false">
      <c r="A213" s="448"/>
      <c r="B213" s="448" t="s">
        <v>211</v>
      </c>
      <c r="C213" s="428" t="n">
        <f aca="false">C205+C212</f>
        <v>15237088</v>
      </c>
      <c r="D213" s="428" t="n">
        <f aca="false">D205+D212</f>
        <v>14273668</v>
      </c>
      <c r="E213" s="414" t="n">
        <f aca="false">C213/D213*100-100</f>
        <v>6.74963155931607</v>
      </c>
      <c r="F213" s="428" t="n">
        <f aca="false">F205+F212</f>
        <v>1255628</v>
      </c>
      <c r="G213" s="428" t="n">
        <f aca="false">G205+G212</f>
        <v>1658364</v>
      </c>
      <c r="H213" s="414" t="n">
        <f aca="false">F213/G213*100-100</f>
        <v>-24.2851388476836</v>
      </c>
      <c r="I213" s="428" t="n">
        <f aca="false">I205+I212</f>
        <v>15118882</v>
      </c>
      <c r="J213" s="428" t="n">
        <f aca="false">J205+J212</f>
        <v>13826710</v>
      </c>
      <c r="K213" s="414" t="n">
        <f aca="false">I213/J213*100-100</f>
        <v>9.34547697897766</v>
      </c>
      <c r="L213" s="428" t="n">
        <f aca="false">L205+L212</f>
        <v>8839946</v>
      </c>
      <c r="M213" s="428" t="n">
        <f aca="false">M205+M212</f>
        <v>5708788</v>
      </c>
      <c r="N213" s="414" t="n">
        <f aca="false">L213/M213*100-100</f>
        <v>54.8480342937941</v>
      </c>
      <c r="O213" s="428" t="n">
        <f aca="false">O205+O212</f>
        <v>596</v>
      </c>
      <c r="P213" s="429" t="n">
        <f aca="false">R213/O213</f>
        <v>137.169463087248</v>
      </c>
      <c r="Q213" s="428" t="n">
        <f aca="false">Q205+Q212</f>
        <v>710</v>
      </c>
      <c r="R213" s="428" t="n">
        <f aca="false">R205+R212</f>
        <v>81753</v>
      </c>
    </row>
    <row r="214" customFormat="false" ht="13.8" hidden="false" customHeight="false" outlineLevel="0" collapsed="false">
      <c r="A214" s="458"/>
      <c r="B214" s="459"/>
      <c r="C214" s="136"/>
      <c r="D214" s="136"/>
      <c r="E214" s="132"/>
      <c r="F214" s="137"/>
      <c r="G214" s="137"/>
      <c r="H214" s="132"/>
      <c r="I214" s="52"/>
      <c r="J214" s="52"/>
      <c r="K214" s="138"/>
      <c r="L214" s="52"/>
      <c r="M214" s="52"/>
      <c r="N214" s="52"/>
      <c r="O214" s="52"/>
      <c r="P214" s="68"/>
      <c r="Q214" s="52"/>
      <c r="R214" s="38"/>
    </row>
    <row r="215" customFormat="false" ht="13.8" hidden="false" customHeight="false" outlineLevel="0" collapsed="false">
      <c r="A215" s="458"/>
      <c r="B215" s="119" t="s">
        <v>171</v>
      </c>
      <c r="C215" s="119"/>
      <c r="D215" s="44" t="n">
        <v>4</v>
      </c>
      <c r="E215" s="44" t="n">
        <v>5</v>
      </c>
      <c r="F215" s="45" t="n">
        <v>6</v>
      </c>
      <c r="G215" s="44" t="n">
        <v>7</v>
      </c>
      <c r="H215" s="44" t="n">
        <v>8</v>
      </c>
      <c r="I215" s="44" t="n">
        <v>9</v>
      </c>
      <c r="J215" s="44" t="n">
        <v>10</v>
      </c>
      <c r="K215" s="44" t="n">
        <v>11</v>
      </c>
      <c r="L215" s="44" t="n">
        <v>12</v>
      </c>
      <c r="M215" s="44" t="n">
        <v>13</v>
      </c>
      <c r="N215" s="44" t="n">
        <v>14</v>
      </c>
      <c r="O215" s="44" t="n">
        <v>15</v>
      </c>
      <c r="P215" s="44" t="n">
        <v>16</v>
      </c>
      <c r="Q215" s="45" t="n">
        <v>17</v>
      </c>
      <c r="R215" s="44"/>
    </row>
    <row r="216" customFormat="false" ht="13.8" hidden="false" customHeight="false" outlineLevel="0" collapsed="false">
      <c r="A216" s="137" t="n">
        <v>1</v>
      </c>
      <c r="B216" s="139" t="s">
        <v>172</v>
      </c>
      <c r="C216" s="460" t="n">
        <v>923457</v>
      </c>
      <c r="D216" s="461" t="n">
        <v>830573</v>
      </c>
      <c r="E216" s="132" t="n">
        <f aca="false">C216/D216*100-100</f>
        <v>11.1831229765475</v>
      </c>
      <c r="F216" s="460" t="n">
        <v>136641</v>
      </c>
      <c r="G216" s="461" t="n">
        <v>60279</v>
      </c>
      <c r="H216" s="111" t="n">
        <f aca="false">F216/G216*100-100</f>
        <v>126.680933658488</v>
      </c>
      <c r="I216" s="461" t="n">
        <v>923457</v>
      </c>
      <c r="J216" s="461" t="n">
        <v>619136</v>
      </c>
      <c r="K216" s="111" t="n">
        <f aca="false">I216/J216*100-100</f>
        <v>49.1525286851354</v>
      </c>
      <c r="L216" s="460" t="n">
        <v>0</v>
      </c>
      <c r="M216" s="460" t="n">
        <v>0</v>
      </c>
      <c r="N216" s="111" t="n">
        <v>0</v>
      </c>
      <c r="O216" s="460" t="n">
        <v>285</v>
      </c>
      <c r="P216" s="461" t="n">
        <v>289</v>
      </c>
      <c r="Q216" s="460" t="n">
        <v>293</v>
      </c>
      <c r="R216" s="462" t="n">
        <f aca="false">O216*P216</f>
        <v>82365</v>
      </c>
    </row>
    <row r="217" customFormat="false" ht="13.8" hidden="false" customHeight="false" outlineLevel="0" collapsed="false">
      <c r="A217" s="137" t="n">
        <v>2</v>
      </c>
      <c r="B217" s="139" t="s">
        <v>173</v>
      </c>
      <c r="C217" s="111" t="n">
        <v>4630</v>
      </c>
      <c r="D217" s="111" t="n">
        <v>102318</v>
      </c>
      <c r="E217" s="132" t="n">
        <f aca="false">C217/D217*100-100</f>
        <v>-95.4748920033621</v>
      </c>
      <c r="F217" s="111" t="n">
        <v>0</v>
      </c>
      <c r="G217" s="111" t="n">
        <v>0</v>
      </c>
      <c r="H217" s="111" t="e">
        <f aca="false">F217/G217*100-100</f>
        <v>#DIV/0!</v>
      </c>
      <c r="I217" s="111" t="n">
        <v>10558</v>
      </c>
      <c r="J217" s="111" t="n">
        <v>106796</v>
      </c>
      <c r="K217" s="111" t="n">
        <f aca="false">I217/J217*100-100</f>
        <v>-90.1138619423949</v>
      </c>
      <c r="L217" s="111" t="n">
        <v>10558</v>
      </c>
      <c r="M217" s="111" t="n">
        <v>106796</v>
      </c>
      <c r="N217" s="111" t="n">
        <f aca="false">L217/M217*100-100</f>
        <v>-90.1138619423949</v>
      </c>
      <c r="O217" s="111" t="n">
        <v>8</v>
      </c>
      <c r="P217" s="111" t="n">
        <v>92</v>
      </c>
      <c r="Q217" s="111" t="n">
        <v>8</v>
      </c>
      <c r="R217" s="462" t="n">
        <f aca="false">O217*P217</f>
        <v>736</v>
      </c>
    </row>
    <row r="218" customFormat="false" ht="22.5" hidden="false" customHeight="false" outlineLevel="0" collapsed="false">
      <c r="A218" s="140" t="n">
        <v>3</v>
      </c>
      <c r="B218" s="463" t="s">
        <v>174</v>
      </c>
      <c r="C218" s="111" t="n">
        <v>139142</v>
      </c>
      <c r="D218" s="111" t="n">
        <v>141872</v>
      </c>
      <c r="E218" s="132" t="n">
        <f aca="false">C218/D218*100-100</f>
        <v>-1.92426976429458</v>
      </c>
      <c r="F218" s="111" t="n">
        <v>13683</v>
      </c>
      <c r="G218" s="111" t="n">
        <v>13777</v>
      </c>
      <c r="H218" s="111" t="n">
        <f aca="false">F218/G218*100-100</f>
        <v>-0.682296581258626</v>
      </c>
      <c r="I218" s="111" t="n">
        <v>0</v>
      </c>
      <c r="J218" s="111" t="n">
        <v>0</v>
      </c>
      <c r="K218" s="111" t="n">
        <v>0</v>
      </c>
      <c r="L218" s="111" t="n">
        <v>0</v>
      </c>
      <c r="M218" s="111" t="n">
        <v>0</v>
      </c>
      <c r="N218" s="111" t="n">
        <v>0</v>
      </c>
      <c r="O218" s="111" t="n">
        <v>88</v>
      </c>
      <c r="P218" s="111" t="n">
        <v>105</v>
      </c>
      <c r="Q218" s="111" t="n">
        <v>86</v>
      </c>
      <c r="R218" s="464" t="n">
        <f aca="false">O218*P218</f>
        <v>9240</v>
      </c>
    </row>
    <row r="219" customFormat="false" ht="13.8" hidden="false" customHeight="false" outlineLevel="0" collapsed="false">
      <c r="A219" s="137" t="n">
        <v>4</v>
      </c>
      <c r="B219" s="145" t="s">
        <v>175</v>
      </c>
      <c r="C219" s="111" t="n">
        <v>1253</v>
      </c>
      <c r="D219" s="111" t="n">
        <v>1109</v>
      </c>
      <c r="E219" s="132" t="n">
        <f aca="false">C219/D219*100-100</f>
        <v>12.9846708746619</v>
      </c>
      <c r="F219" s="111" t="n">
        <v>0</v>
      </c>
      <c r="G219" s="111" t="n">
        <v>0</v>
      </c>
      <c r="H219" s="111" t="n">
        <v>0</v>
      </c>
      <c r="I219" s="111" t="n">
        <v>1253</v>
      </c>
      <c r="J219" s="111" t="n">
        <v>1109</v>
      </c>
      <c r="K219" s="111" t="n">
        <f aca="false">I219/J219*100-100</f>
        <v>12.9846708746619</v>
      </c>
      <c r="L219" s="111" t="n">
        <v>0</v>
      </c>
      <c r="M219" s="111" t="n">
        <v>0</v>
      </c>
      <c r="N219" s="111" t="n">
        <v>0</v>
      </c>
      <c r="O219" s="111" t="n">
        <v>30</v>
      </c>
      <c r="P219" s="111" t="n">
        <v>28.7</v>
      </c>
      <c r="Q219" s="111" t="n">
        <v>30</v>
      </c>
      <c r="R219" s="465" t="n">
        <f aca="false">O219*P219</f>
        <v>861</v>
      </c>
    </row>
    <row r="220" customFormat="false" ht="13.8" hidden="false" customHeight="false" outlineLevel="0" collapsed="false">
      <c r="A220" s="137" t="n">
        <v>5</v>
      </c>
      <c r="B220" s="466" t="s">
        <v>176</v>
      </c>
      <c r="C220" s="111" t="n">
        <v>35578.1</v>
      </c>
      <c r="D220" s="111" t="n">
        <v>18636.1</v>
      </c>
      <c r="E220" s="132" t="n">
        <f aca="false">C220/D220*100-100</f>
        <v>90.9095787208697</v>
      </c>
      <c r="F220" s="111" t="n">
        <v>1842.1</v>
      </c>
      <c r="G220" s="111" t="n">
        <v>2100</v>
      </c>
      <c r="H220" s="111" t="n">
        <f aca="false">F220/G220*100-100</f>
        <v>-12.2809523809524</v>
      </c>
      <c r="I220" s="111" t="n">
        <v>35578.1</v>
      </c>
      <c r="J220" s="111" t="n">
        <v>18636.1</v>
      </c>
      <c r="K220" s="111" t="n">
        <f aca="false">I220/J220*100-100</f>
        <v>90.9095787208697</v>
      </c>
      <c r="L220" s="111" t="n">
        <v>0</v>
      </c>
      <c r="M220" s="111" t="n">
        <v>0</v>
      </c>
      <c r="N220" s="111" t="n">
        <v>0</v>
      </c>
      <c r="O220" s="111" t="n">
        <v>16</v>
      </c>
      <c r="P220" s="111" t="n">
        <v>59</v>
      </c>
      <c r="Q220" s="111" t="n">
        <v>17</v>
      </c>
      <c r="R220" s="465" t="n">
        <f aca="false">O220*P220</f>
        <v>944</v>
      </c>
    </row>
    <row r="221" customFormat="false" ht="13.8" hidden="false" customHeight="false" outlineLevel="0" collapsed="false">
      <c r="A221" s="137" t="n">
        <v>6</v>
      </c>
      <c r="B221" s="139" t="s">
        <v>177</v>
      </c>
      <c r="C221" s="111" t="n">
        <v>12061</v>
      </c>
      <c r="D221" s="111" t="n">
        <v>12410</v>
      </c>
      <c r="E221" s="132" t="n">
        <f aca="false">C221/D221*100-100</f>
        <v>-2.81224818694601</v>
      </c>
      <c r="F221" s="111" t="n">
        <v>1196</v>
      </c>
      <c r="G221" s="111" t="n">
        <v>1245</v>
      </c>
      <c r="H221" s="111" t="n">
        <f aca="false">F221/G221*100-100</f>
        <v>-3.93574297188755</v>
      </c>
      <c r="I221" s="111" t="n">
        <v>0</v>
      </c>
      <c r="J221" s="111" t="n">
        <v>0</v>
      </c>
      <c r="K221" s="111" t="n">
        <v>0</v>
      </c>
      <c r="L221" s="111" t="n">
        <v>0</v>
      </c>
      <c r="M221" s="111" t="n">
        <v>0</v>
      </c>
      <c r="N221" s="111" t="n">
        <v>0</v>
      </c>
      <c r="O221" s="111" t="n">
        <v>14</v>
      </c>
      <c r="P221" s="111" t="n">
        <v>71.9</v>
      </c>
      <c r="Q221" s="111" t="n">
        <v>12</v>
      </c>
      <c r="R221" s="465" t="n">
        <f aca="false">O221*P221</f>
        <v>1006.6</v>
      </c>
    </row>
    <row r="222" customFormat="false" ht="13.8" hidden="false" customHeight="false" outlineLevel="0" collapsed="false">
      <c r="A222" s="137" t="n">
        <v>7</v>
      </c>
      <c r="B222" s="139" t="s">
        <v>178</v>
      </c>
      <c r="C222" s="111" t="n">
        <v>123720</v>
      </c>
      <c r="D222" s="111" t="n">
        <v>58617</v>
      </c>
      <c r="E222" s="132" t="n">
        <f aca="false">C222/D222*100-100</f>
        <v>111.065049388403</v>
      </c>
      <c r="F222" s="111" t="n">
        <v>35391</v>
      </c>
      <c r="G222" s="111" t="n">
        <v>6187</v>
      </c>
      <c r="H222" s="111" t="n">
        <f aca="false">F222/G222*100-100</f>
        <v>472.021981574269</v>
      </c>
      <c r="I222" s="111" t="n">
        <v>163673</v>
      </c>
      <c r="J222" s="111" t="n">
        <v>37300</v>
      </c>
      <c r="K222" s="111" t="n">
        <f aca="false">I222/J222*100-100</f>
        <v>338.801608579088</v>
      </c>
      <c r="L222" s="111" t="n">
        <v>0</v>
      </c>
      <c r="M222" s="111" t="n">
        <v>0</v>
      </c>
      <c r="N222" s="111" t="n">
        <v>0</v>
      </c>
      <c r="O222" s="111" t="n">
        <v>24</v>
      </c>
      <c r="P222" s="111" t="n">
        <v>311.3</v>
      </c>
      <c r="Q222" s="111" t="n">
        <v>23</v>
      </c>
      <c r="R222" s="465" t="n">
        <f aca="false">O222*P222</f>
        <v>7471.2</v>
      </c>
    </row>
    <row r="223" customFormat="false" ht="13.8" hidden="false" customHeight="false" outlineLevel="0" collapsed="false">
      <c r="A223" s="137" t="n">
        <v>8</v>
      </c>
      <c r="B223" s="139" t="s">
        <v>179</v>
      </c>
      <c r="C223" s="111" t="n">
        <v>16486</v>
      </c>
      <c r="D223" s="111" t="n">
        <v>20720</v>
      </c>
      <c r="E223" s="132" t="n">
        <f aca="false">C223/D223*100-100</f>
        <v>-20.4343629343629</v>
      </c>
      <c r="F223" s="111" t="n">
        <v>1110</v>
      </c>
      <c r="G223" s="111" t="n">
        <v>0</v>
      </c>
      <c r="H223" s="111" t="e">
        <f aca="false">F223/G223*100-100</f>
        <v>#DIV/0!</v>
      </c>
      <c r="I223" s="111" t="n">
        <v>16486</v>
      </c>
      <c r="J223" s="111" t="n">
        <v>20720</v>
      </c>
      <c r="K223" s="111" t="n">
        <f aca="false">I223/J223*100-100</f>
        <v>-20.4343629343629</v>
      </c>
      <c r="L223" s="111" t="n">
        <v>0</v>
      </c>
      <c r="M223" s="111" t="n">
        <v>0</v>
      </c>
      <c r="N223" s="111" t="n">
        <v>0</v>
      </c>
      <c r="O223" s="111" t="n">
        <v>8</v>
      </c>
      <c r="P223" s="111" t="n">
        <v>82.4</v>
      </c>
      <c r="Q223" s="111" t="n">
        <v>11</v>
      </c>
      <c r="R223" s="462" t="n">
        <f aca="false">O223*P223</f>
        <v>659.2</v>
      </c>
    </row>
    <row r="224" customFormat="false" ht="13.8" hidden="false" customHeight="false" outlineLevel="0" collapsed="false">
      <c r="A224" s="137" t="n">
        <v>9</v>
      </c>
      <c r="B224" s="146" t="s">
        <v>180</v>
      </c>
      <c r="C224" s="111" t="n">
        <v>4315</v>
      </c>
      <c r="D224" s="111" t="n">
        <v>7598</v>
      </c>
      <c r="E224" s="132" t="n">
        <f aca="false">C224/D224*100-100</f>
        <v>-43.2087391418794</v>
      </c>
      <c r="F224" s="111" t="n">
        <v>0</v>
      </c>
      <c r="G224" s="111" t="n">
        <v>842</v>
      </c>
      <c r="H224" s="111" t="n">
        <f aca="false">F224/G224*100-100</f>
        <v>-100</v>
      </c>
      <c r="I224" s="111" t="n">
        <v>4423</v>
      </c>
      <c r="J224" s="111" t="n">
        <v>7153</v>
      </c>
      <c r="K224" s="111" t="n">
        <f aca="false">I224/J224*100-100</f>
        <v>-38.1658045575283</v>
      </c>
      <c r="L224" s="111" t="n">
        <v>0</v>
      </c>
      <c r="M224" s="111" t="n">
        <v>0</v>
      </c>
      <c r="N224" s="111" t="n">
        <v>0</v>
      </c>
      <c r="O224" s="111" t="n">
        <v>24</v>
      </c>
      <c r="P224" s="111" t="n">
        <v>64.5</v>
      </c>
      <c r="Q224" s="111" t="n">
        <v>24</v>
      </c>
      <c r="R224" s="465" t="n">
        <f aca="false">O224*P224</f>
        <v>1548</v>
      </c>
    </row>
    <row r="225" customFormat="false" ht="13.8" hidden="false" customHeight="false" outlineLevel="0" collapsed="false">
      <c r="A225" s="65"/>
      <c r="B225" s="65" t="s">
        <v>261</v>
      </c>
      <c r="C225" s="65" t="n">
        <f aca="false">SUM(C216:C224)</f>
        <v>1260642.1</v>
      </c>
      <c r="D225" s="65" t="n">
        <f aca="false">SUM(D216:D224)</f>
        <v>1193853.1</v>
      </c>
      <c r="E225" s="66" t="n">
        <f aca="false">C225/D225*100-100</f>
        <v>5.5944068830579</v>
      </c>
      <c r="F225" s="65" t="n">
        <f aca="false">SUM(F216:F224)</f>
        <v>189863.1</v>
      </c>
      <c r="G225" s="65" t="n">
        <f aca="false">SUM(G216:G224)</f>
        <v>84430</v>
      </c>
      <c r="H225" s="65" t="n">
        <f aca="false">F225/G225*100-100</f>
        <v>124.876347269928</v>
      </c>
      <c r="I225" s="65" t="n">
        <f aca="false">SUM(I216:I224)</f>
        <v>1155428.1</v>
      </c>
      <c r="J225" s="65" t="n">
        <f aca="false">SUM(J216:J224)</f>
        <v>810850.1</v>
      </c>
      <c r="K225" s="65" t="n">
        <f aca="false">I225/J225*100-100</f>
        <v>42.4958941239571</v>
      </c>
      <c r="L225" s="65" t="n">
        <f aca="false">SUM(L216:L224)</f>
        <v>10558</v>
      </c>
      <c r="M225" s="65" t="n">
        <f aca="false">SUM(M216:M224)</f>
        <v>106796</v>
      </c>
      <c r="N225" s="65" t="n">
        <f aca="false">L225/M225*100-100</f>
        <v>-90.1138619423949</v>
      </c>
      <c r="O225" s="65" t="n">
        <f aca="false">SUM(O216:O224)</f>
        <v>497</v>
      </c>
      <c r="P225" s="65" t="n">
        <f aca="false">R225/O225</f>
        <v>210.927565392354</v>
      </c>
      <c r="Q225" s="65" t="n">
        <f aca="false">SUM(Q216:Q224)</f>
        <v>504</v>
      </c>
      <c r="R225" s="81" t="n">
        <f aca="false">SUM(R216:R224)</f>
        <v>104831</v>
      </c>
    </row>
    <row r="226" customFormat="false" ht="13.8" hidden="false" customHeight="false" outlineLevel="0" collapsed="false">
      <c r="A226" s="148"/>
      <c r="B226" s="44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9"/>
    </row>
    <row r="227" customFormat="false" ht="13.8" hidden="false" customHeight="false" outlineLevel="0" collapsed="false">
      <c r="A227" s="150" t="s">
        <v>181</v>
      </c>
      <c r="B227" s="150"/>
      <c r="C227" s="44" t="n">
        <v>3</v>
      </c>
      <c r="D227" s="44" t="n">
        <v>4</v>
      </c>
      <c r="E227" s="45" t="n">
        <v>5</v>
      </c>
      <c r="F227" s="44" t="n">
        <v>6</v>
      </c>
      <c r="G227" s="44" t="n">
        <v>7</v>
      </c>
      <c r="H227" s="44" t="n">
        <v>8</v>
      </c>
      <c r="I227" s="44" t="n">
        <v>9</v>
      </c>
      <c r="J227" s="44" t="n">
        <v>10</v>
      </c>
      <c r="K227" s="44" t="n">
        <v>11</v>
      </c>
      <c r="L227" s="44" t="n">
        <v>12</v>
      </c>
      <c r="M227" s="44" t="n">
        <v>13</v>
      </c>
      <c r="N227" s="44" t="n">
        <v>14</v>
      </c>
      <c r="O227" s="44" t="n">
        <v>15</v>
      </c>
      <c r="P227" s="45" t="n">
        <v>16</v>
      </c>
      <c r="Q227" s="44" t="n">
        <v>17</v>
      </c>
      <c r="R227" s="28"/>
    </row>
    <row r="228" customFormat="false" ht="13.8" hidden="false" customHeight="false" outlineLevel="0" collapsed="false">
      <c r="A228" s="111" t="n">
        <v>1</v>
      </c>
      <c r="B228" s="151" t="s">
        <v>182</v>
      </c>
      <c r="C228" s="56" t="n">
        <v>86662</v>
      </c>
      <c r="D228" s="56" t="n">
        <v>104403</v>
      </c>
      <c r="E228" s="50" t="n">
        <f aca="false">C228/D228*100-100</f>
        <v>-16.9928067201134</v>
      </c>
      <c r="F228" s="56" t="n">
        <v>16032</v>
      </c>
      <c r="G228" s="56" t="n">
        <v>7257</v>
      </c>
      <c r="H228" s="50" t="n">
        <f aca="false">F228/G228*100-100</f>
        <v>120.917734601075</v>
      </c>
      <c r="I228" s="56" t="n">
        <v>86662</v>
      </c>
      <c r="J228" s="56" t="n">
        <v>10403</v>
      </c>
      <c r="K228" s="50" t="n">
        <f aca="false">I228/J228*100-100</f>
        <v>733.048159184851</v>
      </c>
      <c r="L228" s="56" t="n">
        <v>67433</v>
      </c>
      <c r="M228" s="56" t="n">
        <v>104403</v>
      </c>
      <c r="N228" s="50" t="n">
        <f aca="false">L228/M228*100-100</f>
        <v>-35.4108598411923</v>
      </c>
      <c r="O228" s="41" t="n">
        <v>46</v>
      </c>
      <c r="P228" s="111" t="n">
        <v>63</v>
      </c>
      <c r="Q228" s="41" t="n">
        <v>0</v>
      </c>
      <c r="R228" s="83" t="n">
        <f aca="false">O228*P228</f>
        <v>2898</v>
      </c>
    </row>
    <row r="229" customFormat="false" ht="13.8" hidden="false" customHeight="false" outlineLevel="0" collapsed="false">
      <c r="A229" s="111" t="n">
        <v>2</v>
      </c>
      <c r="B229" s="151" t="s">
        <v>183</v>
      </c>
      <c r="C229" s="56" t="n">
        <v>319466</v>
      </c>
      <c r="D229" s="56" t="n">
        <v>332198</v>
      </c>
      <c r="E229" s="50" t="n">
        <f aca="false">C229/D229*100-100</f>
        <v>-3.83265401959073</v>
      </c>
      <c r="F229" s="56" t="n">
        <v>62781</v>
      </c>
      <c r="G229" s="56" t="n">
        <v>31085</v>
      </c>
      <c r="H229" s="50" t="n">
        <f aca="false">F229/G229*100-100</f>
        <v>101.965578253177</v>
      </c>
      <c r="I229" s="56" t="n">
        <v>316686</v>
      </c>
      <c r="J229" s="56" t="n">
        <v>330262</v>
      </c>
      <c r="K229" s="50" t="n">
        <f aca="false">I229/J229*100-100</f>
        <v>-4.11067576651266</v>
      </c>
      <c r="L229" s="56" t="n">
        <v>18568</v>
      </c>
      <c r="M229" s="56" t="n">
        <v>12367</v>
      </c>
      <c r="N229" s="50" t="n">
        <f aca="false">L229/M229*100-100</f>
        <v>50.1415056197946</v>
      </c>
      <c r="O229" s="41" t="n">
        <v>172</v>
      </c>
      <c r="P229" s="111" t="n">
        <v>84</v>
      </c>
      <c r="Q229" s="41" t="n">
        <v>185</v>
      </c>
      <c r="R229" s="83" t="n">
        <f aca="false">O229*P229</f>
        <v>14448</v>
      </c>
    </row>
    <row r="230" customFormat="false" ht="13.8" hidden="false" customHeight="false" outlineLevel="0" collapsed="false">
      <c r="A230" s="64" t="s">
        <v>170</v>
      </c>
      <c r="B230" s="64" t="s">
        <v>154</v>
      </c>
      <c r="C230" s="65" t="n">
        <f aca="false">SUM(C228:C229)</f>
        <v>406128</v>
      </c>
      <c r="D230" s="65" t="n">
        <f aca="false">SUM(D228:D229)</f>
        <v>436601</v>
      </c>
      <c r="E230" s="418" t="n">
        <f aca="false">C230/D230*100-100</f>
        <v>-6.97959922217311</v>
      </c>
      <c r="F230" s="65" t="n">
        <f aca="false">SUM(F228:F229)</f>
        <v>78813</v>
      </c>
      <c r="G230" s="65" t="n">
        <f aca="false">SUM(G228:G229)</f>
        <v>38342</v>
      </c>
      <c r="H230" s="434" t="n">
        <f aca="false">F230/G230*100-100</f>
        <v>105.552657660007</v>
      </c>
      <c r="I230" s="66" t="n">
        <f aca="false">SUM(I228:I229)</f>
        <v>403348</v>
      </c>
      <c r="J230" s="65" t="n">
        <f aca="false">SUM(J228:J229)</f>
        <v>340665</v>
      </c>
      <c r="K230" s="418" t="n">
        <f aca="false">I230/J230*100-100</f>
        <v>18.4001878678467</v>
      </c>
      <c r="L230" s="86" t="n">
        <f aca="false">SUM(L228:L229)</f>
        <v>86001</v>
      </c>
      <c r="M230" s="65" t="n">
        <f aca="false">SUM(M228:M229)</f>
        <v>116770</v>
      </c>
      <c r="N230" s="434" t="n">
        <f aca="false">L230/M230*100-100</f>
        <v>-26.3500899203563</v>
      </c>
      <c r="O230" s="86" t="n">
        <f aca="false">SUM(O228:O229)</f>
        <v>218</v>
      </c>
      <c r="P230" s="86" t="n">
        <f aca="false">R230/O230</f>
        <v>79.5688073394495</v>
      </c>
      <c r="Q230" s="86" t="n">
        <f aca="false">SUM(Q228:Q229)</f>
        <v>185</v>
      </c>
      <c r="R230" s="81" t="n">
        <f aca="false">SUM(R228:R229)</f>
        <v>17346</v>
      </c>
    </row>
  </sheetData>
  <mergeCells count="56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5:B55"/>
    <mergeCell ref="A57:B57"/>
    <mergeCell ref="A67:B67"/>
    <mergeCell ref="A69:B69"/>
    <mergeCell ref="A78:B78"/>
    <mergeCell ref="A79:B79"/>
    <mergeCell ref="A81:B81"/>
    <mergeCell ref="A93:B93"/>
    <mergeCell ref="A95:B95"/>
    <mergeCell ref="A121:B121"/>
    <mergeCell ref="A130:B130"/>
    <mergeCell ref="A132:B132"/>
    <mergeCell ref="A138:B138"/>
    <mergeCell ref="A149:B149"/>
    <mergeCell ref="A150:B150"/>
    <mergeCell ref="A161:B161"/>
    <mergeCell ref="B163:C163"/>
    <mergeCell ref="A164:B164"/>
    <mergeCell ref="A176:B176"/>
    <mergeCell ref="A193:B193"/>
    <mergeCell ref="A197:B197"/>
    <mergeCell ref="A205:B205"/>
    <mergeCell ref="A212:B212"/>
    <mergeCell ref="B215:C215"/>
    <mergeCell ref="A227:B227"/>
    <mergeCell ref="A230:B2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5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C130" activeCellId="0" sqref="C130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28"/>
    <col collapsed="false" customWidth="true" hidden="false" outlineLevel="0" max="3" min="3" style="0" width="10.14"/>
    <col collapsed="false" customWidth="true" hidden="false" outlineLevel="0" max="4" min="4" style="0" width="11"/>
    <col collapsed="false" customWidth="true" hidden="false" outlineLevel="0" max="5" min="5" style="0" width="6.43"/>
    <col collapsed="false" customWidth="true" hidden="false" outlineLevel="0" max="6" min="6" style="0" width="10.43"/>
    <col collapsed="false" customWidth="true" hidden="false" outlineLevel="0" max="7" min="7" style="0" width="10.14"/>
    <col collapsed="false" customWidth="true" hidden="false" outlineLevel="0" max="8" min="8" style="0" width="6.71"/>
    <col collapsed="false" customWidth="true" hidden="false" outlineLevel="0" max="9" min="9" style="0" width="10.85"/>
    <col collapsed="false" customWidth="true" hidden="false" outlineLevel="0" max="10" min="10" style="0" width="11"/>
    <col collapsed="false" customWidth="true" hidden="false" outlineLevel="0" max="11" min="11" style="0" width="7"/>
    <col collapsed="false" customWidth="true" hidden="false" outlineLevel="0" max="12" min="12" style="0" width="10.57"/>
    <col collapsed="false" customWidth="true" hidden="false" outlineLevel="0" max="13" min="13" style="0" width="10.28"/>
    <col collapsed="false" customWidth="true" hidden="false" outlineLevel="0" max="14" min="14" style="0" width="6.43"/>
    <col collapsed="false" customWidth="true" hidden="false" outlineLevel="0" max="15" min="15" style="0" width="7.14"/>
    <col collapsed="false" customWidth="true" hidden="false" outlineLevel="0" max="16" min="16" style="0" width="7.43"/>
    <col collapsed="false" customWidth="true" hidden="false" outlineLevel="0" max="17" min="17" style="0" width="7.71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184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11</v>
      </c>
      <c r="F4" s="155" t="s">
        <v>12</v>
      </c>
      <c r="G4" s="155" t="s">
        <v>10</v>
      </c>
      <c r="H4" s="160" t="s">
        <v>11</v>
      </c>
      <c r="I4" s="155" t="s">
        <v>13</v>
      </c>
      <c r="J4" s="155" t="s">
        <v>10</v>
      </c>
      <c r="K4" s="160" t="s">
        <v>11</v>
      </c>
      <c r="L4" s="155" t="s">
        <v>13</v>
      </c>
      <c r="M4" s="155" t="s">
        <v>10</v>
      </c>
      <c r="N4" s="160" t="s">
        <v>11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23.25" hidden="false" customHeight="true" outlineLevel="0" collapsed="false">
      <c r="A10" s="163" t="n">
        <v>1</v>
      </c>
      <c r="B10" s="164" t="s">
        <v>14</v>
      </c>
      <c r="C10" s="161" t="n">
        <f aca="false">C139</f>
        <v>29127889</v>
      </c>
      <c r="D10" s="161" t="n">
        <f aca="false">D139</f>
        <v>26367674</v>
      </c>
      <c r="E10" s="165" t="n">
        <f aca="false">E139</f>
        <v>110.468177815002</v>
      </c>
      <c r="F10" s="161" t="n">
        <f aca="false">F139</f>
        <v>12999107</v>
      </c>
      <c r="G10" s="166" t="n">
        <f aca="false">G139</f>
        <v>13103601</v>
      </c>
      <c r="H10" s="167" t="n">
        <f aca="false">H139</f>
        <v>99.202555083904</v>
      </c>
      <c r="I10" s="166" t="n">
        <f aca="false">I139</f>
        <v>31052038</v>
      </c>
      <c r="J10" s="166" t="n">
        <f aca="false">J139</f>
        <v>21775268</v>
      </c>
      <c r="K10" s="167" t="n">
        <f aca="false">K139</f>
        <v>142.602322965669</v>
      </c>
      <c r="L10" s="161" t="n">
        <f aca="false">L139</f>
        <v>21128153</v>
      </c>
      <c r="M10" s="161" t="n">
        <f aca="false">M139</f>
        <v>11898085</v>
      </c>
      <c r="N10" s="165" t="n">
        <f aca="false">N139</f>
        <v>177.576080520521</v>
      </c>
      <c r="O10" s="161" t="n">
        <f aca="false">O139</f>
        <v>6110</v>
      </c>
      <c r="P10" s="165" t="n">
        <f aca="false">P139</f>
        <v>170.408674304419</v>
      </c>
      <c r="Q10" s="161" t="n">
        <f aca="false">Q139</f>
        <v>6101</v>
      </c>
      <c r="R10" s="168" t="n">
        <f aca="false">O10*P10</f>
        <v>1041197</v>
      </c>
    </row>
    <row r="11" customFormat="false" ht="29.25" hidden="false" customHeight="true" outlineLevel="0" collapsed="false">
      <c r="A11" s="163"/>
      <c r="B11" s="164" t="s">
        <v>15</v>
      </c>
      <c r="C11" s="161" t="n">
        <f aca="false">C149</f>
        <v>25403938</v>
      </c>
      <c r="D11" s="161" t="n">
        <f aca="false">D149</f>
        <v>20875884</v>
      </c>
      <c r="E11" s="165" t="n">
        <f aca="false">E149</f>
        <v>121.690358118487</v>
      </c>
      <c r="F11" s="161" t="n">
        <f aca="false">F149</f>
        <v>13374396</v>
      </c>
      <c r="G11" s="161" t="n">
        <f aca="false">G149</f>
        <v>10579915</v>
      </c>
      <c r="H11" s="165" t="n">
        <f aca="false">H149</f>
        <v>126.413076097492</v>
      </c>
      <c r="I11" s="161" t="n">
        <f aca="false">I149</f>
        <v>25509963</v>
      </c>
      <c r="J11" s="161" t="n">
        <f aca="false">J149</f>
        <v>19575705</v>
      </c>
      <c r="K11" s="165" t="n">
        <f aca="false">K149</f>
        <v>130.314402469796</v>
      </c>
      <c r="L11" s="161" t="n">
        <f aca="false">L149</f>
        <v>24574060</v>
      </c>
      <c r="M11" s="161" t="n">
        <f aca="false">M149</f>
        <v>18972013</v>
      </c>
      <c r="N11" s="165" t="n">
        <f aca="false">N149</f>
        <v>129.527952568871</v>
      </c>
      <c r="O11" s="161" t="n">
        <f aca="false">O149</f>
        <v>3326</v>
      </c>
      <c r="P11" s="161" t="n">
        <f aca="false">P149</f>
        <v>124.675886951293</v>
      </c>
      <c r="Q11" s="161" t="n">
        <f aca="false">Q149</f>
        <v>3609</v>
      </c>
      <c r="R11" s="168" t="n">
        <f aca="false">O11*P11</f>
        <v>414672</v>
      </c>
    </row>
    <row r="12" customFormat="false" ht="31.5" hidden="false" customHeight="true" outlineLevel="0" collapsed="false">
      <c r="A12" s="163" t="n">
        <v>2</v>
      </c>
      <c r="B12" s="164" t="s">
        <v>16</v>
      </c>
      <c r="C12" s="161" t="n">
        <f aca="false">C159</f>
        <v>2051494</v>
      </c>
      <c r="D12" s="161" t="n">
        <f aca="false">D159</f>
        <v>1590958</v>
      </c>
      <c r="E12" s="165" t="n">
        <f aca="false">E159</f>
        <v>128.94708722669</v>
      </c>
      <c r="F12" s="161" t="n">
        <f aca="false">F159</f>
        <v>1051463</v>
      </c>
      <c r="G12" s="166" t="n">
        <f aca="false">G159</f>
        <v>524413</v>
      </c>
      <c r="H12" s="167" t="n">
        <f aca="false">H159</f>
        <v>200.50284794618</v>
      </c>
      <c r="I12" s="166" t="n">
        <f aca="false">I159</f>
        <v>1548643</v>
      </c>
      <c r="J12" s="166" t="n">
        <f aca="false">J159</f>
        <v>1075678</v>
      </c>
      <c r="K12" s="167" t="n">
        <f aca="false">K159</f>
        <v>143.969013031781</v>
      </c>
      <c r="L12" s="161" t="n">
        <f aca="false">L159</f>
        <v>874283</v>
      </c>
      <c r="M12" s="161" t="n">
        <f aca="false">M159</f>
        <v>528627</v>
      </c>
      <c r="N12" s="165" t="n">
        <f aca="false">N159</f>
        <v>165.387503854325</v>
      </c>
      <c r="O12" s="161" t="n">
        <f aca="false">O159</f>
        <v>895</v>
      </c>
      <c r="P12" s="165" t="n">
        <f aca="false">P159</f>
        <v>98.6301675977654</v>
      </c>
      <c r="Q12" s="161" t="n">
        <f aca="false">Q159</f>
        <v>902</v>
      </c>
      <c r="R12" s="168" t="n">
        <f aca="false">O12*P12</f>
        <v>88274</v>
      </c>
    </row>
    <row r="13" customFormat="false" ht="30" hidden="false" customHeight="true" outlineLevel="0" collapsed="false">
      <c r="A13" s="163" t="n">
        <v>3</v>
      </c>
      <c r="B13" s="164" t="s">
        <v>17</v>
      </c>
      <c r="C13" s="161" t="n">
        <f aca="false">C178</f>
        <v>1491464</v>
      </c>
      <c r="D13" s="161" t="n">
        <f aca="false">D178</f>
        <v>1122492</v>
      </c>
      <c r="E13" s="165" t="n">
        <f aca="false">E178</f>
        <v>132.870791061317</v>
      </c>
      <c r="F13" s="161" t="n">
        <f aca="false">F178</f>
        <v>775010</v>
      </c>
      <c r="G13" s="166" t="n">
        <f aca="false">G178</f>
        <v>440612</v>
      </c>
      <c r="H13" s="167" t="n">
        <f aca="false">H178</f>
        <v>175.893983822501</v>
      </c>
      <c r="I13" s="166" t="n">
        <f aca="false">I178</f>
        <v>1752465</v>
      </c>
      <c r="J13" s="166" t="n">
        <f aca="false">J178</f>
        <v>1215481</v>
      </c>
      <c r="K13" s="167" t="n">
        <f aca="false">K178</f>
        <v>144.178724307496</v>
      </c>
      <c r="L13" s="161" t="n">
        <f aca="false">L178</f>
        <v>1770945</v>
      </c>
      <c r="M13" s="161" t="n">
        <f aca="false">M178</f>
        <v>1212818</v>
      </c>
      <c r="N13" s="165" t="n">
        <f aca="false">N178</f>
        <v>146.019023464362</v>
      </c>
      <c r="O13" s="161" t="n">
        <f aca="false">O178</f>
        <v>452</v>
      </c>
      <c r="P13" s="165" t="n">
        <f aca="false">P178</f>
        <v>119.491150442478</v>
      </c>
      <c r="Q13" s="161" t="n">
        <f aca="false">Q178</f>
        <v>391</v>
      </c>
      <c r="R13" s="168" t="n">
        <f aca="false">O13*P13</f>
        <v>54010</v>
      </c>
    </row>
    <row r="14" customFormat="false" ht="36" hidden="false" customHeight="true" outlineLevel="0" collapsed="false">
      <c r="A14" s="163" t="n">
        <v>4</v>
      </c>
      <c r="B14" s="164" t="s">
        <v>18</v>
      </c>
      <c r="C14" s="161" t="n">
        <f aca="false">C54</f>
        <v>287227</v>
      </c>
      <c r="D14" s="166" t="n">
        <f aca="false">D54</f>
        <v>382959</v>
      </c>
      <c r="E14" s="167" t="n">
        <f aca="false">E54</f>
        <v>75.0020237153325</v>
      </c>
      <c r="F14" s="166" t="n">
        <f aca="false">F54</f>
        <v>193524</v>
      </c>
      <c r="G14" s="166" t="n">
        <f aca="false">G54</f>
        <v>211004</v>
      </c>
      <c r="H14" s="167" t="n">
        <f aca="false">H54</f>
        <v>91.7157968569316</v>
      </c>
      <c r="I14" s="166" t="n">
        <f aca="false">I54</f>
        <v>276136</v>
      </c>
      <c r="J14" s="166" t="n">
        <f aca="false">J54</f>
        <v>373198</v>
      </c>
      <c r="K14" s="167" t="n">
        <f aca="false">K54</f>
        <v>73.9918220354879</v>
      </c>
      <c r="L14" s="166" t="n">
        <f aca="false">L54</f>
        <v>129491</v>
      </c>
      <c r="M14" s="166" t="n">
        <f aca="false">M54</f>
        <v>225845</v>
      </c>
      <c r="N14" s="167" t="n">
        <f aca="false">N54</f>
        <v>57.3362261728176</v>
      </c>
      <c r="O14" s="166" t="n">
        <f aca="false">O54</f>
        <v>771</v>
      </c>
      <c r="P14" s="167" t="n">
        <f aca="false">P54</f>
        <v>97.6861219195849</v>
      </c>
      <c r="Q14" s="166" t="n">
        <f aca="false">Q54</f>
        <v>709</v>
      </c>
      <c r="R14" s="168" t="n">
        <f aca="false">O14*P14</f>
        <v>75316</v>
      </c>
    </row>
    <row r="15" customFormat="false" ht="27.75" hidden="false" customHeight="true" outlineLevel="0" collapsed="false">
      <c r="A15" s="163" t="n">
        <v>5</v>
      </c>
      <c r="B15" s="164" t="s">
        <v>19</v>
      </c>
      <c r="C15" s="161" t="n">
        <f aca="false">C66</f>
        <v>179371</v>
      </c>
      <c r="D15" s="166" t="n">
        <f aca="false">D66</f>
        <v>172135</v>
      </c>
      <c r="E15" s="167" t="n">
        <f aca="false">E66</f>
        <v>104.203677346269</v>
      </c>
      <c r="F15" s="166" t="n">
        <f aca="false">F66</f>
        <v>122826</v>
      </c>
      <c r="G15" s="166" t="n">
        <f aca="false">G66</f>
        <v>128173</v>
      </c>
      <c r="H15" s="167" t="n">
        <f aca="false">H66</f>
        <v>95.8282945706194</v>
      </c>
      <c r="I15" s="166" t="n">
        <f aca="false">I66</f>
        <v>138269</v>
      </c>
      <c r="J15" s="166" t="n">
        <f aca="false">J66</f>
        <v>144937</v>
      </c>
      <c r="K15" s="167" t="n">
        <f aca="false">K66</f>
        <v>95.3993804204585</v>
      </c>
      <c r="L15" s="166" t="n">
        <f aca="false">L66</f>
        <v>71487</v>
      </c>
      <c r="M15" s="166" t="n">
        <f aca="false">M66</f>
        <v>88411</v>
      </c>
      <c r="N15" s="167" t="n">
        <f aca="false">N66</f>
        <v>80.8575855945527</v>
      </c>
      <c r="O15" s="166" t="n">
        <f aca="false">O66</f>
        <v>575</v>
      </c>
      <c r="P15" s="167" t="n">
        <f aca="false">P66</f>
        <v>76.1321739130435</v>
      </c>
      <c r="Q15" s="166" t="n">
        <f aca="false">Q66</f>
        <v>540</v>
      </c>
      <c r="R15" s="168" t="n">
        <f aca="false">O15*P15</f>
        <v>43776</v>
      </c>
    </row>
    <row r="16" customFormat="false" ht="29.25" hidden="false" customHeight="true" outlineLevel="0" collapsed="false">
      <c r="A16" s="163" t="n">
        <v>6</v>
      </c>
      <c r="B16" s="164" t="s">
        <v>20</v>
      </c>
      <c r="C16" s="161" t="n">
        <f aca="false">C77</f>
        <v>210397</v>
      </c>
      <c r="D16" s="166" t="n">
        <f aca="false">D77</f>
        <v>242959</v>
      </c>
      <c r="E16" s="167" t="n">
        <f aca="false">E77</f>
        <v>86.5977387131162</v>
      </c>
      <c r="F16" s="166" t="n">
        <f aca="false">F77</f>
        <v>104863</v>
      </c>
      <c r="G16" s="166" t="n">
        <f aca="false">G77</f>
        <v>107892</v>
      </c>
      <c r="H16" s="167" t="n">
        <f aca="false">H77</f>
        <v>97.1925629333037</v>
      </c>
      <c r="I16" s="166" t="n">
        <f aca="false">I77</f>
        <v>247119</v>
      </c>
      <c r="J16" s="166" t="n">
        <f aca="false">J77</f>
        <v>245289</v>
      </c>
      <c r="K16" s="167" t="n">
        <f aca="false">K77</f>
        <v>100.746058730722</v>
      </c>
      <c r="L16" s="166" t="n">
        <f aca="false">L77</f>
        <v>111001</v>
      </c>
      <c r="M16" s="166" t="n">
        <f aca="false">M77</f>
        <v>128423</v>
      </c>
      <c r="N16" s="167" t="n">
        <f aca="false">N77</f>
        <v>86.4338942401283</v>
      </c>
      <c r="O16" s="166" t="n">
        <f aca="false">O77</f>
        <v>520</v>
      </c>
      <c r="P16" s="167" t="n">
        <f aca="false">P77</f>
        <v>102.655769230769</v>
      </c>
      <c r="Q16" s="166" t="n">
        <f aca="false">Q77</f>
        <v>533</v>
      </c>
      <c r="R16" s="168" t="n">
        <f aca="false">O16*P16</f>
        <v>53381</v>
      </c>
    </row>
    <row r="17" customFormat="false" ht="33" hidden="false" customHeight="true" outlineLevel="0" collapsed="false">
      <c r="A17" s="163" t="n">
        <v>7</v>
      </c>
      <c r="B17" s="164" t="s">
        <v>21</v>
      </c>
      <c r="C17" s="161" t="n">
        <f aca="false">C92</f>
        <v>974189</v>
      </c>
      <c r="D17" s="166" t="n">
        <f aca="false">D92</f>
        <v>752033</v>
      </c>
      <c r="E17" s="167" t="n">
        <f aca="false">E92</f>
        <v>129.540724941592</v>
      </c>
      <c r="F17" s="166" t="n">
        <f aca="false">F92</f>
        <v>518719</v>
      </c>
      <c r="G17" s="166" t="n">
        <f aca="false">G92</f>
        <v>423888</v>
      </c>
      <c r="H17" s="167" t="n">
        <f aca="false">H92</f>
        <v>122.371711395463</v>
      </c>
      <c r="I17" s="166" t="n">
        <f aca="false">I92</f>
        <v>1416344</v>
      </c>
      <c r="J17" s="166" t="n">
        <f aca="false">J92</f>
        <v>1252197</v>
      </c>
      <c r="K17" s="167" t="n">
        <f aca="false">K92</f>
        <v>113.108720113528</v>
      </c>
      <c r="L17" s="166" t="n">
        <f aca="false">L92</f>
        <v>400198</v>
      </c>
      <c r="M17" s="166" t="n">
        <f aca="false">M92</f>
        <v>294562</v>
      </c>
      <c r="N17" s="167" t="n">
        <f aca="false">N92</f>
        <v>135.862059600356</v>
      </c>
      <c r="O17" s="166" t="n">
        <f aca="false">O92</f>
        <v>4241</v>
      </c>
      <c r="P17" s="167" t="n">
        <f aca="false">P92</f>
        <v>116.530299457675</v>
      </c>
      <c r="Q17" s="166" t="n">
        <f aca="false">Q92</f>
        <v>4247</v>
      </c>
      <c r="R17" s="168" t="n">
        <f aca="false">O17*P17</f>
        <v>494205</v>
      </c>
    </row>
    <row r="18" customFormat="false" ht="34.5" hidden="false" customHeight="true" outlineLevel="0" collapsed="false">
      <c r="A18" s="163" t="n">
        <v>8</v>
      </c>
      <c r="B18" s="164" t="s">
        <v>22</v>
      </c>
      <c r="C18" s="161" t="n">
        <f aca="false">C165</f>
        <v>1152225</v>
      </c>
      <c r="D18" s="166" t="n">
        <f aca="false">D165</f>
        <v>561621</v>
      </c>
      <c r="E18" s="167" t="n">
        <f aca="false">E165</f>
        <v>205.160597627225</v>
      </c>
      <c r="F18" s="166" t="n">
        <f aca="false">F165</f>
        <v>510484</v>
      </c>
      <c r="G18" s="166" t="n">
        <f aca="false">G165</f>
        <v>335318</v>
      </c>
      <c r="H18" s="167" t="n">
        <f aca="false">H165</f>
        <v>152.238770361269</v>
      </c>
      <c r="I18" s="166" t="n">
        <f aca="false">I165</f>
        <v>754979</v>
      </c>
      <c r="J18" s="166" t="n">
        <f aca="false">J165</f>
        <v>540052</v>
      </c>
      <c r="K18" s="167" t="n">
        <f aca="false">K165</f>
        <v>139.797463947916</v>
      </c>
      <c r="L18" s="166" t="n">
        <f aca="false">L165</f>
        <v>62918</v>
      </c>
      <c r="M18" s="166" t="n">
        <f aca="false">M165</f>
        <v>76110</v>
      </c>
      <c r="N18" s="167" t="n">
        <f aca="false">N165</f>
        <v>0</v>
      </c>
      <c r="O18" s="166" t="n">
        <f aca="false">O165</f>
        <v>589</v>
      </c>
      <c r="P18" s="167" t="n">
        <f aca="false">P165</f>
        <v>96.7011884550085</v>
      </c>
      <c r="Q18" s="166" t="n">
        <f aca="false">Q165</f>
        <v>582</v>
      </c>
      <c r="R18" s="168" t="n">
        <f aca="false">O18*P18</f>
        <v>56957</v>
      </c>
    </row>
    <row r="19" customFormat="false" ht="36" hidden="false" customHeight="true" outlineLevel="0" collapsed="false">
      <c r="A19" s="163" t="n">
        <v>9</v>
      </c>
      <c r="B19" s="164" t="s">
        <v>23</v>
      </c>
      <c r="C19" s="161" t="n">
        <f aca="false">C120</f>
        <v>503355</v>
      </c>
      <c r="D19" s="166" t="n">
        <f aca="false">D120</f>
        <v>370929</v>
      </c>
      <c r="E19" s="167" t="n">
        <f aca="false">E120</f>
        <v>135.701171922389</v>
      </c>
      <c r="F19" s="166" t="n">
        <f aca="false">F120</f>
        <v>273756</v>
      </c>
      <c r="G19" s="166" t="n">
        <f aca="false">G120</f>
        <v>210246</v>
      </c>
      <c r="H19" s="167" t="n">
        <f aca="false">H120</f>
        <v>130.207471247967</v>
      </c>
      <c r="I19" s="166" t="n">
        <f aca="false">I120</f>
        <v>388131</v>
      </c>
      <c r="J19" s="166" t="n">
        <f aca="false">J120</f>
        <v>280689</v>
      </c>
      <c r="K19" s="167" t="n">
        <f aca="false">K120</f>
        <v>138.277951754433</v>
      </c>
      <c r="L19" s="166" t="n">
        <f aca="false">L120</f>
        <v>288865</v>
      </c>
      <c r="M19" s="166" t="n">
        <f aca="false">M120</f>
        <v>208967</v>
      </c>
      <c r="N19" s="167" t="n">
        <f aca="false">N120</f>
        <v>138.234745199003</v>
      </c>
      <c r="O19" s="166" t="n">
        <f aca="false">O120</f>
        <v>1539</v>
      </c>
      <c r="P19" s="167" t="n">
        <f aca="false">P120</f>
        <v>64.0012995451592</v>
      </c>
      <c r="Q19" s="166" t="n">
        <f aca="false">Q120</f>
        <v>1529</v>
      </c>
      <c r="R19" s="168" t="n">
        <f aca="false">O19*P19</f>
        <v>98498</v>
      </c>
    </row>
    <row r="20" customFormat="false" ht="24" hidden="false" customHeight="true" outlineLevel="0" collapsed="false">
      <c r="A20" s="163" t="n">
        <v>10</v>
      </c>
      <c r="B20" s="164" t="s">
        <v>24</v>
      </c>
      <c r="C20" s="161" t="n">
        <f aca="false">C131</f>
        <v>241504</v>
      </c>
      <c r="D20" s="166" t="n">
        <f aca="false">D131</f>
        <v>213799</v>
      </c>
      <c r="E20" s="167" t="n">
        <f aca="false">E131</f>
        <v>112.95843292064</v>
      </c>
      <c r="F20" s="166" t="n">
        <f aca="false">F131</f>
        <v>2795</v>
      </c>
      <c r="G20" s="166" t="n">
        <f aca="false">G131</f>
        <v>0</v>
      </c>
      <c r="H20" s="167" t="n">
        <v>0</v>
      </c>
      <c r="I20" s="166" t="n">
        <f aca="false">I131</f>
        <v>241383</v>
      </c>
      <c r="J20" s="166" t="n">
        <f aca="false">J131</f>
        <v>171472</v>
      </c>
      <c r="K20" s="167" t="n">
        <f aca="false">K131</f>
        <v>140.771087991042</v>
      </c>
      <c r="L20" s="166" t="n">
        <f aca="false">L131</f>
        <v>3379</v>
      </c>
      <c r="M20" s="166" t="n">
        <f aca="false">M131</f>
        <v>0</v>
      </c>
      <c r="N20" s="167" t="n">
        <f aca="false">N131</f>
        <v>0</v>
      </c>
      <c r="O20" s="166" t="n">
        <f aca="false">O131</f>
        <v>101</v>
      </c>
      <c r="P20" s="167" t="n">
        <f aca="false">P131</f>
        <v>76.7128712871287</v>
      </c>
      <c r="Q20" s="166" t="n">
        <f aca="false">Q131</f>
        <v>97</v>
      </c>
      <c r="R20" s="168" t="n">
        <f aca="false">O20*P20</f>
        <v>7748</v>
      </c>
    </row>
    <row r="21" customFormat="false" ht="32.25" hidden="false" customHeight="true" outlineLevel="0" collapsed="false">
      <c r="A21" s="163" t="n">
        <v>11</v>
      </c>
      <c r="B21" s="164" t="s">
        <v>25</v>
      </c>
      <c r="C21" s="161" t="n">
        <f aca="false">C190</f>
        <v>130339.8</v>
      </c>
      <c r="D21" s="166" t="n">
        <f aca="false">D190</f>
        <v>118628</v>
      </c>
      <c r="E21" s="167" t="n">
        <f aca="false">E190</f>
        <v>109.872711332906</v>
      </c>
      <c r="F21" s="166" t="n">
        <f aca="false">F190</f>
        <v>79895.7</v>
      </c>
      <c r="G21" s="166" t="n">
        <f aca="false">G190</f>
        <v>64829</v>
      </c>
      <c r="H21" s="167" t="n">
        <f aca="false">H190</f>
        <v>123.24067932561</v>
      </c>
      <c r="I21" s="166" t="n">
        <f aca="false">I190</f>
        <v>30791</v>
      </c>
      <c r="J21" s="166" t="n">
        <f aca="false">J190</f>
        <v>64721</v>
      </c>
      <c r="K21" s="167" t="n">
        <f aca="false">K190</f>
        <v>47.5749756647765</v>
      </c>
      <c r="L21" s="166" t="n">
        <f aca="false">L190</f>
        <v>1213</v>
      </c>
      <c r="M21" s="166" t="n">
        <f aca="false">M190</f>
        <v>1174</v>
      </c>
      <c r="N21" s="167" t="n">
        <f aca="false">N190</f>
        <v>0</v>
      </c>
      <c r="O21" s="166" t="n">
        <f aca="false">O190</f>
        <v>528</v>
      </c>
      <c r="P21" s="167" t="n">
        <f aca="false">P190</f>
        <v>145.038446969697</v>
      </c>
      <c r="Q21" s="166" t="n">
        <f aca="false">Q190</f>
        <v>527</v>
      </c>
      <c r="R21" s="168" t="n">
        <f aca="false">O21*P21</f>
        <v>76580.3</v>
      </c>
    </row>
    <row r="22" customFormat="false" ht="39.75" hidden="false" customHeight="true" outlineLevel="0" collapsed="false">
      <c r="A22" s="163" t="n">
        <v>12</v>
      </c>
      <c r="B22" s="164" t="s">
        <v>26</v>
      </c>
      <c r="C22" s="161" t="n">
        <f aca="false">C195</f>
        <v>5761</v>
      </c>
      <c r="D22" s="166" t="n">
        <f aca="false">D195</f>
        <v>1491</v>
      </c>
      <c r="E22" s="167" t="n">
        <f aca="false">E195</f>
        <v>386.384976525822</v>
      </c>
      <c r="F22" s="166" t="n">
        <f aca="false">F195</f>
        <v>5761</v>
      </c>
      <c r="G22" s="166" t="n">
        <f aca="false">G195</f>
        <v>1491</v>
      </c>
      <c r="H22" s="167" t="n">
        <f aca="false">H195</f>
        <v>386.384976525822</v>
      </c>
      <c r="I22" s="166" t="n">
        <f aca="false">I195</f>
        <v>392</v>
      </c>
      <c r="J22" s="166" t="n">
        <f aca="false">J195</f>
        <v>1491</v>
      </c>
      <c r="K22" s="167" t="n">
        <f aca="false">K195</f>
        <v>26.2910798122066</v>
      </c>
      <c r="L22" s="166" t="n">
        <f aca="false">L195</f>
        <v>392</v>
      </c>
      <c r="M22" s="166" t="n">
        <f aca="false">M195</f>
        <v>1491</v>
      </c>
      <c r="N22" s="167" t="n">
        <f aca="false">N195</f>
        <v>26.2910798122066</v>
      </c>
      <c r="O22" s="166" t="n">
        <f aca="false">O195</f>
        <v>225</v>
      </c>
      <c r="P22" s="167" t="n">
        <f aca="false">P195</f>
        <v>158.213333333333</v>
      </c>
      <c r="Q22" s="166" t="n">
        <f aca="false">Q195</f>
        <v>113</v>
      </c>
      <c r="R22" s="168" t="n">
        <f aca="false">O22*P22</f>
        <v>35598</v>
      </c>
    </row>
    <row r="23" customFormat="false" ht="15" hidden="false" customHeight="false" outlineLevel="0" collapsed="false">
      <c r="A23" s="169"/>
      <c r="B23" s="169" t="s">
        <v>27</v>
      </c>
      <c r="C23" s="170" t="n">
        <f aca="false">SUM(C10:C22)</f>
        <v>61759153.8</v>
      </c>
      <c r="D23" s="170" t="n">
        <f aca="false">SUM(D10:D22)</f>
        <v>52773562</v>
      </c>
      <c r="E23" s="171" t="n">
        <f aca="false">C23/D23*100</f>
        <v>117.026691887881</v>
      </c>
      <c r="F23" s="170" t="n">
        <f aca="false">SUM(F10:F22)</f>
        <v>30012599.7</v>
      </c>
      <c r="G23" s="170" t="n">
        <f aca="false">SUM(G10:G22)</f>
        <v>26131382</v>
      </c>
      <c r="H23" s="171" t="n">
        <f aca="false">F23/G23*100</f>
        <v>114.852707369247</v>
      </c>
      <c r="I23" s="170" t="n">
        <f aca="false">SUM(I10:I22)</f>
        <v>63356653</v>
      </c>
      <c r="J23" s="170" t="n">
        <f aca="false">SUM(J10:J22)</f>
        <v>46716178</v>
      </c>
      <c r="K23" s="171" t="n">
        <f aca="false">I23/J23*100</f>
        <v>135.620369029333</v>
      </c>
      <c r="L23" s="170" t="n">
        <f aca="false">SUM(L10:L22)</f>
        <v>49416385</v>
      </c>
      <c r="M23" s="170" t="n">
        <f aca="false">SUM(M10:M22)</f>
        <v>33636526</v>
      </c>
      <c r="N23" s="171" t="n">
        <f aca="false">L23/M23*100</f>
        <v>146.912867874643</v>
      </c>
      <c r="O23" s="170" t="n">
        <f aca="false">SUM(O10:O22)</f>
        <v>19872</v>
      </c>
      <c r="P23" s="171" t="n">
        <f aca="false">R23/O23</f>
        <v>127.828718800322</v>
      </c>
      <c r="Q23" s="170" t="n">
        <f aca="false">SUM(Q10:Q22)</f>
        <v>19880</v>
      </c>
      <c r="R23" s="172" t="n">
        <f aca="false">SUM(R10:R22)</f>
        <v>2540212.3</v>
      </c>
    </row>
    <row r="24" customFormat="false" ht="12.75" hidden="false" customHeight="tru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0.75" hidden="true" customHeight="tru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5" hidden="true" customHeight="fals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0.75" hidden="true" customHeight="tru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tru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0.75" hidden="tru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33.75" hidden="false" customHeight="true" outlineLevel="0" collapsed="false">
      <c r="A30" s="178" t="s">
        <v>185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</row>
    <row r="31" customFormat="false" ht="6.75" hidden="true" customHeight="true" outlineLevel="0" collapsed="false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9"/>
    </row>
    <row r="32" customFormat="false" ht="3.75" hidden="true" customHeight="true" outlineLevel="0" collapsed="false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80"/>
    </row>
    <row r="33" customFormat="false" ht="1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56.25" hidden="false" customHeight="true" outlineLevel="0" collapsed="false">
      <c r="A34" s="181"/>
      <c r="B34" s="182"/>
      <c r="C34" s="186" t="s">
        <v>9</v>
      </c>
      <c r="D34" s="186" t="s">
        <v>33</v>
      </c>
      <c r="E34" s="188" t="s">
        <v>34</v>
      </c>
      <c r="F34" s="186" t="s">
        <v>12</v>
      </c>
      <c r="G34" s="186" t="s">
        <v>35</v>
      </c>
      <c r="H34" s="188" t="s">
        <v>34</v>
      </c>
      <c r="I34" s="186" t="s">
        <v>13</v>
      </c>
      <c r="J34" s="186" t="s">
        <v>33</v>
      </c>
      <c r="K34" s="188" t="s">
        <v>34</v>
      </c>
      <c r="L34" s="186" t="s">
        <v>13</v>
      </c>
      <c r="M34" s="186" t="s">
        <v>33</v>
      </c>
      <c r="N34" s="188" t="s">
        <v>34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16407</v>
      </c>
      <c r="D37" s="200" t="n">
        <v>17017</v>
      </c>
      <c r="E37" s="201" t="n">
        <f aca="false">C37/D37*100</f>
        <v>96.4153493565258</v>
      </c>
      <c r="F37" s="200" t="n">
        <v>10702</v>
      </c>
      <c r="G37" s="200" t="n">
        <v>9808</v>
      </c>
      <c r="H37" s="201" t="n">
        <f aca="false">F37/G37*100</f>
        <v>109.115008156607</v>
      </c>
      <c r="I37" s="200" t="n">
        <v>16407</v>
      </c>
      <c r="J37" s="200" t="n">
        <v>17017</v>
      </c>
      <c r="K37" s="201" t="n">
        <f aca="false">I37/J37*100</f>
        <v>96.4153493565258</v>
      </c>
      <c r="L37" s="200" t="n">
        <v>0</v>
      </c>
      <c r="M37" s="200" t="n">
        <v>0</v>
      </c>
      <c r="N37" s="201" t="n">
        <v>0</v>
      </c>
      <c r="O37" s="200" t="n">
        <v>85</v>
      </c>
      <c r="P37" s="200" t="n">
        <v>92</v>
      </c>
      <c r="Q37" s="200" t="n">
        <v>86</v>
      </c>
      <c r="R37" s="202" t="n">
        <f aca="false">O37*P37</f>
        <v>7820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17325</v>
      </c>
      <c r="D38" s="200" t="n">
        <v>0</v>
      </c>
      <c r="E38" s="201" t="e">
        <f aca="false">C38/D38*100</f>
        <v>#DIV/0!</v>
      </c>
      <c r="F38" s="200" t="n">
        <v>17325</v>
      </c>
      <c r="G38" s="200" t="n">
        <v>0</v>
      </c>
      <c r="H38" s="201" t="e">
        <f aca="false">F38/G38*100</f>
        <v>#DIV/0!</v>
      </c>
      <c r="I38" s="200" t="n">
        <v>17325</v>
      </c>
      <c r="J38" s="200" t="n">
        <v>0</v>
      </c>
      <c r="K38" s="201" t="n">
        <v>0</v>
      </c>
      <c r="L38" s="200" t="n">
        <v>8112</v>
      </c>
      <c r="M38" s="200" t="n">
        <v>0</v>
      </c>
      <c r="N38" s="201" t="n">
        <v>0</v>
      </c>
      <c r="O38" s="203" t="n">
        <v>95</v>
      </c>
      <c r="P38" s="204" t="n">
        <v>155</v>
      </c>
      <c r="Q38" s="203"/>
      <c r="R38" s="202" t="n">
        <f aca="false">O38*P38</f>
        <v>14725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12100</v>
      </c>
      <c r="D39" s="200" t="n">
        <v>3182</v>
      </c>
      <c r="E39" s="201" t="n">
        <f aca="false">C39/D39*100</f>
        <v>380.263984915148</v>
      </c>
      <c r="F39" s="200" t="n">
        <v>5487</v>
      </c>
      <c r="G39" s="200" t="n">
        <v>3182</v>
      </c>
      <c r="H39" s="201" t="n">
        <f aca="false">F39/G39*100</f>
        <v>172.438717787555</v>
      </c>
      <c r="I39" s="200" t="n">
        <v>0</v>
      </c>
      <c r="J39" s="200" t="n">
        <v>17207</v>
      </c>
      <c r="K39" s="205" t="n">
        <f aca="false">I39/J39*100</f>
        <v>0</v>
      </c>
      <c r="L39" s="200" t="n">
        <v>0</v>
      </c>
      <c r="M39" s="200" t="n">
        <v>0</v>
      </c>
      <c r="N39" s="205" t="n">
        <v>0</v>
      </c>
      <c r="O39" s="203" t="n">
        <v>24</v>
      </c>
      <c r="P39" s="204" t="n">
        <v>90</v>
      </c>
      <c r="Q39" s="203" t="n">
        <v>23</v>
      </c>
      <c r="R39" s="202" t="n">
        <f aca="false">O39*P39</f>
        <v>2160</v>
      </c>
    </row>
    <row r="40" customFormat="false" ht="15" hidden="false" customHeight="false" outlineLevel="0" collapsed="false">
      <c r="A40" s="198" t="n">
        <v>4</v>
      </c>
      <c r="B40" s="199" t="s">
        <v>41</v>
      </c>
      <c r="C40" s="200" t="n">
        <v>5030</v>
      </c>
      <c r="D40" s="200" t="n">
        <v>0</v>
      </c>
      <c r="E40" s="201" t="e">
        <f aca="false">C40/D40*100</f>
        <v>#DIV/0!</v>
      </c>
      <c r="F40" s="200" t="n">
        <v>2380</v>
      </c>
      <c r="G40" s="200" t="n">
        <v>0</v>
      </c>
      <c r="H40" s="201" t="e">
        <f aca="false">F40/G40*100</f>
        <v>#DIV/0!</v>
      </c>
      <c r="I40" s="200" t="n">
        <v>5312</v>
      </c>
      <c r="J40" s="200" t="n">
        <v>0</v>
      </c>
      <c r="K40" s="205" t="n">
        <v>0</v>
      </c>
      <c r="L40" s="200" t="n">
        <v>5312</v>
      </c>
      <c r="M40" s="200" t="n">
        <v>0</v>
      </c>
      <c r="N40" s="205" t="n">
        <v>0</v>
      </c>
      <c r="O40" s="203" t="n">
        <v>20</v>
      </c>
      <c r="P40" s="204" t="n">
        <v>60</v>
      </c>
      <c r="Q40" s="203" t="n">
        <v>20</v>
      </c>
      <c r="R40" s="202" t="n">
        <f aca="false">O40*P40</f>
        <v>1200</v>
      </c>
    </row>
    <row r="41" customFormat="false" ht="15" hidden="false" customHeight="false" outlineLevel="0" collapsed="false">
      <c r="A41" s="198" t="n">
        <v>5</v>
      </c>
      <c r="B41" s="199" t="s">
        <v>42</v>
      </c>
      <c r="C41" s="206" t="n">
        <v>6179</v>
      </c>
      <c r="D41" s="206" t="n">
        <v>9099</v>
      </c>
      <c r="E41" s="201" t="n">
        <f aca="false">C41/D41*100</f>
        <v>67.9085613803715</v>
      </c>
      <c r="F41" s="206" t="n">
        <v>4103</v>
      </c>
      <c r="G41" s="206" t="n">
        <v>4572</v>
      </c>
      <c r="H41" s="201" t="n">
        <f aca="false">F41/G41*100</f>
        <v>89.7419072615923</v>
      </c>
      <c r="I41" s="206" t="n">
        <v>9892</v>
      </c>
      <c r="J41" s="206" t="n">
        <v>8401</v>
      </c>
      <c r="K41" s="205" t="n">
        <f aca="false">I41/J41*100</f>
        <v>117.747887156291</v>
      </c>
      <c r="L41" s="206" t="n">
        <v>1345</v>
      </c>
      <c r="M41" s="206" t="n">
        <v>0</v>
      </c>
      <c r="N41" s="205" t="n">
        <v>0</v>
      </c>
      <c r="O41" s="203" t="n">
        <v>53</v>
      </c>
      <c r="P41" s="204" t="n">
        <v>70</v>
      </c>
      <c r="Q41" s="203" t="n">
        <v>53</v>
      </c>
      <c r="R41" s="202" t="n">
        <f aca="false">O41*P41</f>
        <v>3710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15905</v>
      </c>
      <c r="D42" s="200" t="n">
        <v>6637</v>
      </c>
      <c r="E42" s="201" t="n">
        <f aca="false">C42/D42*100</f>
        <v>239.641404248908</v>
      </c>
      <c r="F42" s="200" t="n">
        <v>7738</v>
      </c>
      <c r="G42" s="200" t="n">
        <v>2831</v>
      </c>
      <c r="H42" s="201" t="n">
        <f aca="false">F42/G42*100</f>
        <v>273.330978452844</v>
      </c>
      <c r="I42" s="200" t="n">
        <v>14922</v>
      </c>
      <c r="J42" s="200" t="n">
        <v>6604</v>
      </c>
      <c r="K42" s="205" t="n">
        <f aca="false">I42/J42*100</f>
        <v>225.95396729255</v>
      </c>
      <c r="L42" s="200" t="n">
        <v>0</v>
      </c>
      <c r="M42" s="200" t="n">
        <v>0</v>
      </c>
      <c r="N42" s="205" t="n">
        <v>0</v>
      </c>
      <c r="O42" s="203" t="n">
        <v>63</v>
      </c>
      <c r="P42" s="204" t="n">
        <v>75</v>
      </c>
      <c r="Q42" s="203" t="n">
        <v>62</v>
      </c>
      <c r="R42" s="202" t="n">
        <f aca="false">O42*P42</f>
        <v>4725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0</v>
      </c>
      <c r="D43" s="200" t="n">
        <v>0</v>
      </c>
      <c r="E43" s="201" t="n">
        <v>0</v>
      </c>
      <c r="F43" s="200" t="n">
        <v>0</v>
      </c>
      <c r="G43" s="200" t="n">
        <v>0</v>
      </c>
      <c r="H43" s="201" t="n">
        <v>0</v>
      </c>
      <c r="I43" s="200" t="n">
        <v>0</v>
      </c>
      <c r="J43" s="200" t="n">
        <v>0</v>
      </c>
      <c r="K43" s="205" t="n">
        <v>0</v>
      </c>
      <c r="L43" s="200" t="n">
        <v>0</v>
      </c>
      <c r="M43" s="200" t="n">
        <v>0</v>
      </c>
      <c r="N43" s="205" t="n">
        <v>0</v>
      </c>
      <c r="O43" s="203" t="n">
        <v>0</v>
      </c>
      <c r="P43" s="204" t="n">
        <v>70</v>
      </c>
      <c r="Q43" s="203" t="n">
        <v>22</v>
      </c>
      <c r="R43" s="202" t="n">
        <f aca="false">O43*P43</f>
        <v>0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8" t="n">
        <v>21102</v>
      </c>
      <c r="D44" s="200" t="n">
        <v>12944</v>
      </c>
      <c r="E44" s="201" t="n">
        <f aca="false">C44/D44*100</f>
        <v>163.025339925834</v>
      </c>
      <c r="F44" s="200" t="n">
        <v>13719</v>
      </c>
      <c r="G44" s="200" t="n">
        <v>6030</v>
      </c>
      <c r="H44" s="201" t="n">
        <f aca="false">F44/G44*100</f>
        <v>227.512437810945</v>
      </c>
      <c r="I44" s="200" t="n">
        <v>20735</v>
      </c>
      <c r="J44" s="200" t="n">
        <v>16114</v>
      </c>
      <c r="K44" s="205" t="n">
        <f aca="false">I44/J44*100</f>
        <v>128.676926895867</v>
      </c>
      <c r="L44" s="200" t="n">
        <v>0</v>
      </c>
      <c r="M44" s="200" t="n">
        <v>0</v>
      </c>
      <c r="N44" s="205" t="n">
        <v>0</v>
      </c>
      <c r="O44" s="203" t="n">
        <v>45</v>
      </c>
      <c r="P44" s="204" t="n">
        <v>82</v>
      </c>
      <c r="Q44" s="203" t="n">
        <v>45</v>
      </c>
      <c r="R44" s="202" t="n">
        <f aca="false">O44*P44</f>
        <v>3690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17401</v>
      </c>
      <c r="D45" s="200" t="n">
        <v>31731</v>
      </c>
      <c r="E45" s="201" t="n">
        <f aca="false">C45/D45*100</f>
        <v>54.8391163215783</v>
      </c>
      <c r="F45" s="208" t="n">
        <v>10647</v>
      </c>
      <c r="G45" s="200" t="n">
        <v>19086</v>
      </c>
      <c r="H45" s="201" t="n">
        <f aca="false">F45/G45*100</f>
        <v>55.7843445457403</v>
      </c>
      <c r="I45" s="200" t="n">
        <v>13900</v>
      </c>
      <c r="J45" s="209" t="n">
        <v>18704</v>
      </c>
      <c r="K45" s="205" t="n">
        <f aca="false">I45/J45*100</f>
        <v>74.3156544054748</v>
      </c>
      <c r="L45" s="200" t="n">
        <v>0</v>
      </c>
      <c r="M45" s="200" t="n">
        <v>0</v>
      </c>
      <c r="N45" s="205" t="n">
        <v>0</v>
      </c>
      <c r="O45" s="203" t="n">
        <v>58</v>
      </c>
      <c r="P45" s="204" t="n">
        <v>94</v>
      </c>
      <c r="Q45" s="203" t="n">
        <v>39</v>
      </c>
      <c r="R45" s="202" t="n">
        <f aca="false">O45*P45</f>
        <v>5452</v>
      </c>
    </row>
    <row r="46" s="211" customFormat="true" ht="15" hidden="false" customHeight="false" outlineLevel="0" collapsed="false">
      <c r="A46" s="210" t="n">
        <v>10</v>
      </c>
      <c r="B46" s="199" t="s">
        <v>47</v>
      </c>
      <c r="C46" s="208" t="n">
        <v>82682</v>
      </c>
      <c r="D46" s="200" t="n">
        <v>217392</v>
      </c>
      <c r="E46" s="201" t="n">
        <f aca="false">C46/D46*100</f>
        <v>38.0335982924855</v>
      </c>
      <c r="F46" s="208" t="n">
        <v>82682</v>
      </c>
      <c r="G46" s="200" t="n">
        <v>127866</v>
      </c>
      <c r="H46" s="201" t="n">
        <f aca="false">F46/G46*100</f>
        <v>64.6630065850187</v>
      </c>
      <c r="I46" s="200" t="n">
        <v>101859</v>
      </c>
      <c r="J46" s="200" t="n">
        <v>212023</v>
      </c>
      <c r="K46" s="205" t="n">
        <f aca="false">I46/J46*100</f>
        <v>48.0414860651911</v>
      </c>
      <c r="L46" s="200" t="n">
        <v>101111</v>
      </c>
      <c r="M46" s="200" t="n">
        <v>212023</v>
      </c>
      <c r="N46" s="205" t="n">
        <f aca="false">L46/M46*100</f>
        <v>47.6886941511062</v>
      </c>
      <c r="O46" s="203" t="n">
        <v>144</v>
      </c>
      <c r="P46" s="204" t="n">
        <v>84</v>
      </c>
      <c r="Q46" s="203" t="n">
        <v>154</v>
      </c>
      <c r="R46" s="202" t="n">
        <f aca="false">O46*P46</f>
        <v>12096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0</v>
      </c>
      <c r="D47" s="200" t="n">
        <v>0</v>
      </c>
      <c r="E47" s="201" t="n">
        <v>0</v>
      </c>
      <c r="F47" s="200" t="n">
        <v>0</v>
      </c>
      <c r="G47" s="200" t="n">
        <v>0</v>
      </c>
      <c r="H47" s="201" t="n">
        <v>0</v>
      </c>
      <c r="I47" s="200" t="n">
        <v>0</v>
      </c>
      <c r="J47" s="200" t="n">
        <v>0</v>
      </c>
      <c r="K47" s="205" t="n">
        <v>0</v>
      </c>
      <c r="L47" s="200" t="n">
        <v>0</v>
      </c>
      <c r="M47" s="200" t="n">
        <v>0</v>
      </c>
      <c r="N47" s="205" t="n">
        <v>0</v>
      </c>
      <c r="O47" s="203" t="n">
        <v>9</v>
      </c>
      <c r="P47" s="204" t="n">
        <v>67</v>
      </c>
      <c r="Q47" s="203" t="n">
        <v>18</v>
      </c>
      <c r="R47" s="202" t="n">
        <f aca="false">O47*P47</f>
        <v>603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15519</v>
      </c>
      <c r="D48" s="200" t="n">
        <v>12036</v>
      </c>
      <c r="E48" s="201" t="n">
        <f aca="false">C48/D48*100</f>
        <v>128.938185443669</v>
      </c>
      <c r="F48" s="212" t="n">
        <v>6064</v>
      </c>
      <c r="G48" s="212" t="n">
        <v>0</v>
      </c>
      <c r="H48" s="201" t="n">
        <v>0</v>
      </c>
      <c r="I48" s="212" t="n">
        <v>12035</v>
      </c>
      <c r="J48" s="212" t="n">
        <v>13822</v>
      </c>
      <c r="K48" s="205" t="n">
        <f aca="false">I48/J48*100</f>
        <v>87.0713355520185</v>
      </c>
      <c r="L48" s="213" t="n">
        <f aca="false">10635+1400</f>
        <v>12035</v>
      </c>
      <c r="M48" s="212" t="n">
        <v>13822</v>
      </c>
      <c r="N48" s="205" t="n">
        <f aca="false">L48/M48*100</f>
        <v>87.0713355520185</v>
      </c>
      <c r="O48" s="203" t="n">
        <v>26</v>
      </c>
      <c r="P48" s="204" t="n">
        <v>150</v>
      </c>
      <c r="Q48" s="203" t="n">
        <v>26</v>
      </c>
      <c r="R48" s="202" t="n">
        <f aca="false">O48*P48</f>
        <v>3900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63648</v>
      </c>
      <c r="D49" s="207" t="n">
        <v>65168</v>
      </c>
      <c r="E49" s="201" t="n">
        <f aca="false">C49/D49*100</f>
        <v>97.667566904002</v>
      </c>
      <c r="F49" s="207" t="n">
        <v>30731</v>
      </c>
      <c r="G49" s="207" t="n">
        <v>35363</v>
      </c>
      <c r="H49" s="201" t="n">
        <f aca="false">F49/G49*100</f>
        <v>86.9015637813534</v>
      </c>
      <c r="I49" s="200" t="n">
        <v>61032</v>
      </c>
      <c r="J49" s="200" t="n">
        <v>53369</v>
      </c>
      <c r="K49" s="205" t="n">
        <f aca="false">I49/J49*100</f>
        <v>114.358522737919</v>
      </c>
      <c r="L49" s="207" t="n">
        <v>0</v>
      </c>
      <c r="M49" s="207" t="n">
        <v>0</v>
      </c>
      <c r="N49" s="205" t="n">
        <v>0</v>
      </c>
      <c r="O49" s="203" t="n">
        <v>77</v>
      </c>
      <c r="P49" s="204" t="n">
        <v>120</v>
      </c>
      <c r="Q49" s="203" t="n">
        <v>77</v>
      </c>
      <c r="R49" s="202" t="n">
        <f aca="false">O49*P49</f>
        <v>9240</v>
      </c>
    </row>
    <row r="50" customFormat="false" ht="15" hidden="false" customHeight="false" outlineLevel="0" collapsed="false">
      <c r="A50" s="198" t="n">
        <v>14</v>
      </c>
      <c r="B50" s="199" t="s">
        <v>51</v>
      </c>
      <c r="C50" s="203" t="n">
        <v>4929</v>
      </c>
      <c r="D50" s="203" t="n">
        <v>3553</v>
      </c>
      <c r="E50" s="201" t="n">
        <f aca="false">C50/D50*100</f>
        <v>138.72783563186</v>
      </c>
      <c r="F50" s="203" t="n">
        <v>1946</v>
      </c>
      <c r="G50" s="203" t="n">
        <v>2266</v>
      </c>
      <c r="H50" s="201" t="n">
        <f aca="false">F50/G50*100</f>
        <v>85.8781994704325</v>
      </c>
      <c r="I50" s="203" t="n">
        <v>2717</v>
      </c>
      <c r="J50" s="203" t="n">
        <v>5737</v>
      </c>
      <c r="K50" s="214" t="n">
        <f aca="false">I50/J50*100</f>
        <v>47.359246993202</v>
      </c>
      <c r="L50" s="203" t="n">
        <v>1576</v>
      </c>
      <c r="M50" s="203" t="n">
        <v>0</v>
      </c>
      <c r="N50" s="205" t="n">
        <v>0</v>
      </c>
      <c r="O50" s="203" t="n">
        <v>13</v>
      </c>
      <c r="P50" s="204" t="n">
        <v>80</v>
      </c>
      <c r="Q50" s="203" t="n">
        <v>13</v>
      </c>
      <c r="R50" s="202" t="n">
        <f aca="false">O50*P50</f>
        <v>1040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0</v>
      </c>
      <c r="D51" s="203" t="n">
        <v>0</v>
      </c>
      <c r="E51" s="201" t="n">
        <v>0</v>
      </c>
      <c r="F51" s="203" t="n">
        <v>0</v>
      </c>
      <c r="G51" s="203" t="n">
        <v>0</v>
      </c>
      <c r="H51" s="201" t="n">
        <v>0</v>
      </c>
      <c r="I51" s="203" t="n">
        <v>0</v>
      </c>
      <c r="J51" s="203" t="n">
        <v>0</v>
      </c>
      <c r="K51" s="205" t="n">
        <v>0</v>
      </c>
      <c r="L51" s="203"/>
      <c r="M51" s="203" t="n">
        <v>0</v>
      </c>
      <c r="N51" s="214" t="n">
        <v>0</v>
      </c>
      <c r="O51" s="203" t="n">
        <v>55</v>
      </c>
      <c r="P51" s="204" t="n">
        <v>85</v>
      </c>
      <c r="Q51" s="203" t="n">
        <v>55</v>
      </c>
      <c r="R51" s="202" t="n">
        <f aca="false">O51*P51</f>
        <v>4675</v>
      </c>
    </row>
    <row r="52" customFormat="false" ht="15" hidden="false" customHeight="false" outlineLevel="0" collapsed="false">
      <c r="A52" s="198" t="n">
        <v>16</v>
      </c>
      <c r="B52" s="199" t="s">
        <v>53</v>
      </c>
      <c r="C52" s="200" t="n">
        <v>0</v>
      </c>
      <c r="D52" s="209" t="n">
        <v>0</v>
      </c>
      <c r="E52" s="201" t="n">
        <v>0</v>
      </c>
      <c r="F52" s="200" t="n">
        <v>0</v>
      </c>
      <c r="G52" s="200" t="n">
        <v>0</v>
      </c>
      <c r="H52" s="201" t="n">
        <v>0</v>
      </c>
      <c r="I52" s="200" t="n">
        <v>0</v>
      </c>
      <c r="J52" s="200" t="n">
        <v>0</v>
      </c>
      <c r="K52" s="214" t="n">
        <v>0</v>
      </c>
      <c r="L52" s="200" t="n">
        <v>0</v>
      </c>
      <c r="M52" s="200" t="n">
        <v>0</v>
      </c>
      <c r="N52" s="205" t="n">
        <v>0</v>
      </c>
      <c r="O52" s="203" t="n">
        <v>0</v>
      </c>
      <c r="P52" s="204" t="n">
        <v>40</v>
      </c>
      <c r="Q52" s="203" t="n">
        <v>3</v>
      </c>
      <c r="R52" s="202" t="n">
        <f aca="false">O52*P52</f>
        <v>0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9000</v>
      </c>
      <c r="D53" s="203" t="n">
        <v>4200</v>
      </c>
      <c r="E53" s="214" t="n">
        <f aca="false">C53/D53*100</f>
        <v>214.285714285714</v>
      </c>
      <c r="F53" s="203" t="n">
        <v>0</v>
      </c>
      <c r="G53" s="203" t="n">
        <v>4200</v>
      </c>
      <c r="H53" s="201" t="n">
        <f aca="false">F53/G53*100</f>
        <v>0</v>
      </c>
      <c r="I53" s="203" t="n">
        <v>0</v>
      </c>
      <c r="J53" s="203" t="n">
        <v>4200</v>
      </c>
      <c r="K53" s="205" t="n">
        <v>0</v>
      </c>
      <c r="L53" s="203" t="n">
        <v>0</v>
      </c>
      <c r="M53" s="203" t="n">
        <v>0</v>
      </c>
      <c r="N53" s="214" t="n">
        <v>0</v>
      </c>
      <c r="O53" s="203" t="n">
        <v>4</v>
      </c>
      <c r="P53" s="204" t="n">
        <v>70</v>
      </c>
      <c r="Q53" s="203" t="n">
        <v>13</v>
      </c>
      <c r="R53" s="202" t="n">
        <f aca="false">O53*P53</f>
        <v>280</v>
      </c>
    </row>
    <row r="54" customFormat="false" ht="15" hidden="false" customHeight="false" outlineLevel="0" collapsed="false">
      <c r="A54" s="215" t="s">
        <v>55</v>
      </c>
      <c r="B54" s="215"/>
      <c r="C54" s="216" t="n">
        <f aca="false">SUM(C37:C53)</f>
        <v>287227</v>
      </c>
      <c r="D54" s="216" t="n">
        <f aca="false">SUM(D37:D53)</f>
        <v>382959</v>
      </c>
      <c r="E54" s="217" t="n">
        <f aca="false">C54/D54*100</f>
        <v>75.0020237153325</v>
      </c>
      <c r="F54" s="216" t="n">
        <f aca="false">SUM(F37:F53)</f>
        <v>193524</v>
      </c>
      <c r="G54" s="216" t="n">
        <f aca="false">SUM(G37:G52)</f>
        <v>211004</v>
      </c>
      <c r="H54" s="217" t="n">
        <f aca="false">F54/G54*100</f>
        <v>91.7157968569316</v>
      </c>
      <c r="I54" s="216" t="n">
        <f aca="false">SUM(I37:I53)</f>
        <v>276136</v>
      </c>
      <c r="J54" s="216" t="n">
        <f aca="false">SUM(J37:J53)</f>
        <v>373198</v>
      </c>
      <c r="K54" s="217" t="n">
        <f aca="false">I54/J54*100</f>
        <v>73.9918220354879</v>
      </c>
      <c r="L54" s="216" t="n">
        <f aca="false">SUM(L37:L53)</f>
        <v>129491</v>
      </c>
      <c r="M54" s="216" t="n">
        <f aca="false">SUM(M37:M53)</f>
        <v>225845</v>
      </c>
      <c r="N54" s="217" t="n">
        <f aca="false">L54/M54*100</f>
        <v>57.3362261728176</v>
      </c>
      <c r="O54" s="216" t="n">
        <f aca="false">SUM(O37:O53)</f>
        <v>771</v>
      </c>
      <c r="P54" s="217" t="n">
        <f aca="false">R54/O54</f>
        <v>97.6861219195849</v>
      </c>
      <c r="Q54" s="216" t="n">
        <f aca="false">SUM(Q37:Q53)</f>
        <v>709</v>
      </c>
      <c r="R54" s="216" t="n">
        <f aca="false">SUM(R37:R53)</f>
        <v>75316</v>
      </c>
    </row>
    <row r="55" customFormat="false" ht="15" hidden="false" customHeight="false" outlineLevel="0" collapsed="false">
      <c r="A55" s="203"/>
      <c r="B55" s="218"/>
      <c r="C55" s="203"/>
      <c r="D55" s="203"/>
      <c r="E55" s="203"/>
      <c r="F55" s="203"/>
      <c r="G55" s="203"/>
      <c r="H55" s="203"/>
      <c r="I55" s="203"/>
      <c r="J55" s="203"/>
      <c r="K55" s="192"/>
      <c r="L55" s="203"/>
      <c r="M55" s="203"/>
      <c r="N55" s="203"/>
      <c r="O55" s="203"/>
      <c r="P55" s="219"/>
      <c r="Q55" s="203"/>
      <c r="R55" s="197"/>
    </row>
    <row r="56" customFormat="false" ht="15" hidden="false" customHeight="false" outlineLevel="0" collapsed="false">
      <c r="A56" s="195" t="s">
        <v>56</v>
      </c>
      <c r="B56" s="195"/>
      <c r="C56" s="195" t="n">
        <v>3</v>
      </c>
      <c r="D56" s="195" t="n">
        <v>4</v>
      </c>
      <c r="E56" s="196" t="n">
        <v>5</v>
      </c>
      <c r="F56" s="195" t="n">
        <v>6</v>
      </c>
      <c r="G56" s="195" t="n">
        <v>7</v>
      </c>
      <c r="H56" s="195" t="n">
        <v>8</v>
      </c>
      <c r="I56" s="195" t="n">
        <v>9</v>
      </c>
      <c r="J56" s="195" t="n">
        <v>10</v>
      </c>
      <c r="K56" s="195" t="n">
        <v>11</v>
      </c>
      <c r="L56" s="195" t="n">
        <v>12</v>
      </c>
      <c r="M56" s="195" t="n">
        <v>13</v>
      </c>
      <c r="N56" s="195" t="n">
        <v>14</v>
      </c>
      <c r="O56" s="195" t="n">
        <v>15</v>
      </c>
      <c r="P56" s="196" t="n">
        <v>16</v>
      </c>
      <c r="Q56" s="195" t="n">
        <v>15</v>
      </c>
      <c r="R56" s="197"/>
    </row>
    <row r="57" customFormat="false" ht="15" hidden="false" customHeight="false" outlineLevel="0" collapsed="false">
      <c r="A57" s="204" t="n">
        <v>1</v>
      </c>
      <c r="B57" s="220" t="s">
        <v>57</v>
      </c>
      <c r="C57" s="221" t="n">
        <v>42903</v>
      </c>
      <c r="D57" s="222" t="n">
        <v>80273</v>
      </c>
      <c r="E57" s="205" t="n">
        <f aca="false">C57/D57*100</f>
        <v>53.4463642818881</v>
      </c>
      <c r="F57" s="222" t="n">
        <v>22070</v>
      </c>
      <c r="G57" s="223" t="n">
        <v>58241</v>
      </c>
      <c r="H57" s="205" t="n">
        <f aca="false">F57/G57*100</f>
        <v>37.8942669253619</v>
      </c>
      <c r="I57" s="222" t="n">
        <v>50030</v>
      </c>
      <c r="J57" s="222" t="n">
        <v>67290</v>
      </c>
      <c r="K57" s="205" t="n">
        <f aca="false">I57/J57*100</f>
        <v>74.3498290979343</v>
      </c>
      <c r="L57" s="222" t="n">
        <v>49781</v>
      </c>
      <c r="M57" s="222" t="n">
        <v>66313</v>
      </c>
      <c r="N57" s="205" t="n">
        <f aca="false">L57/M57*100</f>
        <v>75.0697449972102</v>
      </c>
      <c r="O57" s="223" t="n">
        <v>152</v>
      </c>
      <c r="P57" s="222" t="n">
        <v>60</v>
      </c>
      <c r="Q57" s="223" t="n">
        <v>155</v>
      </c>
      <c r="R57" s="202" t="n">
        <f aca="false">O57*P57</f>
        <v>9120</v>
      </c>
    </row>
    <row r="58" customFormat="false" ht="15" hidden="false" customHeight="false" outlineLevel="0" collapsed="false">
      <c r="A58" s="224" t="n">
        <v>2</v>
      </c>
      <c r="B58" s="220" t="s">
        <v>58</v>
      </c>
      <c r="C58" s="200" t="n">
        <v>611</v>
      </c>
      <c r="D58" s="200" t="n">
        <v>5800</v>
      </c>
      <c r="E58" s="205" t="n">
        <f aca="false">C58/D58*100</f>
        <v>10.5344827586207</v>
      </c>
      <c r="F58" s="223" t="n">
        <v>376</v>
      </c>
      <c r="G58" s="223" t="n">
        <v>5240</v>
      </c>
      <c r="H58" s="205" t="n">
        <f aca="false">F58/G58*100</f>
        <v>7.17557251908397</v>
      </c>
      <c r="I58" s="223" t="n">
        <v>373</v>
      </c>
      <c r="J58" s="223" t="n">
        <v>15157</v>
      </c>
      <c r="K58" s="205" t="n">
        <f aca="false">I58/J58*100</f>
        <v>2.46090915088738</v>
      </c>
      <c r="L58" s="223" t="n">
        <v>0</v>
      </c>
      <c r="M58" s="223" t="n">
        <v>0</v>
      </c>
      <c r="N58" s="205" t="n">
        <v>0</v>
      </c>
      <c r="O58" s="223" t="n">
        <v>126</v>
      </c>
      <c r="P58" s="223" t="n">
        <v>105</v>
      </c>
      <c r="Q58" s="223" t="n">
        <v>126</v>
      </c>
      <c r="R58" s="202" t="n">
        <f aca="false">O58*P58</f>
        <v>13230</v>
      </c>
    </row>
    <row r="59" customFormat="false" ht="15" hidden="false" customHeight="false" outlineLevel="0" collapsed="false">
      <c r="A59" s="224" t="n">
        <v>3</v>
      </c>
      <c r="B59" s="220" t="s">
        <v>59</v>
      </c>
      <c r="C59" s="223" t="n">
        <v>27447</v>
      </c>
      <c r="D59" s="223" t="n">
        <v>26460</v>
      </c>
      <c r="E59" s="205" t="n">
        <f aca="false">C59/D59*100</f>
        <v>103.730158730159</v>
      </c>
      <c r="F59" s="223" t="n">
        <v>15511</v>
      </c>
      <c r="G59" s="223" t="n">
        <v>10070</v>
      </c>
      <c r="H59" s="205" t="n">
        <f aca="false">F59/G59*100</f>
        <v>154.0317775571</v>
      </c>
      <c r="I59" s="223" t="n">
        <v>27447</v>
      </c>
      <c r="J59" s="223" t="n">
        <v>26460</v>
      </c>
      <c r="K59" s="205" t="n">
        <f aca="false">I59/J59*100</f>
        <v>103.730158730159</v>
      </c>
      <c r="L59" s="223" t="n">
        <v>0</v>
      </c>
      <c r="M59" s="223" t="n">
        <v>0</v>
      </c>
      <c r="N59" s="205" t="n">
        <v>0</v>
      </c>
      <c r="O59" s="223" t="n">
        <v>118</v>
      </c>
      <c r="P59" s="223" t="n">
        <v>50</v>
      </c>
      <c r="Q59" s="223" t="n">
        <v>119</v>
      </c>
      <c r="R59" s="202" t="n">
        <f aca="false">O59*P59</f>
        <v>5900</v>
      </c>
    </row>
    <row r="60" customFormat="false" ht="15" hidden="false" customHeight="false" outlineLevel="0" collapsed="false">
      <c r="A60" s="204" t="n">
        <v>4</v>
      </c>
      <c r="B60" s="220" t="s">
        <v>60</v>
      </c>
      <c r="C60" s="223" t="n">
        <v>39035</v>
      </c>
      <c r="D60" s="223" t="n">
        <v>52843</v>
      </c>
      <c r="E60" s="205" t="n">
        <f aca="false">C60/D60*100</f>
        <v>73.8697651533789</v>
      </c>
      <c r="F60" s="223" t="n">
        <v>19394</v>
      </c>
      <c r="G60" s="223" t="n">
        <v>50602</v>
      </c>
      <c r="H60" s="205" t="n">
        <f aca="false">F60/G60*100</f>
        <v>38.3265483577724</v>
      </c>
      <c r="I60" s="206" t="n">
        <v>38708</v>
      </c>
      <c r="J60" s="206" t="n">
        <v>27832</v>
      </c>
      <c r="K60" s="205" t="n">
        <f aca="false">I60/J60*100</f>
        <v>139.077321069273</v>
      </c>
      <c r="L60" s="223" t="n">
        <v>0</v>
      </c>
      <c r="M60" s="223" t="n">
        <v>13988</v>
      </c>
      <c r="N60" s="205" t="n">
        <f aca="false">L60/M60*100</f>
        <v>0</v>
      </c>
      <c r="O60" s="223" t="n">
        <v>71</v>
      </c>
      <c r="P60" s="223" t="n">
        <v>124</v>
      </c>
      <c r="Q60" s="223" t="n">
        <v>34</v>
      </c>
      <c r="R60" s="202" t="n">
        <f aca="false">O60*P60</f>
        <v>8804</v>
      </c>
    </row>
    <row r="61" customFormat="false" ht="15" hidden="false" customHeight="false" outlineLevel="0" collapsed="false">
      <c r="A61" s="224" t="n">
        <v>5</v>
      </c>
      <c r="B61" s="220" t="s">
        <v>61</v>
      </c>
      <c r="C61" s="200" t="n">
        <v>0</v>
      </c>
      <c r="D61" s="200" t="n">
        <v>0</v>
      </c>
      <c r="E61" s="205" t="n">
        <v>0</v>
      </c>
      <c r="F61" s="200" t="n">
        <v>0</v>
      </c>
      <c r="G61" s="200" t="n">
        <v>0</v>
      </c>
      <c r="H61" s="205" t="n">
        <v>0</v>
      </c>
      <c r="I61" s="200" t="n">
        <v>0</v>
      </c>
      <c r="J61" s="200" t="n">
        <v>0</v>
      </c>
      <c r="K61" s="205" t="n">
        <v>0</v>
      </c>
      <c r="L61" s="200" t="n">
        <v>0</v>
      </c>
      <c r="M61" s="200" t="n">
        <v>0</v>
      </c>
      <c r="N61" s="205" t="n">
        <v>0</v>
      </c>
      <c r="O61" s="203" t="n">
        <v>0</v>
      </c>
      <c r="P61" s="204" t="n">
        <v>0</v>
      </c>
      <c r="Q61" s="203" t="n">
        <v>0</v>
      </c>
      <c r="R61" s="202" t="n">
        <f aca="false">O61*P61</f>
        <v>0</v>
      </c>
    </row>
    <row r="62" customFormat="false" ht="15" hidden="false" customHeight="false" outlineLevel="0" collapsed="false">
      <c r="A62" s="224" t="n">
        <v>6</v>
      </c>
      <c r="B62" s="220" t="s">
        <v>62</v>
      </c>
      <c r="C62" s="223" t="n">
        <v>9637</v>
      </c>
      <c r="D62" s="223" t="n">
        <v>6759</v>
      </c>
      <c r="E62" s="205" t="n">
        <f aca="false">C62/D62*100</f>
        <v>142.580263352567</v>
      </c>
      <c r="F62" s="223" t="n">
        <v>5737</v>
      </c>
      <c r="G62" s="223" t="n">
        <v>4020</v>
      </c>
      <c r="H62" s="205" t="n">
        <f aca="false">F62/G62*100</f>
        <v>142.71144278607</v>
      </c>
      <c r="I62" s="223" t="n">
        <v>12924</v>
      </c>
      <c r="J62" s="223" t="n">
        <v>8185</v>
      </c>
      <c r="K62" s="205" t="n">
        <f aca="false">I62/J62*100</f>
        <v>157.898594990837</v>
      </c>
      <c r="L62" s="223" t="n">
        <v>12924</v>
      </c>
      <c r="M62" s="223" t="n">
        <v>8110</v>
      </c>
      <c r="N62" s="205" t="n">
        <f aca="false">L62/M62*100</f>
        <v>159.358816276202</v>
      </c>
      <c r="O62" s="223" t="n">
        <v>34</v>
      </c>
      <c r="P62" s="223" t="n">
        <v>58</v>
      </c>
      <c r="Q62" s="223" t="n">
        <v>32</v>
      </c>
      <c r="R62" s="202" t="n">
        <f aca="false">O62*P62</f>
        <v>1972</v>
      </c>
    </row>
    <row r="63" s="211" customFormat="true" ht="15" hidden="false" customHeight="false" outlineLevel="0" collapsed="false">
      <c r="A63" s="204" t="n">
        <v>7</v>
      </c>
      <c r="B63" s="220" t="s">
        <v>63</v>
      </c>
      <c r="C63" s="200" t="n">
        <v>4738</v>
      </c>
      <c r="D63" s="200" t="n">
        <v>0</v>
      </c>
      <c r="E63" s="205" t="n">
        <v>0</v>
      </c>
      <c r="F63" s="200" t="n">
        <v>4738</v>
      </c>
      <c r="G63" s="200" t="n">
        <v>0</v>
      </c>
      <c r="H63" s="205" t="n">
        <v>0</v>
      </c>
      <c r="I63" s="200" t="n">
        <v>8787</v>
      </c>
      <c r="J63" s="200" t="n">
        <v>13</v>
      </c>
      <c r="K63" s="213" t="n">
        <f aca="false">I63/J63*100</f>
        <v>67592.3076923077</v>
      </c>
      <c r="L63" s="225" t="n">
        <v>8782</v>
      </c>
      <c r="M63" s="200" t="n">
        <v>0</v>
      </c>
      <c r="N63" s="205" t="n">
        <v>0</v>
      </c>
      <c r="O63" s="223" t="n">
        <v>39</v>
      </c>
      <c r="P63" s="223" t="n">
        <v>50</v>
      </c>
      <c r="Q63" s="223" t="n">
        <v>39</v>
      </c>
      <c r="R63" s="202" t="n">
        <f aca="false">O63*P63</f>
        <v>1950</v>
      </c>
    </row>
    <row r="64" customFormat="false" ht="15" hidden="false" customHeight="false" outlineLevel="0" collapsed="false">
      <c r="A64" s="224" t="n">
        <v>8</v>
      </c>
      <c r="B64" s="220" t="s">
        <v>64</v>
      </c>
      <c r="C64" s="226" t="n">
        <v>55000</v>
      </c>
      <c r="D64" s="200" t="n">
        <v>0</v>
      </c>
      <c r="E64" s="205" t="n">
        <v>0</v>
      </c>
      <c r="F64" s="200" t="n">
        <v>55000</v>
      </c>
      <c r="G64" s="227" t="n">
        <v>0</v>
      </c>
      <c r="H64" s="205" t="n">
        <v>0</v>
      </c>
      <c r="I64" s="200" t="n">
        <v>0</v>
      </c>
      <c r="J64" s="227" t="n">
        <v>0</v>
      </c>
      <c r="K64" s="205" t="n">
        <v>0</v>
      </c>
      <c r="L64" s="200" t="n">
        <v>0</v>
      </c>
      <c r="M64" s="227" t="n">
        <v>0</v>
      </c>
      <c r="N64" s="205" t="n">
        <v>0</v>
      </c>
      <c r="O64" s="223" t="n">
        <v>35</v>
      </c>
      <c r="P64" s="222" t="n">
        <v>80</v>
      </c>
      <c r="Q64" s="223" t="n">
        <v>35</v>
      </c>
      <c r="R64" s="202" t="n">
        <f aca="false">O64*P64</f>
        <v>2800</v>
      </c>
    </row>
    <row r="65" customFormat="false" ht="15" hidden="false" customHeight="false" outlineLevel="0" collapsed="false">
      <c r="A65" s="224" t="n">
        <v>9</v>
      </c>
      <c r="B65" s="220" t="s">
        <v>65</v>
      </c>
      <c r="C65" s="200" t="n">
        <v>0</v>
      </c>
      <c r="D65" s="200" t="n">
        <v>0</v>
      </c>
      <c r="E65" s="205" t="n">
        <v>0</v>
      </c>
      <c r="F65" s="200" t="n">
        <v>0</v>
      </c>
      <c r="G65" s="200" t="n">
        <v>0</v>
      </c>
      <c r="H65" s="205" t="n">
        <v>0</v>
      </c>
      <c r="I65" s="200" t="n">
        <v>0</v>
      </c>
      <c r="J65" s="200" t="n">
        <v>0</v>
      </c>
      <c r="K65" s="205" t="n">
        <v>0</v>
      </c>
      <c r="L65" s="200" t="n">
        <v>0</v>
      </c>
      <c r="M65" s="200" t="n">
        <v>0</v>
      </c>
      <c r="N65" s="205" t="n">
        <v>0</v>
      </c>
      <c r="O65" s="203" t="n">
        <v>0</v>
      </c>
      <c r="P65" s="204" t="n">
        <v>0</v>
      </c>
      <c r="Q65" s="203" t="n">
        <v>0</v>
      </c>
      <c r="R65" s="202" t="n">
        <f aca="false">O65*P65</f>
        <v>0</v>
      </c>
    </row>
    <row r="66" customFormat="false" ht="15" hidden="false" customHeight="false" outlineLevel="0" collapsed="false">
      <c r="A66" s="228" t="s">
        <v>66</v>
      </c>
      <c r="B66" s="228"/>
      <c r="C66" s="229" t="n">
        <f aca="false">SUM(C57:C65)</f>
        <v>179371</v>
      </c>
      <c r="D66" s="229" t="n">
        <f aca="false">SUM(D57:D65)</f>
        <v>172135</v>
      </c>
      <c r="E66" s="230" t="n">
        <f aca="false">C66/D66*100</f>
        <v>104.203677346269</v>
      </c>
      <c r="F66" s="229" t="n">
        <f aca="false">SUM(F57:F65)</f>
        <v>122826</v>
      </c>
      <c r="G66" s="229" t="n">
        <f aca="false">SUM(G57:G65)</f>
        <v>128173</v>
      </c>
      <c r="H66" s="230" t="n">
        <f aca="false">F66/G66*100</f>
        <v>95.8282945706194</v>
      </c>
      <c r="I66" s="231" t="n">
        <f aca="false">SUM(I57:I65)</f>
        <v>138269</v>
      </c>
      <c r="J66" s="229" t="n">
        <f aca="false">SUM(J57:J65)</f>
        <v>144937</v>
      </c>
      <c r="K66" s="230" t="n">
        <f aca="false">I66/J66*100</f>
        <v>95.3993804204585</v>
      </c>
      <c r="L66" s="229" t="n">
        <f aca="false">SUM(L57:L65)</f>
        <v>71487</v>
      </c>
      <c r="M66" s="229" t="n">
        <f aca="false">SUM(M57:M65)</f>
        <v>88411</v>
      </c>
      <c r="N66" s="230" t="n">
        <f aca="false">L66/M66*100</f>
        <v>80.8575855945527</v>
      </c>
      <c r="O66" s="231" t="n">
        <f aca="false">SUM(O57:O65)</f>
        <v>575</v>
      </c>
      <c r="P66" s="230" t="n">
        <f aca="false">R66/O66</f>
        <v>76.1321739130435</v>
      </c>
      <c r="Q66" s="231" t="n">
        <f aca="false">SUM(Q57:Q65)</f>
        <v>540</v>
      </c>
      <c r="R66" s="232" t="n">
        <f aca="false">SUM(R57:R65)</f>
        <v>43776</v>
      </c>
    </row>
    <row r="67" customFormat="false" ht="15" hidden="false" customHeight="false" outlineLevel="0" collapsed="false">
      <c r="A67" s="197"/>
      <c r="B67" s="233"/>
      <c r="C67" s="197"/>
      <c r="D67" s="197"/>
      <c r="E67" s="197"/>
      <c r="F67" s="197"/>
      <c r="G67" s="197"/>
      <c r="H67" s="197"/>
      <c r="I67" s="197"/>
      <c r="J67" s="197"/>
      <c r="K67" s="234"/>
      <c r="L67" s="197"/>
      <c r="M67" s="197"/>
      <c r="N67" s="197"/>
      <c r="O67" s="197"/>
      <c r="P67" s="235"/>
      <c r="Q67" s="197"/>
      <c r="R67" s="197"/>
    </row>
    <row r="68" customFormat="false" ht="15" hidden="false" customHeight="false" outlineLevel="0" collapsed="false">
      <c r="A68" s="195" t="s">
        <v>67</v>
      </c>
      <c r="B68" s="195"/>
      <c r="C68" s="195" t="n">
        <v>3</v>
      </c>
      <c r="D68" s="195" t="n">
        <v>4</v>
      </c>
      <c r="E68" s="196" t="n">
        <v>5</v>
      </c>
      <c r="F68" s="195" t="n">
        <v>6</v>
      </c>
      <c r="G68" s="195" t="n">
        <v>7</v>
      </c>
      <c r="H68" s="195" t="n">
        <v>8</v>
      </c>
      <c r="I68" s="195" t="n">
        <v>9</v>
      </c>
      <c r="J68" s="195" t="n">
        <v>10</v>
      </c>
      <c r="K68" s="195" t="n">
        <v>11</v>
      </c>
      <c r="L68" s="195" t="n">
        <v>12</v>
      </c>
      <c r="M68" s="195" t="n">
        <v>13</v>
      </c>
      <c r="N68" s="195" t="n">
        <v>14</v>
      </c>
      <c r="O68" s="195" t="n">
        <v>15</v>
      </c>
      <c r="P68" s="196" t="n">
        <v>16</v>
      </c>
      <c r="Q68" s="195" t="n">
        <v>15</v>
      </c>
      <c r="R68" s="197"/>
    </row>
    <row r="69" customFormat="false" ht="15" hidden="false" customHeight="false" outlineLevel="0" collapsed="false">
      <c r="A69" s="198" t="n">
        <v>1</v>
      </c>
      <c r="B69" s="199" t="s">
        <v>68</v>
      </c>
      <c r="C69" s="203" t="n">
        <v>818</v>
      </c>
      <c r="D69" s="203" t="n">
        <v>39618</v>
      </c>
      <c r="E69" s="205" t="n">
        <f aca="false">C69/D69*100</f>
        <v>2.06471805744863</v>
      </c>
      <c r="F69" s="203" t="n">
        <v>818</v>
      </c>
      <c r="G69" s="203" t="n">
        <v>39618</v>
      </c>
      <c r="H69" s="205" t="n">
        <f aca="false">F69/G69*100</f>
        <v>2.06471805744863</v>
      </c>
      <c r="I69" s="203" t="n">
        <v>900</v>
      </c>
      <c r="J69" s="203" t="n">
        <v>44523</v>
      </c>
      <c r="K69" s="205" t="n">
        <f aca="false">I69/J69*100</f>
        <v>2.02142712755205</v>
      </c>
      <c r="L69" s="203" t="n">
        <v>0</v>
      </c>
      <c r="M69" s="203" t="n">
        <v>38608</v>
      </c>
      <c r="N69" s="205" t="n">
        <f aca="false">L69/M69*100</f>
        <v>0</v>
      </c>
      <c r="O69" s="203" t="n">
        <v>148</v>
      </c>
      <c r="P69" s="219" t="n">
        <v>55</v>
      </c>
      <c r="Q69" s="203" t="n">
        <v>154</v>
      </c>
      <c r="R69" s="202" t="n">
        <f aca="false">O69*P69</f>
        <v>8140</v>
      </c>
    </row>
    <row r="70" customFormat="false" ht="15" hidden="false" customHeight="false" outlineLevel="0" collapsed="false">
      <c r="A70" s="198" t="n">
        <v>2</v>
      </c>
      <c r="B70" s="199" t="s">
        <v>69</v>
      </c>
      <c r="C70" s="208" t="n">
        <v>94967</v>
      </c>
      <c r="D70" s="208" t="n">
        <v>64931</v>
      </c>
      <c r="E70" s="214" t="n">
        <f aca="false">C70/D70*100</f>
        <v>146.258335771819</v>
      </c>
      <c r="F70" s="208" t="n">
        <v>31872</v>
      </c>
      <c r="G70" s="208" t="n">
        <v>31429</v>
      </c>
      <c r="H70" s="214" t="n">
        <f aca="false">F70/G70*100</f>
        <v>101.409526233733</v>
      </c>
      <c r="I70" s="208" t="n">
        <v>95299</v>
      </c>
      <c r="J70" s="208" t="n">
        <v>64971</v>
      </c>
      <c r="K70" s="214" t="n">
        <f aca="false">I70/J70*100</f>
        <v>146.679287682197</v>
      </c>
      <c r="L70" s="208" t="n">
        <v>95299</v>
      </c>
      <c r="M70" s="208" t="n">
        <v>64971</v>
      </c>
      <c r="N70" s="214" t="n">
        <f aca="false">L70/M70*100</f>
        <v>146.679287682197</v>
      </c>
      <c r="O70" s="203" t="n">
        <v>24</v>
      </c>
      <c r="P70" s="204" t="n">
        <v>135</v>
      </c>
      <c r="Q70" s="203" t="n">
        <v>24</v>
      </c>
      <c r="R70" s="202" t="n">
        <f aca="false">O70*P70</f>
        <v>3240</v>
      </c>
    </row>
    <row r="71" customFormat="false" ht="15" hidden="false" customHeight="false" outlineLevel="0" collapsed="false">
      <c r="A71" s="198" t="n">
        <v>3</v>
      </c>
      <c r="B71" s="199" t="s">
        <v>70</v>
      </c>
      <c r="C71" s="203" t="n">
        <v>269</v>
      </c>
      <c r="D71" s="203" t="n">
        <v>16034</v>
      </c>
      <c r="E71" s="214" t="n">
        <f aca="false">C71/D71*100</f>
        <v>1.67768491954597</v>
      </c>
      <c r="F71" s="203" t="n">
        <v>269</v>
      </c>
      <c r="G71" s="203" t="n">
        <v>0</v>
      </c>
      <c r="H71" s="214" t="e">
        <f aca="false">F71/G71*100</f>
        <v>#DIV/0!</v>
      </c>
      <c r="I71" s="203" t="n">
        <v>648</v>
      </c>
      <c r="J71" s="203" t="n">
        <v>16096</v>
      </c>
      <c r="K71" s="214" t="n">
        <f aca="false">I71/J71*100</f>
        <v>4.0258449304175</v>
      </c>
      <c r="L71" s="203" t="n">
        <v>0</v>
      </c>
      <c r="M71" s="203" t="n">
        <v>0</v>
      </c>
      <c r="N71" s="214" t="e">
        <f aca="false">L71/M71*100</f>
        <v>#DIV/0!</v>
      </c>
      <c r="O71" s="203" t="n">
        <v>26</v>
      </c>
      <c r="P71" s="219" t="n">
        <v>51</v>
      </c>
      <c r="Q71" s="203" t="n">
        <v>29</v>
      </c>
      <c r="R71" s="202" t="n">
        <f aca="false">O71*P71</f>
        <v>1326</v>
      </c>
    </row>
    <row r="72" customFormat="false" ht="15" hidden="false" customHeight="false" outlineLevel="0" collapsed="false">
      <c r="A72" s="198" t="n">
        <v>4</v>
      </c>
      <c r="B72" s="199" t="s">
        <v>71</v>
      </c>
      <c r="C72" s="203" t="n">
        <v>15652</v>
      </c>
      <c r="D72" s="203" t="n">
        <v>3130</v>
      </c>
      <c r="E72" s="214" t="n">
        <f aca="false">C72/D72*100</f>
        <v>500.063897763578</v>
      </c>
      <c r="F72" s="203" t="n">
        <v>947</v>
      </c>
      <c r="G72" s="203" t="n">
        <v>1968</v>
      </c>
      <c r="H72" s="214" t="n">
        <f aca="false">F72/G72*100</f>
        <v>48.119918699187</v>
      </c>
      <c r="I72" s="203" t="n">
        <v>2675</v>
      </c>
      <c r="J72" s="203" t="n">
        <v>5454</v>
      </c>
      <c r="K72" s="214" t="n">
        <f aca="false">I72/J72*100</f>
        <v>49.046571323799</v>
      </c>
      <c r="L72" s="203" t="n">
        <v>0</v>
      </c>
      <c r="M72" s="203" t="n">
        <v>0</v>
      </c>
      <c r="N72" s="214" t="n">
        <v>0</v>
      </c>
      <c r="O72" s="203" t="n">
        <v>67</v>
      </c>
      <c r="P72" s="236" t="n">
        <v>50</v>
      </c>
      <c r="Q72" s="203" t="n">
        <v>73</v>
      </c>
      <c r="R72" s="202" t="n">
        <f aca="false">O72*P72</f>
        <v>3350</v>
      </c>
    </row>
    <row r="73" customFormat="false" ht="15" hidden="false" customHeight="false" outlineLevel="0" collapsed="false">
      <c r="A73" s="198" t="n">
        <v>5</v>
      </c>
      <c r="B73" s="199" t="s">
        <v>72</v>
      </c>
      <c r="C73" s="203" t="n">
        <v>200</v>
      </c>
      <c r="D73" s="203" t="n">
        <v>25</v>
      </c>
      <c r="E73" s="214" t="n">
        <f aca="false">C73/D73*100</f>
        <v>800</v>
      </c>
      <c r="F73" s="203" t="n">
        <v>125</v>
      </c>
      <c r="G73" s="203" t="n">
        <v>0</v>
      </c>
      <c r="H73" s="192" t="e">
        <f aca="false">F73/G73*100</f>
        <v>#DIV/0!</v>
      </c>
      <c r="I73" s="203" t="n">
        <v>200</v>
      </c>
      <c r="J73" s="203" t="n">
        <v>130</v>
      </c>
      <c r="K73" s="214" t="n">
        <f aca="false">I73/J73*100</f>
        <v>153.846153846154</v>
      </c>
      <c r="L73" s="203" t="n">
        <v>0</v>
      </c>
      <c r="M73" s="203" t="n">
        <v>0</v>
      </c>
      <c r="N73" s="214" t="e">
        <f aca="false">L73/M73*100</f>
        <v>#DIV/0!</v>
      </c>
      <c r="O73" s="203" t="n">
        <v>69</v>
      </c>
      <c r="P73" s="219" t="n">
        <v>100</v>
      </c>
      <c r="Q73" s="203" t="n">
        <v>69</v>
      </c>
      <c r="R73" s="202" t="n">
        <f aca="false">O73*P73</f>
        <v>6900</v>
      </c>
    </row>
    <row r="74" s="211" customFormat="true" ht="15" hidden="false" customHeight="false" outlineLevel="0" collapsed="false">
      <c r="A74" s="210" t="n">
        <v>6</v>
      </c>
      <c r="B74" s="199" t="s">
        <v>73</v>
      </c>
      <c r="C74" s="203" t="n">
        <v>2050</v>
      </c>
      <c r="D74" s="203" t="n">
        <v>511</v>
      </c>
      <c r="E74" s="214" t="n">
        <f aca="false">C74/D74*100</f>
        <v>401.174168297456</v>
      </c>
      <c r="F74" s="203" t="n">
        <v>0</v>
      </c>
      <c r="G74" s="203" t="n">
        <v>145</v>
      </c>
      <c r="H74" s="214" t="n">
        <f aca="false">F74/G74*100</f>
        <v>0</v>
      </c>
      <c r="I74" s="203" t="n">
        <v>20584</v>
      </c>
      <c r="J74" s="203" t="n">
        <v>673</v>
      </c>
      <c r="K74" s="214" t="n">
        <f aca="false">I74/J74*100</f>
        <v>3058.54383358098</v>
      </c>
      <c r="L74" s="203" t="n">
        <v>28</v>
      </c>
      <c r="M74" s="203" t="n">
        <v>0</v>
      </c>
      <c r="N74" s="214" t="e">
        <f aca="false">L74/M74*100</f>
        <v>#DIV/0!</v>
      </c>
      <c r="O74" s="203" t="n">
        <v>13</v>
      </c>
      <c r="P74" s="219" t="n">
        <v>85</v>
      </c>
      <c r="Q74" s="203" t="n">
        <v>12</v>
      </c>
      <c r="R74" s="202" t="n">
        <f aca="false">O74*P74</f>
        <v>1105</v>
      </c>
    </row>
    <row r="75" customFormat="false" ht="15" hidden="false" customHeight="false" outlineLevel="0" collapsed="false">
      <c r="A75" s="198" t="n">
        <v>7</v>
      </c>
      <c r="B75" s="199" t="s">
        <v>74</v>
      </c>
      <c r="C75" s="203" t="n">
        <v>81057</v>
      </c>
      <c r="D75" s="203" t="n">
        <v>117910</v>
      </c>
      <c r="E75" s="214" t="n">
        <f aca="false">C75/D75*100</f>
        <v>68.7448053600204</v>
      </c>
      <c r="F75" s="203" t="n">
        <v>55448</v>
      </c>
      <c r="G75" s="203" t="n">
        <v>33932</v>
      </c>
      <c r="H75" s="214" t="n">
        <f aca="false">F75/G75*100</f>
        <v>163.409171283744</v>
      </c>
      <c r="I75" s="203" t="n">
        <v>111991</v>
      </c>
      <c r="J75" s="203" t="n">
        <v>112562</v>
      </c>
      <c r="K75" s="214" t="n">
        <f aca="false">I75/J75*100</f>
        <v>99.492724009879</v>
      </c>
      <c r="L75" s="203" t="n">
        <v>15674</v>
      </c>
      <c r="M75" s="203" t="n">
        <v>24844</v>
      </c>
      <c r="N75" s="214" t="n">
        <f aca="false">L75/M75*100</f>
        <v>63.0896796007084</v>
      </c>
      <c r="O75" s="203" t="n">
        <v>140</v>
      </c>
      <c r="P75" s="204" t="n">
        <v>200</v>
      </c>
      <c r="Q75" s="203" t="n">
        <v>140</v>
      </c>
      <c r="R75" s="202" t="n">
        <f aca="false">O75*P75</f>
        <v>28000</v>
      </c>
    </row>
    <row r="76" customFormat="false" ht="15" hidden="false" customHeight="false" outlineLevel="0" collapsed="false">
      <c r="A76" s="198" t="n">
        <v>8</v>
      </c>
      <c r="B76" s="199" t="s">
        <v>75</v>
      </c>
      <c r="C76" s="203" t="n">
        <v>15384</v>
      </c>
      <c r="D76" s="203" t="n">
        <v>800</v>
      </c>
      <c r="E76" s="214" t="n">
        <f aca="false">C76/D76*100</f>
        <v>1923</v>
      </c>
      <c r="F76" s="203" t="n">
        <v>15384</v>
      </c>
      <c r="G76" s="203" t="n">
        <v>800</v>
      </c>
      <c r="H76" s="214" t="n">
        <f aca="false">F76/G76*100</f>
        <v>1923</v>
      </c>
      <c r="I76" s="203" t="n">
        <v>14822</v>
      </c>
      <c r="J76" s="203" t="n">
        <v>880</v>
      </c>
      <c r="K76" s="214" t="n">
        <f aca="false">I76/J76*100</f>
        <v>1684.31818181818</v>
      </c>
      <c r="L76" s="203" t="n">
        <v>0</v>
      </c>
      <c r="M76" s="203" t="n">
        <v>0</v>
      </c>
      <c r="N76" s="214" t="n">
        <v>0</v>
      </c>
      <c r="O76" s="203" t="n">
        <v>33</v>
      </c>
      <c r="P76" s="219" t="n">
        <v>40</v>
      </c>
      <c r="Q76" s="203" t="n">
        <v>32</v>
      </c>
      <c r="R76" s="202" t="n">
        <f aca="false">O76*P76</f>
        <v>1320</v>
      </c>
    </row>
    <row r="77" customFormat="false" ht="15" hidden="false" customHeight="false" outlineLevel="0" collapsed="false">
      <c r="A77" s="215" t="s">
        <v>76</v>
      </c>
      <c r="B77" s="215" t="s">
        <v>77</v>
      </c>
      <c r="C77" s="216" t="n">
        <f aca="false">SUM(C69:C76)</f>
        <v>210397</v>
      </c>
      <c r="D77" s="216" t="n">
        <f aca="false">SUM(D69:D76)</f>
        <v>242959</v>
      </c>
      <c r="E77" s="217" t="n">
        <f aca="false">C77/D77*100</f>
        <v>86.5977387131162</v>
      </c>
      <c r="F77" s="216" t="n">
        <f aca="false">SUM(F69:F76)</f>
        <v>104863</v>
      </c>
      <c r="G77" s="216" t="n">
        <f aca="false">SUM(G69:G76)</f>
        <v>107892</v>
      </c>
      <c r="H77" s="217" t="n">
        <f aca="false">F77/G77*100</f>
        <v>97.1925629333037</v>
      </c>
      <c r="I77" s="216" t="n">
        <f aca="false">SUM(I69:I76)</f>
        <v>247119</v>
      </c>
      <c r="J77" s="216" t="n">
        <f aca="false">SUM(J69:J76)</f>
        <v>245289</v>
      </c>
      <c r="K77" s="217" t="n">
        <f aca="false">I77/J77*100</f>
        <v>100.746058730722</v>
      </c>
      <c r="L77" s="216" t="n">
        <f aca="false">SUM(L69:L76)</f>
        <v>111001</v>
      </c>
      <c r="M77" s="216" t="n">
        <f aca="false">SUM(M69:M76)</f>
        <v>128423</v>
      </c>
      <c r="N77" s="237" t="n">
        <f aca="false">L77/M77*100</f>
        <v>86.4338942401283</v>
      </c>
      <c r="O77" s="216" t="n">
        <f aca="false">SUM(O69:O76)</f>
        <v>520</v>
      </c>
      <c r="P77" s="217" t="n">
        <f aca="false">R77/O77</f>
        <v>102.655769230769</v>
      </c>
      <c r="Q77" s="216" t="n">
        <f aca="false">SUM(Q69:Q76)</f>
        <v>533</v>
      </c>
      <c r="R77" s="232" t="n">
        <f aca="false">SUM(R69:R76)</f>
        <v>53381</v>
      </c>
    </row>
    <row r="78" customFormat="false" ht="15" hidden="false" customHeight="false" outlineLevel="0" collapsed="false">
      <c r="A78" s="238" t="s">
        <v>78</v>
      </c>
      <c r="B78" s="238" t="s">
        <v>78</v>
      </c>
      <c r="C78" s="239" t="n">
        <f aca="false">C54+C66+C77</f>
        <v>676995</v>
      </c>
      <c r="D78" s="239" t="n">
        <f aca="false">D54+D66+D77</f>
        <v>798053</v>
      </c>
      <c r="E78" s="240" t="n">
        <f aca="false">C78/D78*100</f>
        <v>84.8308320374712</v>
      </c>
      <c r="F78" s="239" t="n">
        <f aca="false">F54+F66+F77</f>
        <v>421213</v>
      </c>
      <c r="G78" s="239" t="n">
        <f aca="false">G54+G66+G77</f>
        <v>447069</v>
      </c>
      <c r="H78" s="240" t="n">
        <f aca="false">F78/G78*100</f>
        <v>94.2165527021556</v>
      </c>
      <c r="I78" s="239" t="n">
        <f aca="false">I54+I66+I77</f>
        <v>661524</v>
      </c>
      <c r="J78" s="239" t="n">
        <f aca="false">J54+J66+J77</f>
        <v>763424</v>
      </c>
      <c r="K78" s="240" t="n">
        <f aca="false">I78/J78*100</f>
        <v>86.6522404325774</v>
      </c>
      <c r="L78" s="239" t="n">
        <f aca="false">L54+L66+L77</f>
        <v>311979</v>
      </c>
      <c r="M78" s="239" t="n">
        <f aca="false">M54+M66+M77</f>
        <v>442679</v>
      </c>
      <c r="N78" s="240" t="n">
        <f aca="false">L78/M78*100</f>
        <v>70.4752201934133</v>
      </c>
      <c r="O78" s="239" t="n">
        <f aca="false">O54+O66+O77</f>
        <v>1866</v>
      </c>
      <c r="P78" s="240" t="n">
        <f aca="false">R78/O78</f>
        <v>92.4292604501608</v>
      </c>
      <c r="Q78" s="239" t="n">
        <f aca="false">Q54+Q66+Q77</f>
        <v>1782</v>
      </c>
      <c r="R78" s="241" t="n">
        <f aca="false">R54+R66+R77</f>
        <v>172473</v>
      </c>
    </row>
    <row r="79" customFormat="false" ht="15" hidden="false" customHeight="false" outlineLevel="0" collapsed="false">
      <c r="A79" s="203"/>
      <c r="B79" s="218"/>
      <c r="C79" s="203"/>
      <c r="D79" s="203"/>
      <c r="E79" s="203"/>
      <c r="F79" s="203"/>
      <c r="G79" s="203"/>
      <c r="H79" s="203"/>
      <c r="I79" s="203"/>
      <c r="J79" s="203"/>
      <c r="K79" s="192"/>
      <c r="L79" s="203"/>
      <c r="M79" s="203"/>
      <c r="N79" s="203"/>
      <c r="O79" s="203"/>
      <c r="P79" s="219"/>
      <c r="Q79" s="203"/>
      <c r="R79" s="197"/>
    </row>
    <row r="80" customFormat="false" ht="15" hidden="false" customHeight="false" outlineLevel="0" collapsed="false">
      <c r="A80" s="190" t="s">
        <v>79</v>
      </c>
      <c r="B80" s="190"/>
      <c r="C80" s="195" t="n">
        <v>3</v>
      </c>
      <c r="D80" s="195" t="n">
        <v>4</v>
      </c>
      <c r="E80" s="196" t="n">
        <v>5</v>
      </c>
      <c r="F80" s="195" t="n">
        <v>6</v>
      </c>
      <c r="G80" s="195" t="n">
        <v>7</v>
      </c>
      <c r="H80" s="195" t="n">
        <v>8</v>
      </c>
      <c r="I80" s="195" t="n">
        <v>9</v>
      </c>
      <c r="J80" s="195" t="n">
        <v>10</v>
      </c>
      <c r="K80" s="195" t="n">
        <v>11</v>
      </c>
      <c r="L80" s="195" t="n">
        <v>12</v>
      </c>
      <c r="M80" s="195" t="n">
        <v>13</v>
      </c>
      <c r="N80" s="195" t="n">
        <v>14</v>
      </c>
      <c r="O80" s="195" t="n">
        <v>15</v>
      </c>
      <c r="P80" s="196" t="n">
        <v>16</v>
      </c>
      <c r="Q80" s="195" t="n">
        <v>15</v>
      </c>
      <c r="R80" s="197"/>
    </row>
    <row r="81" customFormat="false" ht="15" hidden="false" customHeight="false" outlineLevel="0" collapsed="false">
      <c r="A81" s="242" t="n">
        <v>1</v>
      </c>
      <c r="B81" s="243" t="s">
        <v>80</v>
      </c>
      <c r="C81" s="208" t="n">
        <v>595</v>
      </c>
      <c r="D81" s="208" t="n">
        <v>208</v>
      </c>
      <c r="E81" s="214" t="n">
        <f aca="false">C81/D81*100</f>
        <v>286.057692307692</v>
      </c>
      <c r="F81" s="208" t="n">
        <v>354</v>
      </c>
      <c r="G81" s="208" t="n">
        <v>170</v>
      </c>
      <c r="H81" s="214" t="n">
        <f aca="false">F81/G81*100</f>
        <v>208.235294117647</v>
      </c>
      <c r="I81" s="208" t="n">
        <v>595</v>
      </c>
      <c r="J81" s="208" t="n">
        <v>208</v>
      </c>
      <c r="K81" s="214" t="n">
        <f aca="false">I81/J81*100</f>
        <v>286.057692307692</v>
      </c>
      <c r="L81" s="203" t="n">
        <v>0</v>
      </c>
      <c r="M81" s="208" t="n">
        <v>0</v>
      </c>
      <c r="N81" s="214" t="n">
        <v>0</v>
      </c>
      <c r="O81" s="203" t="n">
        <v>2685</v>
      </c>
      <c r="P81" s="208" t="n">
        <v>113</v>
      </c>
      <c r="Q81" s="203" t="n">
        <v>2685</v>
      </c>
      <c r="R81" s="202" t="n">
        <f aca="false">O81*P81</f>
        <v>303405</v>
      </c>
    </row>
    <row r="82" customFormat="false" ht="15" hidden="false" customHeight="false" outlineLevel="0" collapsed="false">
      <c r="A82" s="244" t="n">
        <v>2</v>
      </c>
      <c r="B82" s="243" t="s">
        <v>81</v>
      </c>
      <c r="C82" s="208" t="n">
        <v>144217</v>
      </c>
      <c r="D82" s="208" t="n">
        <v>73361</v>
      </c>
      <c r="E82" s="214" t="n">
        <f aca="false">C82/D82*100</f>
        <v>196.585379152411</v>
      </c>
      <c r="F82" s="208" t="n">
        <v>71575</v>
      </c>
      <c r="G82" s="208" t="n">
        <v>17984</v>
      </c>
      <c r="H82" s="214" t="n">
        <f aca="false">F82/G82*100</f>
        <v>397.992660142349</v>
      </c>
      <c r="I82" s="208" t="n">
        <v>157782</v>
      </c>
      <c r="J82" s="208" t="n">
        <v>123073</v>
      </c>
      <c r="K82" s="214" t="n">
        <f aca="false">I82/J82*100</f>
        <v>128.201961437521</v>
      </c>
      <c r="L82" s="208" t="n">
        <v>156699</v>
      </c>
      <c r="M82" s="208" t="n">
        <v>122609</v>
      </c>
      <c r="N82" s="214" t="n">
        <f aca="false">L82/M82*100</f>
        <v>127.803831692616</v>
      </c>
      <c r="O82" s="203" t="n">
        <v>814</v>
      </c>
      <c r="P82" s="208" t="n">
        <v>130</v>
      </c>
      <c r="Q82" s="203" t="n">
        <v>822</v>
      </c>
      <c r="R82" s="202" t="n">
        <f aca="false">O82*P82</f>
        <v>105820</v>
      </c>
    </row>
    <row r="83" customFormat="false" ht="15" hidden="false" customHeight="false" outlineLevel="0" collapsed="false">
      <c r="A83" s="242" t="n">
        <v>3</v>
      </c>
      <c r="B83" s="243" t="s">
        <v>82</v>
      </c>
      <c r="C83" s="208" t="n">
        <v>178641</v>
      </c>
      <c r="D83" s="208" t="n">
        <v>66995</v>
      </c>
      <c r="E83" s="214" t="n">
        <f aca="false">C83/D83*100</f>
        <v>266.648257332637</v>
      </c>
      <c r="F83" s="208" t="n">
        <v>92906</v>
      </c>
      <c r="G83" s="208" t="n">
        <v>63761</v>
      </c>
      <c r="H83" s="214" t="n">
        <f aca="false">F83/G83*100</f>
        <v>145.709759884569</v>
      </c>
      <c r="I83" s="208" t="n">
        <v>199286</v>
      </c>
      <c r="J83" s="208" t="n">
        <v>127468</v>
      </c>
      <c r="K83" s="214" t="n">
        <f aca="false">I83/J83*100</f>
        <v>156.341983870462</v>
      </c>
      <c r="L83" s="208" t="n">
        <v>67339</v>
      </c>
      <c r="M83" s="208" t="n">
        <v>10918</v>
      </c>
      <c r="N83" s="214" t="n">
        <f aca="false">L83/M83*100</f>
        <v>616.770470782195</v>
      </c>
      <c r="O83" s="203" t="n">
        <v>24</v>
      </c>
      <c r="P83" s="208" t="n">
        <v>306</v>
      </c>
      <c r="Q83" s="203" t="n">
        <v>24</v>
      </c>
      <c r="R83" s="202" t="n">
        <f aca="false">O83*P83</f>
        <v>7344</v>
      </c>
    </row>
    <row r="84" customFormat="false" ht="15" hidden="false" customHeight="false" outlineLevel="0" collapsed="false">
      <c r="A84" s="244" t="n">
        <v>4</v>
      </c>
      <c r="B84" s="243" t="s">
        <v>83</v>
      </c>
      <c r="C84" s="208" t="n">
        <v>126992</v>
      </c>
      <c r="D84" s="208" t="n">
        <v>130763</v>
      </c>
      <c r="E84" s="214" t="n">
        <f aca="false">C84/D84*100</f>
        <v>97.1161567109962</v>
      </c>
      <c r="F84" s="208" t="n">
        <v>63625</v>
      </c>
      <c r="G84" s="208" t="n">
        <v>69038</v>
      </c>
      <c r="H84" s="214" t="n">
        <f aca="false">F84/G84*100</f>
        <v>92.1593904806049</v>
      </c>
      <c r="I84" s="208" t="n">
        <v>72917</v>
      </c>
      <c r="J84" s="208" t="n">
        <v>122240</v>
      </c>
      <c r="K84" s="214" t="n">
        <f aca="false">I84/J84*100</f>
        <v>59.6506871727749</v>
      </c>
      <c r="L84" s="203" t="n">
        <v>27140</v>
      </c>
      <c r="M84" s="208" t="n">
        <v>86122</v>
      </c>
      <c r="N84" s="214" t="n">
        <f aca="false">L84/M84*100</f>
        <v>31.5134344302269</v>
      </c>
      <c r="O84" s="203" t="n">
        <v>196</v>
      </c>
      <c r="P84" s="208" t="n">
        <v>40</v>
      </c>
      <c r="Q84" s="203" t="n">
        <v>196</v>
      </c>
      <c r="R84" s="202" t="n">
        <f aca="false">O84*P84</f>
        <v>7840</v>
      </c>
    </row>
    <row r="85" customFormat="false" ht="15" hidden="false" customHeight="false" outlineLevel="0" collapsed="false">
      <c r="A85" s="242" t="n">
        <v>5</v>
      </c>
      <c r="B85" s="243" t="s">
        <v>84</v>
      </c>
      <c r="C85" s="219" t="n">
        <v>59778</v>
      </c>
      <c r="D85" s="219" t="n">
        <v>33141</v>
      </c>
      <c r="E85" s="214" t="n">
        <f aca="false">C85/D85*100</f>
        <v>180.374762378926</v>
      </c>
      <c r="F85" s="219" t="n">
        <v>27799</v>
      </c>
      <c r="G85" s="219" t="n">
        <v>20374</v>
      </c>
      <c r="H85" s="214" t="n">
        <f aca="false">F85/G85*100</f>
        <v>136.443506429763</v>
      </c>
      <c r="I85" s="219" t="n">
        <v>58349</v>
      </c>
      <c r="J85" s="219" t="n">
        <v>33645</v>
      </c>
      <c r="K85" s="214" t="n">
        <f aca="false">I85/J85*100</f>
        <v>173.425471838312</v>
      </c>
      <c r="L85" s="203" t="n">
        <v>33397</v>
      </c>
      <c r="M85" s="219" t="n">
        <v>12960</v>
      </c>
      <c r="N85" s="214" t="n">
        <f aca="false">L85/M85*100</f>
        <v>257.692901234568</v>
      </c>
      <c r="O85" s="203" t="n">
        <v>99</v>
      </c>
      <c r="P85" s="219" t="n">
        <v>58</v>
      </c>
      <c r="Q85" s="203" t="n">
        <v>98</v>
      </c>
      <c r="R85" s="202" t="n">
        <f aca="false">O85*P85</f>
        <v>5742</v>
      </c>
    </row>
    <row r="86" customFormat="false" ht="15" hidden="false" customHeight="false" outlineLevel="0" collapsed="false">
      <c r="A86" s="244" t="n">
        <v>6</v>
      </c>
      <c r="B86" s="243" t="s">
        <v>85</v>
      </c>
      <c r="C86" s="200" t="n">
        <v>0</v>
      </c>
      <c r="D86" s="200" t="n">
        <v>0</v>
      </c>
      <c r="E86" s="205" t="n">
        <v>0</v>
      </c>
      <c r="F86" s="200" t="n">
        <v>0</v>
      </c>
      <c r="G86" s="200" t="n">
        <v>0</v>
      </c>
      <c r="H86" s="205" t="n">
        <v>0</v>
      </c>
      <c r="I86" s="200" t="n">
        <v>0</v>
      </c>
      <c r="J86" s="200" t="n">
        <v>0</v>
      </c>
      <c r="K86" s="205" t="n">
        <v>0</v>
      </c>
      <c r="L86" s="200" t="n">
        <v>0</v>
      </c>
      <c r="M86" s="200" t="n">
        <v>0</v>
      </c>
      <c r="N86" s="214" t="n">
        <v>0</v>
      </c>
      <c r="O86" s="203" t="n">
        <v>0</v>
      </c>
      <c r="P86" s="204" t="n">
        <v>0</v>
      </c>
      <c r="Q86" s="203" t="n">
        <v>0</v>
      </c>
      <c r="R86" s="202" t="n">
        <f aca="false">O86*P86</f>
        <v>0</v>
      </c>
    </row>
    <row r="87" customFormat="false" ht="15" hidden="false" customHeight="false" outlineLevel="0" collapsed="false">
      <c r="A87" s="242" t="n">
        <v>7</v>
      </c>
      <c r="B87" s="243" t="s">
        <v>86</v>
      </c>
      <c r="C87" s="208" t="n">
        <v>0</v>
      </c>
      <c r="D87" s="219" t="n">
        <v>0</v>
      </c>
      <c r="E87" s="214" t="n">
        <v>0</v>
      </c>
      <c r="F87" s="208" t="n">
        <v>0</v>
      </c>
      <c r="G87" s="219" t="n">
        <v>0</v>
      </c>
      <c r="H87" s="214" t="n">
        <v>0</v>
      </c>
      <c r="I87" s="208" t="n">
        <v>0</v>
      </c>
      <c r="J87" s="219" t="n">
        <v>0</v>
      </c>
      <c r="K87" s="214" t="n">
        <v>0</v>
      </c>
      <c r="L87" s="203" t="n">
        <v>0</v>
      </c>
      <c r="M87" s="219" t="n">
        <v>0</v>
      </c>
      <c r="N87" s="214" t="n">
        <v>0</v>
      </c>
      <c r="O87" s="203" t="n">
        <v>8</v>
      </c>
      <c r="P87" s="208" t="n">
        <v>73</v>
      </c>
      <c r="Q87" s="203" t="n">
        <v>8</v>
      </c>
      <c r="R87" s="202" t="n">
        <f aca="false">O87*P87</f>
        <v>584</v>
      </c>
    </row>
    <row r="88" customFormat="false" ht="15" hidden="false" customHeight="false" outlineLevel="0" collapsed="false">
      <c r="A88" s="244" t="n">
        <v>8</v>
      </c>
      <c r="B88" s="245" t="s">
        <v>87</v>
      </c>
      <c r="C88" s="219" t="n">
        <v>53989</v>
      </c>
      <c r="D88" s="219" t="n">
        <v>50155</v>
      </c>
      <c r="E88" s="214" t="n">
        <f aca="false">C88/D88*100</f>
        <v>107.644302661749</v>
      </c>
      <c r="F88" s="219" t="n">
        <v>23219</v>
      </c>
      <c r="G88" s="219" t="n">
        <v>34792</v>
      </c>
      <c r="H88" s="214" t="n">
        <f aca="false">F88/G88*100</f>
        <v>66.7366061163486</v>
      </c>
      <c r="I88" s="219" t="n">
        <v>52124</v>
      </c>
      <c r="J88" s="219" t="n">
        <v>80521</v>
      </c>
      <c r="K88" s="214" t="n">
        <f aca="false">I88/J88*100</f>
        <v>64.7334235789421</v>
      </c>
      <c r="L88" s="203" t="n">
        <v>13696</v>
      </c>
      <c r="M88" s="219" t="n">
        <v>9928</v>
      </c>
      <c r="N88" s="214" t="n">
        <f aca="false">L88/M88*100</f>
        <v>137.95326349718</v>
      </c>
      <c r="O88" s="203" t="n">
        <v>76</v>
      </c>
      <c r="P88" s="208" t="n">
        <v>85</v>
      </c>
      <c r="Q88" s="203" t="n">
        <v>76</v>
      </c>
      <c r="R88" s="202" t="n">
        <f aca="false">O88*P88</f>
        <v>6460</v>
      </c>
    </row>
    <row r="89" customFormat="false" ht="15" hidden="false" customHeight="false" outlineLevel="0" collapsed="false">
      <c r="A89" s="242" t="n">
        <v>9</v>
      </c>
      <c r="B89" s="245" t="s">
        <v>88</v>
      </c>
      <c r="C89" s="208" t="n">
        <v>183655</v>
      </c>
      <c r="D89" s="208" t="n">
        <v>185467</v>
      </c>
      <c r="E89" s="214" t="n">
        <f aca="false">C89/D89*100</f>
        <v>99.0230067882696</v>
      </c>
      <c r="F89" s="208" t="n">
        <v>101613</v>
      </c>
      <c r="G89" s="208" t="n">
        <v>87133</v>
      </c>
      <c r="H89" s="214" t="n">
        <f aca="false">F89/G89*100</f>
        <v>116.618273214511</v>
      </c>
      <c r="I89" s="208" t="n">
        <v>180005</v>
      </c>
      <c r="J89" s="208" t="n">
        <v>183269</v>
      </c>
      <c r="K89" s="214" t="n">
        <f aca="false">I89/J89*100</f>
        <v>98.2190113985453</v>
      </c>
      <c r="L89" s="203" t="n">
        <v>0</v>
      </c>
      <c r="M89" s="208" t="n">
        <v>0</v>
      </c>
      <c r="N89" s="214" t="n">
        <v>0</v>
      </c>
      <c r="O89" s="203" t="n">
        <v>163</v>
      </c>
      <c r="P89" s="208" t="n">
        <v>145</v>
      </c>
      <c r="Q89" s="203" t="n">
        <v>163</v>
      </c>
      <c r="R89" s="202" t="n">
        <f aca="false">O89*P89</f>
        <v>23635</v>
      </c>
    </row>
    <row r="90" customFormat="false" ht="15" hidden="false" customHeight="false" outlineLevel="0" collapsed="false">
      <c r="A90" s="244" t="n">
        <v>10</v>
      </c>
      <c r="B90" s="243" t="s">
        <v>89</v>
      </c>
      <c r="C90" s="208" t="n">
        <v>170716</v>
      </c>
      <c r="D90" s="208" t="n">
        <v>169488</v>
      </c>
      <c r="E90" s="214" t="n">
        <f aca="false">C90/D90*100</f>
        <v>100.724535070329</v>
      </c>
      <c r="F90" s="208" t="n">
        <v>101652</v>
      </c>
      <c r="G90" s="208" t="n">
        <v>105024</v>
      </c>
      <c r="H90" s="214" t="n">
        <f aca="false">F90/G90*100</f>
        <v>96.7893053016453</v>
      </c>
      <c r="I90" s="208" t="n">
        <v>168716</v>
      </c>
      <c r="J90" s="208" t="n">
        <v>149482</v>
      </c>
      <c r="K90" s="214" t="n">
        <f aca="false">I90/J90*100</f>
        <v>112.867101055646</v>
      </c>
      <c r="L90" s="203" t="n">
        <f aca="false">4819+71831</f>
        <v>76650</v>
      </c>
      <c r="M90" s="208" t="n">
        <f aca="false">2456+40247</f>
        <v>42703</v>
      </c>
      <c r="N90" s="214" t="n">
        <f aca="false">L90/M90*100</f>
        <v>179.495585790226</v>
      </c>
      <c r="O90" s="203" t="n">
        <v>125</v>
      </c>
      <c r="P90" s="208" t="n">
        <v>165</v>
      </c>
      <c r="Q90" s="203" t="n">
        <v>124</v>
      </c>
      <c r="R90" s="202" t="n">
        <f aca="false">O90*P90</f>
        <v>20625</v>
      </c>
    </row>
    <row r="91" customFormat="false" ht="15" hidden="false" customHeight="false" outlineLevel="0" collapsed="false">
      <c r="A91" s="242" t="n">
        <v>11</v>
      </c>
      <c r="B91" s="243" t="s">
        <v>90</v>
      </c>
      <c r="C91" s="242" t="n">
        <v>55606</v>
      </c>
      <c r="D91" s="246" t="n">
        <v>42455</v>
      </c>
      <c r="E91" s="214" t="n">
        <f aca="false">C91/D91*100</f>
        <v>130.976327876575</v>
      </c>
      <c r="F91" s="208" t="n">
        <v>35976</v>
      </c>
      <c r="G91" s="208" t="n">
        <v>25612</v>
      </c>
      <c r="H91" s="214" t="n">
        <f aca="false">F91/G91*100</f>
        <v>140.465406840544</v>
      </c>
      <c r="I91" s="247" t="n">
        <v>526570</v>
      </c>
      <c r="J91" s="248" t="n">
        <v>432291</v>
      </c>
      <c r="K91" s="214" t="n">
        <f aca="false">I91/J91*100</f>
        <v>121.80915170568</v>
      </c>
      <c r="L91" s="247" t="n">
        <v>25277</v>
      </c>
      <c r="M91" s="248" t="n">
        <v>9322</v>
      </c>
      <c r="N91" s="214" t="n">
        <f aca="false">L91/M91*100</f>
        <v>271.154258742759</v>
      </c>
      <c r="O91" s="203" t="n">
        <v>51</v>
      </c>
      <c r="P91" s="208" t="n">
        <v>250</v>
      </c>
      <c r="Q91" s="203" t="n">
        <v>51</v>
      </c>
      <c r="R91" s="202" t="n">
        <f aca="false">O91*P91</f>
        <v>12750</v>
      </c>
    </row>
    <row r="92" customFormat="false" ht="15" hidden="false" customHeight="false" outlineLevel="0" collapsed="false">
      <c r="A92" s="215" t="s">
        <v>91</v>
      </c>
      <c r="B92" s="215" t="s">
        <v>92</v>
      </c>
      <c r="C92" s="237" t="n">
        <f aca="false">SUM(C81:C91)</f>
        <v>974189</v>
      </c>
      <c r="D92" s="237" t="n">
        <f aca="false">SUM(D81:D91)</f>
        <v>752033</v>
      </c>
      <c r="E92" s="217" t="n">
        <f aca="false">C92/D92*100</f>
        <v>129.540724941592</v>
      </c>
      <c r="F92" s="237" t="n">
        <f aca="false">SUM(F81:F91)</f>
        <v>518719</v>
      </c>
      <c r="G92" s="237" t="n">
        <f aca="false">SUM(G81:G91)</f>
        <v>423888</v>
      </c>
      <c r="H92" s="217" t="n">
        <f aca="false">F92/G92*100</f>
        <v>122.371711395463</v>
      </c>
      <c r="I92" s="237" t="n">
        <f aca="false">SUM(I81:I91)</f>
        <v>1416344</v>
      </c>
      <c r="J92" s="237" t="n">
        <f aca="false">SUM(J81:J91)</f>
        <v>1252197</v>
      </c>
      <c r="K92" s="217" t="n">
        <f aca="false">I92/J92*100</f>
        <v>113.108720113528</v>
      </c>
      <c r="L92" s="237" t="n">
        <f aca="false">SUM(L81:L91)</f>
        <v>400198</v>
      </c>
      <c r="M92" s="237" t="n">
        <f aca="false">SUM(M81:M91)</f>
        <v>294562</v>
      </c>
      <c r="N92" s="217" t="n">
        <f aca="false">L92/M92*100</f>
        <v>135.862059600356</v>
      </c>
      <c r="O92" s="216" t="n">
        <f aca="false">SUM(O81:O91)</f>
        <v>4241</v>
      </c>
      <c r="P92" s="217" t="n">
        <f aca="false">R92/O92</f>
        <v>116.530299457675</v>
      </c>
      <c r="Q92" s="216" t="n">
        <f aca="false">SUM(Q81:Q91)</f>
        <v>4247</v>
      </c>
      <c r="R92" s="232" t="n">
        <f aca="false">SUM(R81:R91)</f>
        <v>494205</v>
      </c>
    </row>
    <row r="93" customFormat="false" ht="15" hidden="false" customHeight="false" outlineLevel="0" collapsed="false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192"/>
      <c r="L93" s="203"/>
      <c r="M93" s="203"/>
      <c r="N93" s="203"/>
      <c r="O93" s="203"/>
      <c r="P93" s="219"/>
      <c r="Q93" s="203"/>
      <c r="R93" s="197"/>
    </row>
    <row r="94" customFormat="false" ht="15" hidden="false" customHeight="false" outlineLevel="0" collapsed="false">
      <c r="A94" s="190" t="s">
        <v>93</v>
      </c>
      <c r="B94" s="190"/>
      <c r="C94" s="195" t="n">
        <v>3</v>
      </c>
      <c r="D94" s="195" t="n">
        <v>4</v>
      </c>
      <c r="E94" s="196" t="n">
        <v>5</v>
      </c>
      <c r="F94" s="195" t="n">
        <v>6</v>
      </c>
      <c r="G94" s="195" t="n">
        <v>7</v>
      </c>
      <c r="H94" s="195" t="n">
        <v>8</v>
      </c>
      <c r="I94" s="195" t="n">
        <v>9</v>
      </c>
      <c r="J94" s="195" t="n">
        <v>10</v>
      </c>
      <c r="K94" s="195" t="n">
        <v>11</v>
      </c>
      <c r="L94" s="195" t="n">
        <v>12</v>
      </c>
      <c r="M94" s="195" t="n">
        <v>13</v>
      </c>
      <c r="N94" s="195" t="n">
        <v>14</v>
      </c>
      <c r="O94" s="195" t="n">
        <v>15</v>
      </c>
      <c r="P94" s="196" t="n">
        <v>16</v>
      </c>
      <c r="Q94" s="195" t="n">
        <v>15</v>
      </c>
      <c r="R94" s="197"/>
    </row>
    <row r="95" customFormat="false" ht="15" hidden="false" customHeight="false" outlineLevel="0" collapsed="false">
      <c r="A95" s="249" t="n">
        <v>1</v>
      </c>
      <c r="B95" s="245" t="s">
        <v>94</v>
      </c>
      <c r="C95" s="250" t="n">
        <v>0</v>
      </c>
      <c r="D95" s="250" t="n">
        <v>13356</v>
      </c>
      <c r="E95" s="214" t="n">
        <f aca="false">C95/D95*100</f>
        <v>0</v>
      </c>
      <c r="F95" s="250" t="n">
        <v>0</v>
      </c>
      <c r="G95" s="250" t="n">
        <v>0</v>
      </c>
      <c r="H95" s="214" t="e">
        <f aca="false">F95/G95*100</f>
        <v>#DIV/0!</v>
      </c>
      <c r="I95" s="250" t="n">
        <v>18133</v>
      </c>
      <c r="J95" s="251" t="n">
        <v>18550</v>
      </c>
      <c r="K95" s="214" t="n">
        <f aca="false">I95/J95*100</f>
        <v>97.7520215633423</v>
      </c>
      <c r="L95" s="250" t="n">
        <v>18113</v>
      </c>
      <c r="M95" s="250" t="n">
        <v>18505</v>
      </c>
      <c r="N95" s="214" t="n">
        <f aca="false">L95/M95*100</f>
        <v>97.8816536071332</v>
      </c>
      <c r="O95" s="252" t="n">
        <v>30</v>
      </c>
      <c r="P95" s="219" t="n">
        <v>52</v>
      </c>
      <c r="Q95" s="252"/>
      <c r="R95" s="202" t="n">
        <f aca="false">O95*P95</f>
        <v>1560</v>
      </c>
    </row>
    <row r="96" customFormat="false" ht="15" hidden="false" customHeight="false" outlineLevel="0" collapsed="false">
      <c r="A96" s="249" t="n">
        <v>2</v>
      </c>
      <c r="B96" s="245" t="s">
        <v>95</v>
      </c>
      <c r="C96" s="200" t="n">
        <v>0</v>
      </c>
      <c r="D96" s="200" t="n">
        <v>0</v>
      </c>
      <c r="E96" s="214" t="n">
        <v>0</v>
      </c>
      <c r="F96" s="200" t="n">
        <v>0</v>
      </c>
      <c r="G96" s="200" t="n">
        <v>0</v>
      </c>
      <c r="H96" s="214" t="n">
        <v>0</v>
      </c>
      <c r="I96" s="200" t="n">
        <v>0</v>
      </c>
      <c r="J96" s="200" t="n">
        <v>0</v>
      </c>
      <c r="K96" s="214" t="n">
        <v>0</v>
      </c>
      <c r="L96" s="200" t="n">
        <v>0</v>
      </c>
      <c r="M96" s="200" t="n">
        <v>0</v>
      </c>
      <c r="N96" s="214" t="n">
        <v>0</v>
      </c>
      <c r="O96" s="203" t="n">
        <v>0</v>
      </c>
      <c r="P96" s="204" t="n">
        <v>0</v>
      </c>
      <c r="Q96" s="203" t="n">
        <v>0</v>
      </c>
      <c r="R96" s="202" t="n">
        <f aca="false">O96*P96</f>
        <v>0</v>
      </c>
    </row>
    <row r="97" customFormat="false" ht="15" hidden="false" customHeight="false" outlineLevel="0" collapsed="false">
      <c r="A97" s="249" t="n">
        <v>3</v>
      </c>
      <c r="B97" s="243" t="s">
        <v>96</v>
      </c>
      <c r="C97" s="200" t="n">
        <v>0</v>
      </c>
      <c r="D97" s="200" t="n">
        <v>0</v>
      </c>
      <c r="E97" s="214" t="n">
        <v>0</v>
      </c>
      <c r="F97" s="200" t="n">
        <v>0</v>
      </c>
      <c r="G97" s="200" t="n">
        <v>0</v>
      </c>
      <c r="H97" s="214" t="n">
        <v>0</v>
      </c>
      <c r="I97" s="200" t="n">
        <v>0</v>
      </c>
      <c r="J97" s="200" t="n">
        <v>0</v>
      </c>
      <c r="K97" s="214" t="n">
        <v>0</v>
      </c>
      <c r="L97" s="200" t="n">
        <v>0</v>
      </c>
      <c r="M97" s="200" t="n">
        <v>0</v>
      </c>
      <c r="N97" s="214" t="n">
        <v>0</v>
      </c>
      <c r="O97" s="203" t="n">
        <v>0</v>
      </c>
      <c r="P97" s="204" t="n">
        <v>0</v>
      </c>
      <c r="Q97" s="203" t="n">
        <v>0</v>
      </c>
      <c r="R97" s="202" t="n">
        <f aca="false">O97*P97</f>
        <v>0</v>
      </c>
    </row>
    <row r="98" customFormat="false" ht="15" hidden="false" customHeight="false" outlineLevel="0" collapsed="false">
      <c r="A98" s="249" t="n">
        <v>4</v>
      </c>
      <c r="B98" s="253" t="s">
        <v>97</v>
      </c>
      <c r="C98" s="200" t="n">
        <v>0</v>
      </c>
      <c r="D98" s="200" t="n">
        <v>0</v>
      </c>
      <c r="E98" s="214" t="n">
        <v>0</v>
      </c>
      <c r="F98" s="200" t="n">
        <v>0</v>
      </c>
      <c r="G98" s="200" t="n">
        <v>0</v>
      </c>
      <c r="H98" s="214" t="n">
        <v>0</v>
      </c>
      <c r="I98" s="200" t="n">
        <v>0</v>
      </c>
      <c r="J98" s="200" t="n">
        <v>0</v>
      </c>
      <c r="K98" s="214" t="n">
        <v>0</v>
      </c>
      <c r="L98" s="200" t="n">
        <v>0</v>
      </c>
      <c r="M98" s="200" t="n">
        <v>0</v>
      </c>
      <c r="N98" s="214" t="n">
        <v>0</v>
      </c>
      <c r="O98" s="203" t="n">
        <v>0</v>
      </c>
      <c r="P98" s="250" t="n">
        <v>0</v>
      </c>
      <c r="Q98" s="203" t="n">
        <v>0</v>
      </c>
      <c r="R98" s="202" t="n">
        <f aca="false">O98*P98</f>
        <v>0</v>
      </c>
    </row>
    <row r="99" customFormat="false" ht="15" hidden="false" customHeight="false" outlineLevel="0" collapsed="false">
      <c r="A99" s="249" t="n">
        <v>5</v>
      </c>
      <c r="B99" s="245" t="s">
        <v>98</v>
      </c>
      <c r="C99" s="250" t="n">
        <v>116660</v>
      </c>
      <c r="D99" s="250" t="n">
        <v>64009</v>
      </c>
      <c r="E99" s="214" t="n">
        <f aca="false">C99/D99*100</f>
        <v>182.255620303395</v>
      </c>
      <c r="F99" s="250" t="n">
        <v>60651</v>
      </c>
      <c r="G99" s="250" t="n">
        <v>40919</v>
      </c>
      <c r="H99" s="214" t="n">
        <f aca="false">F99/G99*100</f>
        <v>148.222097314206</v>
      </c>
      <c r="I99" s="250" t="n">
        <v>67449</v>
      </c>
      <c r="J99" s="250" t="n">
        <v>55168</v>
      </c>
      <c r="K99" s="214" t="n">
        <f aca="false">I99/J99*100</f>
        <v>122.261093387471</v>
      </c>
      <c r="L99" s="250" t="n">
        <v>67449</v>
      </c>
      <c r="M99" s="250" t="n">
        <v>55168</v>
      </c>
      <c r="N99" s="214" t="n">
        <f aca="false">L99/M99*100</f>
        <v>122.261093387471</v>
      </c>
      <c r="O99" s="252" t="n">
        <v>430</v>
      </c>
      <c r="P99" s="250" t="n">
        <v>52</v>
      </c>
      <c r="Q99" s="252" t="n">
        <v>427</v>
      </c>
      <c r="R99" s="202" t="n">
        <f aca="false">O99*P99</f>
        <v>22360</v>
      </c>
    </row>
    <row r="100" customFormat="false" ht="15" hidden="false" customHeight="false" outlineLevel="0" collapsed="false">
      <c r="A100" s="249" t="n">
        <v>6</v>
      </c>
      <c r="B100" s="245" t="s">
        <v>99</v>
      </c>
      <c r="C100" s="200" t="n">
        <v>0</v>
      </c>
      <c r="D100" s="200" t="n">
        <v>0</v>
      </c>
      <c r="E100" s="214" t="n">
        <v>0</v>
      </c>
      <c r="F100" s="200" t="n">
        <v>0</v>
      </c>
      <c r="G100" s="200" t="n">
        <v>0</v>
      </c>
      <c r="H100" s="214" t="n">
        <v>0</v>
      </c>
      <c r="I100" s="200" t="n">
        <v>0</v>
      </c>
      <c r="J100" s="200" t="n">
        <v>0</v>
      </c>
      <c r="K100" s="214" t="n">
        <v>0</v>
      </c>
      <c r="L100" s="200" t="n">
        <v>0</v>
      </c>
      <c r="M100" s="200" t="n">
        <v>0</v>
      </c>
      <c r="N100" s="214" t="n">
        <v>0</v>
      </c>
      <c r="O100" s="203" t="n">
        <v>0</v>
      </c>
      <c r="P100" s="204" t="n">
        <v>0</v>
      </c>
      <c r="Q100" s="203" t="n">
        <v>0</v>
      </c>
      <c r="R100" s="202" t="n">
        <f aca="false">O100*P100</f>
        <v>0</v>
      </c>
    </row>
    <row r="101" customFormat="false" ht="15" hidden="false" customHeight="false" outlineLevel="0" collapsed="false">
      <c r="A101" s="249" t="n">
        <v>7</v>
      </c>
      <c r="B101" s="243" t="s">
        <v>100</v>
      </c>
      <c r="C101" s="200" t="n">
        <v>0</v>
      </c>
      <c r="D101" s="200" t="n">
        <v>0</v>
      </c>
      <c r="E101" s="214" t="n">
        <v>0</v>
      </c>
      <c r="F101" s="200" t="n">
        <v>0</v>
      </c>
      <c r="G101" s="200" t="n">
        <v>0</v>
      </c>
      <c r="H101" s="214" t="n">
        <v>0</v>
      </c>
      <c r="I101" s="200" t="n">
        <v>0</v>
      </c>
      <c r="J101" s="200" t="n">
        <v>0</v>
      </c>
      <c r="K101" s="214" t="n">
        <v>0</v>
      </c>
      <c r="L101" s="200" t="n">
        <v>0</v>
      </c>
      <c r="M101" s="200" t="n">
        <v>0</v>
      </c>
      <c r="N101" s="214" t="n">
        <v>0</v>
      </c>
      <c r="O101" s="203" t="n">
        <v>0</v>
      </c>
      <c r="P101" s="204" t="n">
        <v>0</v>
      </c>
      <c r="Q101" s="203" t="n">
        <v>0</v>
      </c>
      <c r="R101" s="202" t="n">
        <f aca="false">O101*P101</f>
        <v>0</v>
      </c>
    </row>
    <row r="102" customFormat="false" ht="15" hidden="false" customHeight="false" outlineLevel="0" collapsed="false">
      <c r="A102" s="249" t="n">
        <v>8</v>
      </c>
      <c r="B102" s="245" t="s">
        <v>101</v>
      </c>
      <c r="C102" s="208" t="n">
        <v>92217</v>
      </c>
      <c r="D102" s="208" t="n">
        <v>39305</v>
      </c>
      <c r="E102" s="214" t="n">
        <f aca="false">C102/D102*100</f>
        <v>234.619005215621</v>
      </c>
      <c r="F102" s="208" t="n">
        <v>67332</v>
      </c>
      <c r="G102" s="208" t="n">
        <v>18869</v>
      </c>
      <c r="H102" s="214" t="n">
        <f aca="false">F102/G102*100</f>
        <v>356.839260162171</v>
      </c>
      <c r="I102" s="208" t="n">
        <v>53530</v>
      </c>
      <c r="J102" s="208" t="n">
        <v>13948</v>
      </c>
      <c r="K102" s="214" t="n">
        <f aca="false">I102/J102*100</f>
        <v>383.782621164325</v>
      </c>
      <c r="L102" s="208" t="n">
        <v>36845</v>
      </c>
      <c r="M102" s="208" t="n">
        <v>0</v>
      </c>
      <c r="N102" s="214" t="n">
        <v>0</v>
      </c>
      <c r="O102" s="208" t="n">
        <v>157</v>
      </c>
      <c r="P102" s="208" t="n">
        <v>106</v>
      </c>
      <c r="Q102" s="208" t="n">
        <v>153</v>
      </c>
      <c r="R102" s="202" t="n">
        <f aca="false">O102*P102</f>
        <v>16642</v>
      </c>
    </row>
    <row r="103" customFormat="false" ht="15" hidden="false" customHeight="false" outlineLevel="0" collapsed="false">
      <c r="A103" s="249" t="n">
        <v>9</v>
      </c>
      <c r="B103" s="245" t="s">
        <v>102</v>
      </c>
      <c r="C103" s="200" t="n">
        <v>0</v>
      </c>
      <c r="D103" s="200" t="n">
        <v>0</v>
      </c>
      <c r="E103" s="214" t="n">
        <v>0</v>
      </c>
      <c r="F103" s="200" t="n">
        <v>0</v>
      </c>
      <c r="G103" s="200" t="n">
        <v>0</v>
      </c>
      <c r="H103" s="214" t="n">
        <v>0</v>
      </c>
      <c r="I103" s="200" t="n">
        <v>0</v>
      </c>
      <c r="J103" s="200" t="n">
        <v>0</v>
      </c>
      <c r="K103" s="214" t="n">
        <v>0</v>
      </c>
      <c r="L103" s="200" t="n">
        <v>0</v>
      </c>
      <c r="M103" s="200" t="n">
        <v>0</v>
      </c>
      <c r="N103" s="214" t="n">
        <v>0</v>
      </c>
      <c r="O103" s="203" t="n">
        <v>0</v>
      </c>
      <c r="P103" s="204" t="n">
        <v>0</v>
      </c>
      <c r="Q103" s="203" t="n">
        <v>0</v>
      </c>
      <c r="R103" s="202" t="n">
        <f aca="false">O103*P103</f>
        <v>0</v>
      </c>
    </row>
    <row r="104" customFormat="false" ht="15" hidden="false" customHeight="false" outlineLevel="0" collapsed="false">
      <c r="A104" s="249" t="n">
        <v>10</v>
      </c>
      <c r="B104" s="243" t="s">
        <v>103</v>
      </c>
      <c r="C104" s="203" t="n">
        <v>24222</v>
      </c>
      <c r="D104" s="203" t="n">
        <v>23009</v>
      </c>
      <c r="E104" s="214" t="n">
        <f aca="false">C104/D104*100</f>
        <v>105.271850145595</v>
      </c>
      <c r="F104" s="203" t="n">
        <v>0</v>
      </c>
      <c r="G104" s="203" t="n">
        <v>23009</v>
      </c>
      <c r="H104" s="214" t="n">
        <f aca="false">F104/G104*100</f>
        <v>0</v>
      </c>
      <c r="I104" s="203" t="n">
        <v>24222</v>
      </c>
      <c r="J104" s="203" t="n">
        <v>23009</v>
      </c>
      <c r="K104" s="214" t="n">
        <f aca="false">I104/J104*100</f>
        <v>105.271850145595</v>
      </c>
      <c r="L104" s="203" t="n">
        <v>24222</v>
      </c>
      <c r="M104" s="203" t="n">
        <v>23009</v>
      </c>
      <c r="N104" s="214" t="n">
        <f aca="false">L104/M104*100</f>
        <v>105.271850145595</v>
      </c>
      <c r="O104" s="252" t="n">
        <v>76</v>
      </c>
      <c r="P104" s="250" t="n">
        <v>45</v>
      </c>
      <c r="Q104" s="252" t="n">
        <v>76</v>
      </c>
      <c r="R104" s="202" t="n">
        <f aca="false">O104*P104</f>
        <v>3420</v>
      </c>
    </row>
    <row r="105" customFormat="false" ht="15" hidden="false" customHeight="false" outlineLevel="0" collapsed="false">
      <c r="A105" s="249" t="n">
        <v>11</v>
      </c>
      <c r="B105" s="245" t="s">
        <v>104</v>
      </c>
      <c r="C105" s="200" t="n">
        <v>0</v>
      </c>
      <c r="D105" s="200" t="n">
        <v>0</v>
      </c>
      <c r="E105" s="214" t="n">
        <v>0</v>
      </c>
      <c r="F105" s="200" t="n">
        <v>0</v>
      </c>
      <c r="G105" s="200" t="n">
        <v>0</v>
      </c>
      <c r="H105" s="214" t="n">
        <v>0</v>
      </c>
      <c r="I105" s="200" t="n">
        <v>0</v>
      </c>
      <c r="J105" s="200" t="n">
        <v>0</v>
      </c>
      <c r="K105" s="214" t="n">
        <v>0</v>
      </c>
      <c r="L105" s="200" t="n">
        <v>0</v>
      </c>
      <c r="M105" s="200" t="n">
        <v>0</v>
      </c>
      <c r="N105" s="214" t="n">
        <v>0</v>
      </c>
      <c r="O105" s="203" t="n">
        <v>0</v>
      </c>
      <c r="P105" s="204" t="n">
        <v>0</v>
      </c>
      <c r="Q105" s="203" t="n">
        <v>0</v>
      </c>
      <c r="R105" s="202" t="n">
        <f aca="false">O105*P105</f>
        <v>0</v>
      </c>
    </row>
    <row r="106" customFormat="false" ht="15" hidden="false" customHeight="false" outlineLevel="0" collapsed="false">
      <c r="A106" s="249" t="n">
        <v>12</v>
      </c>
      <c r="B106" s="245" t="s">
        <v>105</v>
      </c>
      <c r="C106" s="251" t="n">
        <v>4230</v>
      </c>
      <c r="D106" s="250" t="n">
        <v>4270</v>
      </c>
      <c r="E106" s="214" t="n">
        <f aca="false">C106/D106*100</f>
        <v>99.0632318501171</v>
      </c>
      <c r="F106" s="251" t="n">
        <v>2820</v>
      </c>
      <c r="G106" s="250" t="n">
        <v>4270</v>
      </c>
      <c r="H106" s="214" t="n">
        <f aca="false">F106/G106*100</f>
        <v>66.0421545667447</v>
      </c>
      <c r="I106" s="251" t="n">
        <v>0</v>
      </c>
      <c r="J106" s="251" t="n">
        <v>0</v>
      </c>
      <c r="K106" s="214" t="n">
        <v>0</v>
      </c>
      <c r="L106" s="250" t="n">
        <v>0</v>
      </c>
      <c r="M106" s="250" t="n">
        <v>0</v>
      </c>
      <c r="N106" s="214" t="n">
        <v>0</v>
      </c>
      <c r="O106" s="252" t="n">
        <v>10</v>
      </c>
      <c r="P106" s="250" t="n">
        <v>53</v>
      </c>
      <c r="Q106" s="252" t="n">
        <v>10</v>
      </c>
      <c r="R106" s="202" t="n">
        <f aca="false">O106*P106</f>
        <v>530</v>
      </c>
    </row>
    <row r="107" customFormat="false" ht="15" hidden="false" customHeight="false" outlineLevel="0" collapsed="false">
      <c r="A107" s="249" t="n">
        <v>13</v>
      </c>
      <c r="B107" s="245" t="s">
        <v>106</v>
      </c>
      <c r="C107" s="251" t="n">
        <v>0</v>
      </c>
      <c r="D107" s="250" t="n">
        <v>23273</v>
      </c>
      <c r="E107" s="214" t="n">
        <f aca="false">C107/D107*100</f>
        <v>0</v>
      </c>
      <c r="F107" s="251" t="n">
        <v>0</v>
      </c>
      <c r="G107" s="251" t="n">
        <v>16860</v>
      </c>
      <c r="H107" s="214" t="n">
        <f aca="false">F107/G107*100</f>
        <v>0</v>
      </c>
      <c r="I107" s="251" t="n">
        <v>2035</v>
      </c>
      <c r="J107" s="251" t="n">
        <v>26784</v>
      </c>
      <c r="K107" s="214" t="n">
        <f aca="false">I107/J107*100</f>
        <v>7.59781959378734</v>
      </c>
      <c r="L107" s="250" t="n">
        <v>0</v>
      </c>
      <c r="M107" s="250" t="n">
        <v>25989</v>
      </c>
      <c r="N107" s="214" t="n">
        <f aca="false">L107/M107*100</f>
        <v>0</v>
      </c>
      <c r="O107" s="252" t="n">
        <v>37</v>
      </c>
      <c r="P107" s="250" t="n">
        <v>55</v>
      </c>
      <c r="Q107" s="252" t="n">
        <v>56</v>
      </c>
      <c r="R107" s="202" t="n">
        <f aca="false">O107*P107</f>
        <v>2035</v>
      </c>
    </row>
    <row r="108" customFormat="false" ht="15" hidden="false" customHeight="false" outlineLevel="0" collapsed="false">
      <c r="A108" s="249" t="n">
        <v>14</v>
      </c>
      <c r="B108" s="245" t="s">
        <v>107</v>
      </c>
      <c r="C108" s="200" t="n">
        <v>0</v>
      </c>
      <c r="D108" s="200" t="n">
        <v>0</v>
      </c>
      <c r="E108" s="214" t="n">
        <v>0</v>
      </c>
      <c r="F108" s="200" t="n">
        <v>0</v>
      </c>
      <c r="G108" s="200" t="n">
        <v>0</v>
      </c>
      <c r="H108" s="214" t="n">
        <v>0</v>
      </c>
      <c r="I108" s="200" t="n">
        <v>0</v>
      </c>
      <c r="J108" s="200" t="n">
        <v>0</v>
      </c>
      <c r="K108" s="214" t="n">
        <v>0</v>
      </c>
      <c r="L108" s="200" t="n">
        <v>0</v>
      </c>
      <c r="M108" s="200" t="n">
        <v>0</v>
      </c>
      <c r="N108" s="214" t="n">
        <v>0</v>
      </c>
      <c r="O108" s="203" t="n">
        <v>0</v>
      </c>
      <c r="P108" s="204" t="n">
        <v>0</v>
      </c>
      <c r="Q108" s="203" t="n">
        <v>0</v>
      </c>
      <c r="R108" s="202" t="n">
        <f aca="false">O108*P108</f>
        <v>0</v>
      </c>
    </row>
    <row r="109" customFormat="false" ht="15" hidden="false" customHeight="false" outlineLevel="0" collapsed="false">
      <c r="A109" s="249" t="n">
        <v>15</v>
      </c>
      <c r="B109" s="245" t="s">
        <v>108</v>
      </c>
      <c r="C109" s="208" t="n">
        <v>26849</v>
      </c>
      <c r="D109" s="208" t="n">
        <v>8556</v>
      </c>
      <c r="E109" s="214" t="n">
        <f aca="false">C109/D109*100</f>
        <v>313.803179055633</v>
      </c>
      <c r="F109" s="208" t="n">
        <v>11544</v>
      </c>
      <c r="G109" s="208" t="n">
        <v>0</v>
      </c>
      <c r="H109" s="214" t="e">
        <f aca="false">F109/G109*100</f>
        <v>#DIV/0!</v>
      </c>
      <c r="I109" s="208" t="n">
        <v>26849</v>
      </c>
      <c r="J109" s="208" t="n">
        <v>8556</v>
      </c>
      <c r="K109" s="214" t="n">
        <f aca="false">I109/J109*100</f>
        <v>313.803179055633</v>
      </c>
      <c r="L109" s="208" t="n">
        <v>26849</v>
      </c>
      <c r="M109" s="208" t="n">
        <v>8556</v>
      </c>
      <c r="N109" s="214" t="n">
        <f aca="false">L109/M109*100</f>
        <v>313.803179055633</v>
      </c>
      <c r="O109" s="203" t="n">
        <v>78</v>
      </c>
      <c r="P109" s="204" t="n">
        <v>80</v>
      </c>
      <c r="Q109" s="203" t="n">
        <v>77</v>
      </c>
      <c r="R109" s="202" t="n">
        <f aca="false">O109*P109</f>
        <v>6240</v>
      </c>
    </row>
    <row r="110" customFormat="false" ht="15" hidden="false" customHeight="false" outlineLevel="0" collapsed="false">
      <c r="A110" s="249" t="n">
        <v>16</v>
      </c>
      <c r="B110" s="245" t="s">
        <v>109</v>
      </c>
      <c r="C110" s="208" t="n">
        <v>136</v>
      </c>
      <c r="D110" s="208" t="n">
        <v>9790</v>
      </c>
      <c r="E110" s="214" t="n">
        <f aca="false">C110/D110*100</f>
        <v>1.38917262512768</v>
      </c>
      <c r="F110" s="208" t="n">
        <v>56</v>
      </c>
      <c r="G110" s="208" t="n">
        <v>9790</v>
      </c>
      <c r="H110" s="214" t="n">
        <f aca="false">F110/G110*100</f>
        <v>0.572012257405516</v>
      </c>
      <c r="I110" s="208" t="n">
        <v>4118</v>
      </c>
      <c r="J110" s="208" t="n">
        <v>2291</v>
      </c>
      <c r="K110" s="214" t="n">
        <f aca="false">I110/J110*100</f>
        <v>179.746835443038</v>
      </c>
      <c r="L110" s="208" t="n">
        <v>0</v>
      </c>
      <c r="M110" s="208" t="n">
        <v>0</v>
      </c>
      <c r="N110" s="214" t="n">
        <v>0</v>
      </c>
      <c r="O110" s="252" t="n">
        <v>38</v>
      </c>
      <c r="P110" s="204" t="n">
        <v>60</v>
      </c>
      <c r="Q110" s="252" t="n">
        <v>39</v>
      </c>
      <c r="R110" s="202" t="n">
        <f aca="false">O110*P110</f>
        <v>2280</v>
      </c>
    </row>
    <row r="111" customFormat="false" ht="15" hidden="false" customHeight="false" outlineLevel="0" collapsed="false">
      <c r="A111" s="249" t="n">
        <v>17</v>
      </c>
      <c r="B111" s="245" t="s">
        <v>110</v>
      </c>
      <c r="C111" s="251" t="n">
        <v>89650</v>
      </c>
      <c r="D111" s="250" t="n">
        <v>83116</v>
      </c>
      <c r="E111" s="214" t="n">
        <f aca="false">C111/D111*100</f>
        <v>107.861302276337</v>
      </c>
      <c r="F111" s="251" t="n">
        <v>46817</v>
      </c>
      <c r="G111" s="251" t="n">
        <v>41931</v>
      </c>
      <c r="H111" s="214" t="n">
        <f aca="false">F111/G111*100</f>
        <v>111.652476687892</v>
      </c>
      <c r="I111" s="251" t="n">
        <v>27801</v>
      </c>
      <c r="J111" s="251" t="n">
        <v>21040</v>
      </c>
      <c r="K111" s="214" t="n">
        <f aca="false">I111/J111*100</f>
        <v>132.134030418251</v>
      </c>
      <c r="L111" s="250" t="n">
        <v>0</v>
      </c>
      <c r="M111" s="250" t="n">
        <v>0</v>
      </c>
      <c r="N111" s="214" t="n">
        <v>0</v>
      </c>
      <c r="O111" s="252" t="n">
        <v>180</v>
      </c>
      <c r="P111" s="250" t="n">
        <v>60</v>
      </c>
      <c r="Q111" s="252" t="n">
        <v>178</v>
      </c>
      <c r="R111" s="202" t="n">
        <f aca="false">O111*P111</f>
        <v>10800</v>
      </c>
    </row>
    <row r="112" customFormat="false" ht="15" hidden="false" customHeight="false" outlineLevel="0" collapsed="false">
      <c r="A112" s="249" t="n">
        <v>18</v>
      </c>
      <c r="B112" s="243" t="s">
        <v>111</v>
      </c>
      <c r="C112" s="208" t="n">
        <v>107772</v>
      </c>
      <c r="D112" s="208" t="n">
        <v>73403</v>
      </c>
      <c r="E112" s="214" t="n">
        <f aca="false">C112/D112*100</f>
        <v>146.822336961705</v>
      </c>
      <c r="F112" s="208" t="n">
        <v>59803</v>
      </c>
      <c r="G112" s="208" t="n">
        <v>38332</v>
      </c>
      <c r="H112" s="214" t="n">
        <f aca="false">F112/G112*100</f>
        <v>156.013252634874</v>
      </c>
      <c r="I112" s="208" t="n">
        <v>107772</v>
      </c>
      <c r="J112" s="208" t="n">
        <v>73403</v>
      </c>
      <c r="K112" s="214" t="n">
        <f aca="false">I112/J112*100</f>
        <v>146.822336961705</v>
      </c>
      <c r="L112" s="208" t="n">
        <v>107772</v>
      </c>
      <c r="M112" s="208" t="n">
        <v>73403</v>
      </c>
      <c r="N112" s="214" t="n">
        <f aca="false">L112/M112*100</f>
        <v>146.822336961705</v>
      </c>
      <c r="O112" s="252" t="n">
        <v>385</v>
      </c>
      <c r="P112" s="250" t="n">
        <v>68</v>
      </c>
      <c r="Q112" s="252" t="n">
        <v>374</v>
      </c>
      <c r="R112" s="202" t="n">
        <f aca="false">O112*P112</f>
        <v>26180</v>
      </c>
    </row>
    <row r="113" customFormat="false" ht="15" hidden="false" customHeight="false" outlineLevel="0" collapsed="false">
      <c r="A113" s="249" t="n">
        <v>19</v>
      </c>
      <c r="B113" s="245" t="s">
        <v>112</v>
      </c>
      <c r="C113" s="200" t="n">
        <v>0</v>
      </c>
      <c r="D113" s="200" t="n">
        <v>0</v>
      </c>
      <c r="E113" s="214" t="n">
        <v>0</v>
      </c>
      <c r="F113" s="200" t="n">
        <v>0</v>
      </c>
      <c r="G113" s="200" t="n">
        <v>0</v>
      </c>
      <c r="H113" s="214" t="n">
        <v>0</v>
      </c>
      <c r="I113" s="200" t="n">
        <v>0</v>
      </c>
      <c r="J113" s="200" t="n">
        <v>0</v>
      </c>
      <c r="K113" s="214" t="n">
        <v>0</v>
      </c>
      <c r="L113" s="200" t="n">
        <v>0</v>
      </c>
      <c r="M113" s="200" t="n">
        <v>0</v>
      </c>
      <c r="N113" s="214" t="n">
        <v>0</v>
      </c>
      <c r="O113" s="203" t="n">
        <v>0</v>
      </c>
      <c r="P113" s="204" t="n">
        <v>0</v>
      </c>
      <c r="Q113" s="203" t="n">
        <v>0</v>
      </c>
      <c r="R113" s="202" t="n">
        <f aca="false">O113*P113</f>
        <v>0</v>
      </c>
    </row>
    <row r="114" customFormat="false" ht="15" hidden="false" customHeight="false" outlineLevel="0" collapsed="false">
      <c r="A114" s="249" t="n">
        <v>20</v>
      </c>
      <c r="B114" s="245" t="s">
        <v>113</v>
      </c>
      <c r="C114" s="200" t="n">
        <v>0</v>
      </c>
      <c r="D114" s="200" t="n">
        <v>0</v>
      </c>
      <c r="E114" s="214" t="n">
        <v>0</v>
      </c>
      <c r="F114" s="200" t="n">
        <v>0</v>
      </c>
      <c r="G114" s="200" t="n">
        <v>0</v>
      </c>
      <c r="H114" s="214" t="n">
        <v>0</v>
      </c>
      <c r="I114" s="200" t="n">
        <v>0</v>
      </c>
      <c r="J114" s="200" t="n">
        <v>0</v>
      </c>
      <c r="K114" s="214" t="n">
        <v>0</v>
      </c>
      <c r="L114" s="200" t="n">
        <v>0</v>
      </c>
      <c r="M114" s="200" t="n">
        <v>0</v>
      </c>
      <c r="N114" s="214" t="n">
        <v>0</v>
      </c>
      <c r="O114" s="203" t="n">
        <v>0</v>
      </c>
      <c r="P114" s="204" t="n">
        <v>0</v>
      </c>
      <c r="Q114" s="203" t="n">
        <v>0</v>
      </c>
      <c r="R114" s="202" t="n">
        <f aca="false">O114*P114</f>
        <v>0</v>
      </c>
    </row>
    <row r="115" customFormat="false" ht="15" hidden="false" customHeight="false" outlineLevel="0" collapsed="false">
      <c r="A115" s="249" t="n">
        <v>21</v>
      </c>
      <c r="B115" s="245" t="s">
        <v>114</v>
      </c>
      <c r="C115" s="250" t="n">
        <v>8469</v>
      </c>
      <c r="D115" s="250" t="n">
        <v>4337</v>
      </c>
      <c r="E115" s="214" t="n">
        <f aca="false">C115/D115*100</f>
        <v>195.273230343555</v>
      </c>
      <c r="F115" s="250" t="n">
        <v>4446</v>
      </c>
      <c r="G115" s="250" t="n">
        <v>2612</v>
      </c>
      <c r="H115" s="214" t="n">
        <f aca="false">F115/G115*100</f>
        <v>170.214395099541</v>
      </c>
      <c r="I115" s="250" t="n">
        <v>8469</v>
      </c>
      <c r="J115" s="250" t="n">
        <v>4337</v>
      </c>
      <c r="K115" s="214" t="n">
        <f aca="false">I115/J115*100</f>
        <v>195.273230343555</v>
      </c>
      <c r="L115" s="250" t="n">
        <v>7615</v>
      </c>
      <c r="M115" s="250" t="n">
        <v>4337</v>
      </c>
      <c r="N115" s="214" t="n">
        <f aca="false">L115/M115*100</f>
        <v>175.582199677196</v>
      </c>
      <c r="O115" s="252" t="n">
        <v>14</v>
      </c>
      <c r="P115" s="250" t="n">
        <v>47</v>
      </c>
      <c r="Q115" s="252" t="n">
        <v>12</v>
      </c>
      <c r="R115" s="202" t="n">
        <f aca="false">O115*P115</f>
        <v>658</v>
      </c>
    </row>
    <row r="116" customFormat="false" ht="15" hidden="false" customHeight="false" outlineLevel="0" collapsed="false">
      <c r="A116" s="249" t="n">
        <v>22</v>
      </c>
      <c r="B116" s="243" t="s">
        <v>115</v>
      </c>
      <c r="C116" s="251" t="n">
        <v>2250</v>
      </c>
      <c r="D116" s="251" t="n">
        <v>1750</v>
      </c>
      <c r="E116" s="214" t="n">
        <f aca="false">C116/D116*100</f>
        <v>128.571428571429</v>
      </c>
      <c r="F116" s="251" t="n">
        <v>2250</v>
      </c>
      <c r="G116" s="251" t="n">
        <v>1750</v>
      </c>
      <c r="H116" s="214" t="n">
        <f aca="false">F116/G116*100</f>
        <v>128.571428571429</v>
      </c>
      <c r="I116" s="251" t="n">
        <v>2627</v>
      </c>
      <c r="J116" s="251" t="n">
        <v>3741</v>
      </c>
      <c r="K116" s="214" t="n">
        <f aca="false">I116/J116*100</f>
        <v>70.2218658112804</v>
      </c>
      <c r="L116" s="250" t="n">
        <v>0</v>
      </c>
      <c r="M116" s="251" t="n">
        <v>0</v>
      </c>
      <c r="N116" s="214" t="n">
        <v>0</v>
      </c>
      <c r="O116" s="252" t="n">
        <v>12</v>
      </c>
      <c r="P116" s="250" t="n">
        <v>78</v>
      </c>
      <c r="Q116" s="252" t="n">
        <v>12</v>
      </c>
      <c r="R116" s="202" t="n">
        <f aca="false">O116*P116</f>
        <v>936</v>
      </c>
    </row>
    <row r="117" customFormat="false" ht="15" hidden="false" customHeight="false" outlineLevel="0" collapsed="false">
      <c r="A117" s="249" t="n">
        <v>23</v>
      </c>
      <c r="B117" s="243" t="s">
        <v>116</v>
      </c>
      <c r="C117" s="251" t="n">
        <v>16949</v>
      </c>
      <c r="D117" s="250" t="n">
        <v>13360</v>
      </c>
      <c r="E117" s="214" t="n">
        <f aca="false">C117/D117*100</f>
        <v>126.86377245509</v>
      </c>
      <c r="F117" s="251" t="n">
        <v>9962</v>
      </c>
      <c r="G117" s="251" t="n">
        <v>6324</v>
      </c>
      <c r="H117" s="214" t="n">
        <f aca="false">F117/G117*100</f>
        <v>157.52688172043</v>
      </c>
      <c r="I117" s="251" t="n">
        <v>16873</v>
      </c>
      <c r="J117" s="251" t="n">
        <v>14011</v>
      </c>
      <c r="K117" s="214" t="n">
        <f aca="false">I117/J117*100</f>
        <v>120.426807508386</v>
      </c>
      <c r="L117" s="250" t="n">
        <v>0</v>
      </c>
      <c r="M117" s="250" t="n">
        <v>0</v>
      </c>
      <c r="N117" s="214" t="n">
        <v>0</v>
      </c>
      <c r="O117" s="252" t="n">
        <v>21</v>
      </c>
      <c r="P117" s="250" t="n">
        <v>45</v>
      </c>
      <c r="Q117" s="252" t="n">
        <v>39</v>
      </c>
      <c r="R117" s="202" t="n">
        <f aca="false">O117*P117</f>
        <v>945</v>
      </c>
    </row>
    <row r="118" customFormat="false" ht="15" hidden="false" customHeight="false" outlineLevel="0" collapsed="false">
      <c r="A118" s="249" t="n">
        <v>24</v>
      </c>
      <c r="B118" s="245" t="s">
        <v>117</v>
      </c>
      <c r="C118" s="250" t="n">
        <v>11854</v>
      </c>
      <c r="D118" s="250" t="n">
        <v>6172</v>
      </c>
      <c r="E118" s="214" t="n">
        <f aca="false">C118/D118*100</f>
        <v>192.060920285159</v>
      </c>
      <c r="F118" s="250" t="n">
        <v>6969</v>
      </c>
      <c r="G118" s="251" t="n">
        <v>3641</v>
      </c>
      <c r="H118" s="214" t="n">
        <f aca="false">F118/G118*100</f>
        <v>191.403460587751</v>
      </c>
      <c r="I118" s="250" t="n">
        <v>26165</v>
      </c>
      <c r="J118" s="250" t="n">
        <v>12628</v>
      </c>
      <c r="K118" s="214" t="n">
        <f aca="false">I118/J118*100</f>
        <v>207.198289515363</v>
      </c>
      <c r="L118" s="254" t="n">
        <v>0</v>
      </c>
      <c r="M118" s="250" t="n">
        <v>0</v>
      </c>
      <c r="N118" s="214" t="n">
        <v>0</v>
      </c>
      <c r="O118" s="252" t="n">
        <v>56</v>
      </c>
      <c r="P118" s="250" t="n">
        <v>57</v>
      </c>
      <c r="Q118" s="252" t="n">
        <v>55</v>
      </c>
      <c r="R118" s="202" t="n">
        <f aca="false">O118*P118</f>
        <v>3192</v>
      </c>
    </row>
    <row r="119" customFormat="false" ht="15" hidden="false" customHeight="false" outlineLevel="0" collapsed="false">
      <c r="A119" s="249" t="n">
        <v>25</v>
      </c>
      <c r="B119" s="245" t="s">
        <v>118</v>
      </c>
      <c r="C119" s="250" t="n">
        <v>2097</v>
      </c>
      <c r="D119" s="250" t="n">
        <v>3223</v>
      </c>
      <c r="E119" s="214" t="n">
        <f aca="false">C119/D119*100</f>
        <v>65.0636053366429</v>
      </c>
      <c r="F119" s="250" t="n">
        <v>1106</v>
      </c>
      <c r="G119" s="250" t="n">
        <v>1939</v>
      </c>
      <c r="H119" s="214" t="n">
        <f aca="false">F119/G119*100</f>
        <v>57.0397111913357</v>
      </c>
      <c r="I119" s="250" t="n">
        <v>2088</v>
      </c>
      <c r="J119" s="250" t="n">
        <v>3223</v>
      </c>
      <c r="K119" s="214" t="n">
        <f aca="false">I119/J119*100</f>
        <v>64.7843623952839</v>
      </c>
      <c r="L119" s="250" t="n">
        <v>0</v>
      </c>
      <c r="M119" s="250" t="n">
        <v>0</v>
      </c>
      <c r="N119" s="214" t="n">
        <v>0</v>
      </c>
      <c r="O119" s="252" t="n">
        <v>15</v>
      </c>
      <c r="P119" s="250" t="n">
        <v>48</v>
      </c>
      <c r="Q119" s="252" t="n">
        <v>21</v>
      </c>
      <c r="R119" s="202" t="n">
        <f aca="false">O119*P119</f>
        <v>720</v>
      </c>
    </row>
    <row r="120" customFormat="false" ht="15" hidden="false" customHeight="false" outlineLevel="0" collapsed="false">
      <c r="A120" s="215" t="s">
        <v>119</v>
      </c>
      <c r="B120" s="215" t="s">
        <v>119</v>
      </c>
      <c r="C120" s="216" t="n">
        <f aca="false">SUM(C95:C119)</f>
        <v>503355</v>
      </c>
      <c r="D120" s="216" t="n">
        <f aca="false">SUM(D95:D119)</f>
        <v>370929</v>
      </c>
      <c r="E120" s="217" t="n">
        <f aca="false">C120/D120*100</f>
        <v>135.701171922389</v>
      </c>
      <c r="F120" s="216" t="n">
        <f aca="false">SUM(F95:F119)</f>
        <v>273756</v>
      </c>
      <c r="G120" s="216" t="n">
        <f aca="false">SUM(G95:G119)</f>
        <v>210246</v>
      </c>
      <c r="H120" s="217" t="n">
        <f aca="false">F120/G120*100</f>
        <v>130.207471247967</v>
      </c>
      <c r="I120" s="216" t="n">
        <f aca="false">SUM(I95:I119)</f>
        <v>388131</v>
      </c>
      <c r="J120" s="216" t="n">
        <f aca="false">SUM(J95:J119)</f>
        <v>280689</v>
      </c>
      <c r="K120" s="217" t="n">
        <f aca="false">I120/J120*100</f>
        <v>138.277951754433</v>
      </c>
      <c r="L120" s="216" t="n">
        <f aca="false">SUM(L95:L119)</f>
        <v>288865</v>
      </c>
      <c r="M120" s="216" t="n">
        <f aca="false">SUM(M95:M119)</f>
        <v>208967</v>
      </c>
      <c r="N120" s="217" t="n">
        <f aca="false">L120/M120*100</f>
        <v>138.234745199003</v>
      </c>
      <c r="O120" s="216" t="n">
        <f aca="false">SUM(O95:O119)</f>
        <v>1539</v>
      </c>
      <c r="P120" s="217" t="n">
        <f aca="false">R120/O120</f>
        <v>64.0012995451592</v>
      </c>
      <c r="Q120" s="216" t="n">
        <f aca="false">SUM(Q95:Q119)</f>
        <v>1529</v>
      </c>
      <c r="R120" s="232" t="n">
        <f aca="false">SUM(R95:R119)</f>
        <v>98498</v>
      </c>
    </row>
    <row r="121" customFormat="false" ht="15" hidden="false" customHeight="false" outlineLevel="0" collapsed="false">
      <c r="A121" s="249"/>
      <c r="B121" s="245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51"/>
      <c r="O121" s="203"/>
      <c r="P121" s="204"/>
      <c r="Q121" s="203"/>
      <c r="R121" s="202"/>
    </row>
    <row r="122" customFormat="false" ht="15" hidden="false" customHeight="false" outlineLevel="0" collapsed="false">
      <c r="A122" s="255"/>
      <c r="B122" s="255"/>
      <c r="C122" s="256"/>
      <c r="D122" s="256"/>
      <c r="E122" s="257"/>
      <c r="F122" s="256"/>
      <c r="G122" s="256"/>
      <c r="H122" s="257"/>
      <c r="I122" s="256"/>
      <c r="J122" s="256"/>
      <c r="K122" s="257"/>
      <c r="L122" s="256"/>
      <c r="M122" s="256"/>
      <c r="N122" s="257"/>
      <c r="O122" s="256"/>
      <c r="P122" s="257"/>
      <c r="Q122" s="256"/>
      <c r="R122" s="202" t="n">
        <f aca="false">O122*P122</f>
        <v>0</v>
      </c>
    </row>
    <row r="123" customFormat="false" ht="15" hidden="false" customHeight="false" outlineLevel="0" collapsed="false">
      <c r="A123" s="195"/>
      <c r="B123" s="195" t="s">
        <v>120</v>
      </c>
      <c r="C123" s="195" t="n">
        <v>3</v>
      </c>
      <c r="D123" s="195" t="n">
        <v>4</v>
      </c>
      <c r="E123" s="196" t="n">
        <v>5</v>
      </c>
      <c r="F123" s="195" t="n">
        <v>6</v>
      </c>
      <c r="G123" s="195" t="n">
        <v>7</v>
      </c>
      <c r="H123" s="195" t="n">
        <v>8</v>
      </c>
      <c r="I123" s="195" t="n">
        <v>9</v>
      </c>
      <c r="J123" s="195" t="n">
        <v>10</v>
      </c>
      <c r="K123" s="195" t="n">
        <v>11</v>
      </c>
      <c r="L123" s="195" t="n">
        <v>12</v>
      </c>
      <c r="M123" s="195" t="n">
        <v>13</v>
      </c>
      <c r="N123" s="195" t="n">
        <v>14</v>
      </c>
      <c r="O123" s="195" t="n">
        <v>15</v>
      </c>
      <c r="P123" s="196" t="n">
        <v>16</v>
      </c>
      <c r="Q123" s="195" t="n">
        <v>15</v>
      </c>
      <c r="R123" s="202" t="n">
        <f aca="false">O123*P123</f>
        <v>240</v>
      </c>
    </row>
    <row r="124" customFormat="false" ht="15" hidden="false" customHeight="false" outlineLevel="0" collapsed="false">
      <c r="A124" s="210" t="n">
        <v>1</v>
      </c>
      <c r="B124" s="258" t="s">
        <v>121</v>
      </c>
      <c r="C124" s="200" t="n">
        <v>0</v>
      </c>
      <c r="D124" s="200" t="n">
        <v>0</v>
      </c>
      <c r="E124" s="214" t="n">
        <v>0</v>
      </c>
      <c r="F124" s="200" t="n">
        <v>0</v>
      </c>
      <c r="G124" s="200" t="n">
        <v>0</v>
      </c>
      <c r="H124" s="214" t="n">
        <v>0</v>
      </c>
      <c r="I124" s="200" t="n">
        <v>0</v>
      </c>
      <c r="J124" s="200" t="n">
        <v>0</v>
      </c>
      <c r="K124" s="214" t="n">
        <v>0</v>
      </c>
      <c r="L124" s="200" t="n">
        <v>0</v>
      </c>
      <c r="M124" s="200" t="n">
        <v>0</v>
      </c>
      <c r="N124" s="214" t="n">
        <v>0</v>
      </c>
      <c r="O124" s="203" t="n">
        <v>0</v>
      </c>
      <c r="P124" s="204" t="n">
        <v>0</v>
      </c>
      <c r="Q124" s="203" t="n">
        <v>0</v>
      </c>
      <c r="R124" s="202" t="n">
        <f aca="false">O124*P124</f>
        <v>0</v>
      </c>
    </row>
    <row r="125" s="211" customFormat="true" ht="15" hidden="false" customHeight="false" outlineLevel="0" collapsed="false">
      <c r="A125" s="210" t="n">
        <v>2</v>
      </c>
      <c r="B125" s="258" t="s">
        <v>122</v>
      </c>
      <c r="C125" s="203" t="n">
        <v>238042</v>
      </c>
      <c r="D125" s="203" t="n">
        <v>211086</v>
      </c>
      <c r="E125" s="214" t="n">
        <f aca="false">C125/D125*100</f>
        <v>112.77015055475</v>
      </c>
      <c r="F125" s="203" t="n">
        <v>0</v>
      </c>
      <c r="G125" s="203" t="n">
        <v>0</v>
      </c>
      <c r="H125" s="192" t="n">
        <v>0</v>
      </c>
      <c r="I125" s="203" t="n">
        <v>237480</v>
      </c>
      <c r="J125" s="203" t="n">
        <v>167947</v>
      </c>
      <c r="K125" s="214" t="n">
        <f aca="false">I125/J125*100</f>
        <v>141.401751743109</v>
      </c>
      <c r="L125" s="203" t="n">
        <v>3379</v>
      </c>
      <c r="M125" s="203" t="n">
        <v>0</v>
      </c>
      <c r="N125" s="192" t="n">
        <v>0</v>
      </c>
      <c r="O125" s="219" t="n">
        <v>79</v>
      </c>
      <c r="P125" s="204" t="n">
        <v>80</v>
      </c>
      <c r="Q125" s="219" t="n">
        <v>75</v>
      </c>
      <c r="R125" s="202" t="n">
        <f aca="false">O125*P125</f>
        <v>6320</v>
      </c>
    </row>
    <row r="126" customFormat="false" ht="15" hidden="false" customHeight="false" outlineLevel="0" collapsed="false">
      <c r="A126" s="210" t="n">
        <v>3</v>
      </c>
      <c r="B126" s="258" t="s">
        <v>123</v>
      </c>
      <c r="C126" s="200" t="n">
        <v>0</v>
      </c>
      <c r="D126" s="200" t="n">
        <v>0</v>
      </c>
      <c r="E126" s="214" t="n">
        <v>0</v>
      </c>
      <c r="F126" s="200" t="n">
        <v>0</v>
      </c>
      <c r="G126" s="200" t="n">
        <v>0</v>
      </c>
      <c r="H126" s="214" t="n">
        <v>0</v>
      </c>
      <c r="I126" s="200" t="n">
        <v>0</v>
      </c>
      <c r="J126" s="200" t="n">
        <v>0</v>
      </c>
      <c r="K126" s="214" t="n">
        <v>0</v>
      </c>
      <c r="L126" s="200" t="n">
        <v>0</v>
      </c>
      <c r="M126" s="200" t="n">
        <v>0</v>
      </c>
      <c r="N126" s="214" t="n">
        <v>0</v>
      </c>
      <c r="O126" s="203" t="n">
        <v>0</v>
      </c>
      <c r="P126" s="204" t="n">
        <v>0</v>
      </c>
      <c r="Q126" s="203" t="n">
        <v>0</v>
      </c>
      <c r="R126" s="202" t="n">
        <f aca="false">O126*P126</f>
        <v>0</v>
      </c>
    </row>
    <row r="127" customFormat="false" ht="15" hidden="false" customHeight="false" outlineLevel="0" collapsed="false">
      <c r="A127" s="210" t="n">
        <v>4</v>
      </c>
      <c r="B127" s="258" t="s">
        <v>124</v>
      </c>
      <c r="C127" s="200" t="n">
        <v>0</v>
      </c>
      <c r="D127" s="200" t="n">
        <v>0</v>
      </c>
      <c r="E127" s="214" t="n">
        <v>0</v>
      </c>
      <c r="F127" s="200" t="n">
        <v>0</v>
      </c>
      <c r="G127" s="200" t="n">
        <v>0</v>
      </c>
      <c r="H127" s="214" t="n">
        <v>0</v>
      </c>
      <c r="I127" s="200" t="n">
        <v>0</v>
      </c>
      <c r="J127" s="200" t="n">
        <v>0</v>
      </c>
      <c r="K127" s="214" t="n">
        <v>0</v>
      </c>
      <c r="L127" s="200" t="n">
        <v>0</v>
      </c>
      <c r="M127" s="200" t="n">
        <v>0</v>
      </c>
      <c r="N127" s="214" t="n">
        <v>0</v>
      </c>
      <c r="O127" s="203" t="n">
        <v>0</v>
      </c>
      <c r="P127" s="204" t="n">
        <v>0</v>
      </c>
      <c r="Q127" s="203" t="n">
        <v>0</v>
      </c>
      <c r="R127" s="202" t="n">
        <f aca="false">O127*P127</f>
        <v>0</v>
      </c>
    </row>
    <row r="128" customFormat="false" ht="15" hidden="false" customHeight="false" outlineLevel="0" collapsed="false">
      <c r="A128" s="210" t="n">
        <v>5</v>
      </c>
      <c r="B128" s="259" t="s">
        <v>125</v>
      </c>
      <c r="C128" s="251" t="n">
        <v>0</v>
      </c>
      <c r="D128" s="251" t="n">
        <v>0</v>
      </c>
      <c r="E128" s="260" t="n">
        <v>0</v>
      </c>
      <c r="F128" s="251" t="n">
        <v>0</v>
      </c>
      <c r="G128" s="251" t="n">
        <v>0</v>
      </c>
      <c r="H128" s="192" t="n">
        <v>0</v>
      </c>
      <c r="I128" s="251" t="n">
        <v>441</v>
      </c>
      <c r="J128" s="251" t="n">
        <v>812</v>
      </c>
      <c r="K128" s="260" t="n">
        <f aca="false">I128/J128*100</f>
        <v>54.3103448275862</v>
      </c>
      <c r="L128" s="251" t="n">
        <v>0</v>
      </c>
      <c r="M128" s="251" t="n">
        <v>0</v>
      </c>
      <c r="N128" s="251" t="n">
        <v>0</v>
      </c>
      <c r="O128" s="219" t="n">
        <v>8</v>
      </c>
      <c r="P128" s="261" t="n">
        <v>70</v>
      </c>
      <c r="Q128" s="219" t="n">
        <v>8</v>
      </c>
      <c r="R128" s="202" t="n">
        <f aca="false">O128*P128</f>
        <v>560</v>
      </c>
    </row>
    <row r="129" customFormat="false" ht="15" hidden="false" customHeight="false" outlineLevel="0" collapsed="false">
      <c r="A129" s="210" t="n">
        <v>6</v>
      </c>
      <c r="B129" s="259" t="s">
        <v>126</v>
      </c>
      <c r="C129" s="200" t="n">
        <v>0</v>
      </c>
      <c r="D129" s="200" t="n">
        <v>0</v>
      </c>
      <c r="E129" s="214" t="n">
        <v>0</v>
      </c>
      <c r="F129" s="200" t="n">
        <v>0</v>
      </c>
      <c r="G129" s="200" t="n">
        <v>0</v>
      </c>
      <c r="H129" s="214" t="n">
        <v>0</v>
      </c>
      <c r="I129" s="200" t="n">
        <v>0</v>
      </c>
      <c r="J129" s="200" t="n">
        <v>0</v>
      </c>
      <c r="K129" s="214" t="n">
        <v>0</v>
      </c>
      <c r="L129" s="200" t="n">
        <v>0</v>
      </c>
      <c r="M129" s="200" t="n">
        <v>0</v>
      </c>
      <c r="N129" s="214" t="n">
        <v>0</v>
      </c>
      <c r="O129" s="203" t="n">
        <v>0</v>
      </c>
      <c r="P129" s="204" t="n">
        <v>0</v>
      </c>
      <c r="Q129" s="203" t="n">
        <v>0</v>
      </c>
      <c r="R129" s="202" t="n">
        <f aca="false">O129*P129</f>
        <v>0</v>
      </c>
    </row>
    <row r="130" customFormat="false" ht="15" hidden="false" customHeight="false" outlineLevel="0" collapsed="false">
      <c r="A130" s="210" t="n">
        <v>7</v>
      </c>
      <c r="B130" s="258" t="s">
        <v>127</v>
      </c>
      <c r="C130" s="208" t="n">
        <v>3462</v>
      </c>
      <c r="D130" s="208" t="n">
        <v>2713</v>
      </c>
      <c r="E130" s="214" t="n">
        <f aca="false">C130/D130*100</f>
        <v>127.607814227792</v>
      </c>
      <c r="F130" s="208" t="n">
        <v>2795</v>
      </c>
      <c r="G130" s="208" t="n">
        <v>0</v>
      </c>
      <c r="H130" s="214" t="e">
        <f aca="false">F130/G130*100</f>
        <v>#DIV/0!</v>
      </c>
      <c r="I130" s="208" t="n">
        <v>3462</v>
      </c>
      <c r="J130" s="208" t="n">
        <v>2713</v>
      </c>
      <c r="K130" s="260" t="n">
        <f aca="false">I130/J130*100</f>
        <v>127.607814227792</v>
      </c>
      <c r="L130" s="208" t="n">
        <v>0</v>
      </c>
      <c r="M130" s="208" t="n">
        <v>0</v>
      </c>
      <c r="N130" s="192" t="n">
        <v>0</v>
      </c>
      <c r="O130" s="219" t="n">
        <v>14</v>
      </c>
      <c r="P130" s="250" t="n">
        <v>62</v>
      </c>
      <c r="Q130" s="219" t="n">
        <v>14</v>
      </c>
      <c r="R130" s="202" t="n">
        <f aca="false">O130*P130</f>
        <v>868</v>
      </c>
    </row>
    <row r="131" customFormat="false" ht="15" hidden="false" customHeight="false" outlineLevel="0" collapsed="false">
      <c r="A131" s="215" t="s">
        <v>128</v>
      </c>
      <c r="B131" s="215" t="s">
        <v>128</v>
      </c>
      <c r="C131" s="216" t="n">
        <f aca="false">SUM(C124:C130)</f>
        <v>241504</v>
      </c>
      <c r="D131" s="216" t="n">
        <f aca="false">SUM(D124:D130)</f>
        <v>213799</v>
      </c>
      <c r="E131" s="217" t="n">
        <f aca="false">C131/D131*100</f>
        <v>112.95843292064</v>
      </c>
      <c r="F131" s="216" t="n">
        <f aca="false">SUM(F124:F130)</f>
        <v>2795</v>
      </c>
      <c r="G131" s="216" t="n">
        <f aca="false">SUM(G124:G130)</f>
        <v>0</v>
      </c>
      <c r="H131" s="217" t="e">
        <f aca="false">F131/G131*100</f>
        <v>#DIV/0!</v>
      </c>
      <c r="I131" s="216" t="n">
        <f aca="false">SUM(I124:I130)</f>
        <v>241383</v>
      </c>
      <c r="J131" s="216" t="n">
        <f aca="false">SUM(J124:J130)</f>
        <v>171472</v>
      </c>
      <c r="K131" s="217" t="n">
        <f aca="false">I131/J131*100</f>
        <v>140.771087991042</v>
      </c>
      <c r="L131" s="216" t="n">
        <f aca="false">SUM(L124:L130)</f>
        <v>3379</v>
      </c>
      <c r="M131" s="216" t="n">
        <f aca="false">SUM(M124:M130)</f>
        <v>0</v>
      </c>
      <c r="N131" s="237" t="n">
        <v>0</v>
      </c>
      <c r="O131" s="216" t="n">
        <f aca="false">SUM(O124:O130)</f>
        <v>101</v>
      </c>
      <c r="P131" s="237" t="n">
        <f aca="false">R131/O131</f>
        <v>76.7128712871287</v>
      </c>
      <c r="Q131" s="216" t="n">
        <f aca="false">SUM(Q124:Q130)</f>
        <v>97</v>
      </c>
      <c r="R131" s="232" t="n">
        <f aca="false">SUM(R124:R130)</f>
        <v>7748</v>
      </c>
    </row>
    <row r="132" customFormat="false" ht="15" hidden="false" customHeight="false" outlineLevel="0" collapsed="false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192"/>
      <c r="L132" s="203"/>
      <c r="M132" s="203"/>
      <c r="N132" s="203"/>
      <c r="O132" s="203"/>
      <c r="P132" s="219"/>
      <c r="Q132" s="203"/>
      <c r="R132" s="197"/>
    </row>
    <row r="133" customFormat="false" ht="15" hidden="false" customHeight="false" outlineLevel="0" collapsed="false">
      <c r="A133" s="190" t="s">
        <v>129</v>
      </c>
      <c r="B133" s="190"/>
      <c r="C133" s="195" t="n">
        <v>3</v>
      </c>
      <c r="D133" s="195" t="n">
        <v>4</v>
      </c>
      <c r="E133" s="196" t="n">
        <v>5</v>
      </c>
      <c r="F133" s="195" t="n">
        <v>6</v>
      </c>
      <c r="G133" s="195" t="n">
        <v>7</v>
      </c>
      <c r="H133" s="195" t="n">
        <v>8</v>
      </c>
      <c r="I133" s="195" t="n">
        <v>9</v>
      </c>
      <c r="J133" s="195" t="n">
        <v>10</v>
      </c>
      <c r="K133" s="195" t="n">
        <v>11</v>
      </c>
      <c r="L133" s="195" t="n">
        <v>12</v>
      </c>
      <c r="M133" s="195" t="n">
        <v>13</v>
      </c>
      <c r="N133" s="195" t="n">
        <v>14</v>
      </c>
      <c r="O133" s="195" t="n">
        <v>15</v>
      </c>
      <c r="P133" s="196" t="n">
        <v>16</v>
      </c>
      <c r="Q133" s="195" t="n">
        <v>15</v>
      </c>
      <c r="R133" s="189"/>
    </row>
    <row r="134" customFormat="false" ht="15" hidden="false" customHeight="false" outlineLevel="0" collapsed="false">
      <c r="A134" s="262" t="n">
        <v>1</v>
      </c>
      <c r="B134" s="243" t="s">
        <v>130</v>
      </c>
      <c r="C134" s="219" t="n">
        <v>20896361</v>
      </c>
      <c r="D134" s="219" t="n">
        <v>16907456</v>
      </c>
      <c r="E134" s="214" t="n">
        <f aca="false">C134/D134*100</f>
        <v>123.592579510483</v>
      </c>
      <c r="F134" s="219" t="n">
        <v>9883034</v>
      </c>
      <c r="G134" s="219" t="n">
        <v>8174135</v>
      </c>
      <c r="H134" s="214" t="n">
        <f aca="false">F134/G134*100</f>
        <v>120.906175393482</v>
      </c>
      <c r="I134" s="262" t="n">
        <v>22417835</v>
      </c>
      <c r="J134" s="262" t="n">
        <v>16954261</v>
      </c>
      <c r="K134" s="214" t="n">
        <f aca="false">I134/J134*100</f>
        <v>132.225373904531</v>
      </c>
      <c r="L134" s="262" t="n">
        <v>12493450</v>
      </c>
      <c r="M134" s="262" t="n">
        <v>7077078</v>
      </c>
      <c r="N134" s="214" t="n">
        <f aca="false">L134/M134*100</f>
        <v>176.534015874913</v>
      </c>
      <c r="O134" s="203" t="n">
        <v>2940</v>
      </c>
      <c r="P134" s="219" t="n">
        <v>145</v>
      </c>
      <c r="Q134" s="203" t="n">
        <v>2932</v>
      </c>
      <c r="R134" s="202" t="n">
        <f aca="false">O134*P134</f>
        <v>426300</v>
      </c>
    </row>
    <row r="135" customFormat="false" ht="15" hidden="false" customHeight="false" outlineLevel="0" collapsed="false">
      <c r="A135" s="262" t="n">
        <v>2</v>
      </c>
      <c r="B135" s="243" t="s">
        <v>131</v>
      </c>
      <c r="C135" s="219" t="n">
        <v>3845629</v>
      </c>
      <c r="D135" s="219" t="n">
        <v>4031696</v>
      </c>
      <c r="E135" s="214" t="n">
        <f aca="false">C135/D135*100</f>
        <v>95.3848950912966</v>
      </c>
      <c r="F135" s="219" t="n">
        <v>1511281</v>
      </c>
      <c r="G135" s="219" t="n">
        <v>1938976</v>
      </c>
      <c r="H135" s="214" t="n">
        <f aca="false">F135/G135*100</f>
        <v>77.9422231115805</v>
      </c>
      <c r="I135" s="262" t="n">
        <v>3155303</v>
      </c>
      <c r="J135" s="262" t="n">
        <v>2625713</v>
      </c>
      <c r="K135" s="214" t="n">
        <f aca="false">I135/J135*100</f>
        <v>120.169378755409</v>
      </c>
      <c r="L135" s="262" t="n">
        <v>3155803</v>
      </c>
      <c r="M135" s="262" t="n">
        <v>2625713</v>
      </c>
      <c r="N135" s="214" t="n">
        <f aca="false">L135/M135*100</f>
        <v>120.188421202165</v>
      </c>
      <c r="O135" s="203" t="n">
        <v>989</v>
      </c>
      <c r="P135" s="219" t="n">
        <v>120</v>
      </c>
      <c r="Q135" s="203" t="n">
        <v>985</v>
      </c>
      <c r="R135" s="202" t="n">
        <f aca="false">O135*P135</f>
        <v>118680</v>
      </c>
    </row>
    <row r="136" customFormat="false" ht="15" hidden="false" customHeight="false" outlineLevel="0" collapsed="false">
      <c r="A136" s="262" t="n">
        <v>3</v>
      </c>
      <c r="B136" s="243" t="s">
        <v>132</v>
      </c>
      <c r="C136" s="219" t="n">
        <v>3359808</v>
      </c>
      <c r="D136" s="219" t="n">
        <v>4216490</v>
      </c>
      <c r="E136" s="214" t="n">
        <f aca="false">C136/D136*100</f>
        <v>79.6825795863384</v>
      </c>
      <c r="F136" s="219" t="n">
        <v>1265571</v>
      </c>
      <c r="G136" s="219" t="n">
        <v>2295985</v>
      </c>
      <c r="H136" s="214" t="n">
        <f aca="false">F136/G136*100</f>
        <v>55.1210482646881</v>
      </c>
      <c r="I136" s="262" t="n">
        <v>3847121</v>
      </c>
      <c r="J136" s="262" t="n">
        <v>1393102</v>
      </c>
      <c r="K136" s="214" t="n">
        <f aca="false">I136/J136*100</f>
        <v>276.155012339369</v>
      </c>
      <c r="L136" s="262" t="n">
        <v>3847121</v>
      </c>
      <c r="M136" s="262" t="n">
        <v>1393102</v>
      </c>
      <c r="N136" s="214" t="n">
        <f aca="false">L136/M136*100</f>
        <v>276.155012339369</v>
      </c>
      <c r="O136" s="203" t="n">
        <v>1210</v>
      </c>
      <c r="P136" s="236" t="n">
        <v>306</v>
      </c>
      <c r="Q136" s="203" t="n">
        <v>1210</v>
      </c>
      <c r="R136" s="202" t="n">
        <f aca="false">O136*P136</f>
        <v>370260</v>
      </c>
    </row>
    <row r="137" customFormat="false" ht="15" hidden="false" customHeight="false" outlineLevel="0" collapsed="false">
      <c r="A137" s="262" t="n">
        <v>4</v>
      </c>
      <c r="B137" s="243" t="s">
        <v>133</v>
      </c>
      <c r="C137" s="236" t="n">
        <v>606680</v>
      </c>
      <c r="D137" s="236" t="n">
        <v>913423</v>
      </c>
      <c r="E137" s="214" t="n">
        <f aca="false">C137/D137*100</f>
        <v>66.4182968898309</v>
      </c>
      <c r="F137" s="203" t="n">
        <v>240794</v>
      </c>
      <c r="G137" s="203" t="n">
        <v>395896</v>
      </c>
      <c r="H137" s="214" t="n">
        <f aca="false">F137/G137*100</f>
        <v>60.8225392527331</v>
      </c>
      <c r="I137" s="203" t="n">
        <v>792558</v>
      </c>
      <c r="J137" s="203" t="n">
        <v>802192</v>
      </c>
      <c r="K137" s="214" t="n">
        <f aca="false">I137/J137*100</f>
        <v>98.7990406286774</v>
      </c>
      <c r="L137" s="203" t="n">
        <v>792558</v>
      </c>
      <c r="M137" s="203" t="n">
        <v>802192</v>
      </c>
      <c r="N137" s="214" t="n">
        <f aca="false">L137/M137*100</f>
        <v>98.7990406286774</v>
      </c>
      <c r="O137" s="203" t="n">
        <v>552</v>
      </c>
      <c r="P137" s="219" t="n">
        <v>150</v>
      </c>
      <c r="Q137" s="203" t="n">
        <v>554</v>
      </c>
      <c r="R137" s="202" t="n">
        <f aca="false">O137*P137</f>
        <v>82800</v>
      </c>
    </row>
    <row r="138" customFormat="false" ht="15" hidden="false" customHeight="false" outlineLevel="0" collapsed="false">
      <c r="A138" s="262" t="n">
        <v>5</v>
      </c>
      <c r="B138" s="243" t="s">
        <v>134</v>
      </c>
      <c r="C138" s="203" t="n">
        <v>419411</v>
      </c>
      <c r="D138" s="203" t="n">
        <v>298609</v>
      </c>
      <c r="E138" s="214" t="n">
        <f aca="false">C138/D138*100</f>
        <v>140.454909262614</v>
      </c>
      <c r="F138" s="203" t="n">
        <v>98427</v>
      </c>
      <c r="G138" s="203" t="n">
        <v>298609</v>
      </c>
      <c r="H138" s="214" t="n">
        <f aca="false">F138/G138*100</f>
        <v>32.961833032494</v>
      </c>
      <c r="I138" s="203" t="n">
        <v>839221</v>
      </c>
      <c r="J138" s="203" t="n">
        <v>0</v>
      </c>
      <c r="K138" s="214" t="n">
        <v>0</v>
      </c>
      <c r="L138" s="203" t="n">
        <v>839221</v>
      </c>
      <c r="M138" s="203" t="n">
        <v>0</v>
      </c>
      <c r="N138" s="214" t="n">
        <v>0</v>
      </c>
      <c r="O138" s="203" t="n">
        <v>419</v>
      </c>
      <c r="P138" s="204" t="n">
        <v>103</v>
      </c>
      <c r="Q138" s="203" t="n">
        <v>420</v>
      </c>
      <c r="R138" s="202" t="n">
        <f aca="false">O138*P138</f>
        <v>43157</v>
      </c>
    </row>
    <row r="139" customFormat="false" ht="15" hidden="false" customHeight="false" outlineLevel="0" collapsed="false">
      <c r="A139" s="215" t="s">
        <v>135</v>
      </c>
      <c r="B139" s="215" t="s">
        <v>136</v>
      </c>
      <c r="C139" s="237" t="n">
        <f aca="false">SUM(C134:C138)</f>
        <v>29127889</v>
      </c>
      <c r="D139" s="237" t="n">
        <f aca="false">SUM(D134:D138)</f>
        <v>26367674</v>
      </c>
      <c r="E139" s="217" t="n">
        <f aca="false">C139/D139*100</f>
        <v>110.468177815002</v>
      </c>
      <c r="F139" s="237" t="n">
        <f aca="false">SUM(F134:F138)</f>
        <v>12999107</v>
      </c>
      <c r="G139" s="237" t="n">
        <f aca="false">SUM(G134:G138)</f>
        <v>13103601</v>
      </c>
      <c r="H139" s="217" t="n">
        <f aca="false">F139/G139*100</f>
        <v>99.202555083904</v>
      </c>
      <c r="I139" s="237" t="n">
        <f aca="false">SUM(I134:I138)</f>
        <v>31052038</v>
      </c>
      <c r="J139" s="237" t="n">
        <f aca="false">SUM(J134:J138)</f>
        <v>21775268</v>
      </c>
      <c r="K139" s="217" t="n">
        <f aca="false">I139/J139*100</f>
        <v>142.602322965669</v>
      </c>
      <c r="L139" s="237" t="n">
        <f aca="false">SUM(L134:L138)</f>
        <v>21128153</v>
      </c>
      <c r="M139" s="237" t="n">
        <f aca="false">SUM(M134:M138)</f>
        <v>11898085</v>
      </c>
      <c r="N139" s="217" t="n">
        <f aca="false">L139/M139*100</f>
        <v>177.576080520521</v>
      </c>
      <c r="O139" s="237" t="n">
        <f aca="false">SUM(O134:O138)</f>
        <v>6110</v>
      </c>
      <c r="P139" s="237" t="n">
        <f aca="false">R139/O139</f>
        <v>170.408674304419</v>
      </c>
      <c r="Q139" s="237" t="n">
        <f aca="false">SUM(Q134:Q138)</f>
        <v>6101</v>
      </c>
      <c r="R139" s="237" t="n">
        <f aca="false">SUM(R134:R138)</f>
        <v>1041197</v>
      </c>
    </row>
    <row r="140" customFormat="false" ht="15" hidden="false" customHeight="false" outlineLevel="0" collapsed="false">
      <c r="A140" s="263"/>
      <c r="B140" s="263"/>
      <c r="C140" s="264"/>
      <c r="D140" s="264"/>
      <c r="E140" s="265"/>
      <c r="F140" s="266"/>
      <c r="G140" s="266"/>
      <c r="H140" s="265"/>
      <c r="I140" s="266"/>
      <c r="J140" s="266"/>
      <c r="K140" s="265"/>
      <c r="L140" s="266"/>
      <c r="M140" s="266"/>
      <c r="N140" s="265"/>
      <c r="O140" s="266"/>
      <c r="P140" s="264"/>
      <c r="Q140" s="266"/>
      <c r="R140" s="267"/>
    </row>
    <row r="141" customFormat="false" ht="15" hidden="false" customHeight="false" outlineLevel="0" collapsed="false">
      <c r="A141" s="263"/>
      <c r="B141" s="263" t="s">
        <v>137</v>
      </c>
      <c r="C141" s="195" t="n">
        <v>3</v>
      </c>
      <c r="D141" s="195" t="n">
        <v>4</v>
      </c>
      <c r="E141" s="196" t="n">
        <v>5</v>
      </c>
      <c r="F141" s="195" t="n">
        <v>6</v>
      </c>
      <c r="G141" s="195" t="n">
        <v>7</v>
      </c>
      <c r="H141" s="195" t="n">
        <v>8</v>
      </c>
      <c r="I141" s="195" t="n">
        <v>9</v>
      </c>
      <c r="J141" s="195" t="n">
        <v>10</v>
      </c>
      <c r="K141" s="195" t="n">
        <v>11</v>
      </c>
      <c r="L141" s="195" t="n">
        <v>12</v>
      </c>
      <c r="M141" s="195" t="n">
        <v>13</v>
      </c>
      <c r="N141" s="195" t="n">
        <v>14</v>
      </c>
      <c r="O141" s="195" t="n">
        <v>15</v>
      </c>
      <c r="P141" s="196" t="n">
        <v>16</v>
      </c>
      <c r="Q141" s="195" t="n">
        <v>15</v>
      </c>
      <c r="R141" s="267"/>
    </row>
    <row r="142" customFormat="false" ht="15" hidden="false" customHeight="false" outlineLevel="0" collapsed="false">
      <c r="A142" s="262" t="n">
        <v>6</v>
      </c>
      <c r="B142" s="243" t="s">
        <v>138</v>
      </c>
      <c r="C142" s="219" t="n">
        <v>3551829</v>
      </c>
      <c r="D142" s="219" t="n">
        <v>2632126</v>
      </c>
      <c r="E142" s="214" t="n">
        <f aca="false">C142/D142*100</f>
        <v>134.941450371297</v>
      </c>
      <c r="F142" s="219" t="n">
        <v>1748250</v>
      </c>
      <c r="G142" s="219" t="n">
        <v>866256</v>
      </c>
      <c r="H142" s="214" t="n">
        <f aca="false">F142/G142*100</f>
        <v>201.816783953012</v>
      </c>
      <c r="I142" s="262" t="n">
        <v>3704365</v>
      </c>
      <c r="J142" s="262" t="n">
        <v>2668010</v>
      </c>
      <c r="K142" s="214" t="n">
        <f aca="false">I142/J142*100</f>
        <v>138.843744963475</v>
      </c>
      <c r="L142" s="262" t="n">
        <v>3704365</v>
      </c>
      <c r="M142" s="262" t="n">
        <v>2668010</v>
      </c>
      <c r="N142" s="214" t="n">
        <f aca="false">L142/M142*100</f>
        <v>138.843744963475</v>
      </c>
      <c r="O142" s="203" t="n">
        <v>178</v>
      </c>
      <c r="P142" s="236" t="n">
        <v>150</v>
      </c>
      <c r="Q142" s="203" t="n">
        <v>475</v>
      </c>
      <c r="R142" s="202" t="n">
        <f aca="false">O142*P142</f>
        <v>26700</v>
      </c>
    </row>
    <row r="143" customFormat="false" ht="15" hidden="false" customHeight="false" outlineLevel="0" collapsed="false">
      <c r="A143" s="262" t="n">
        <v>10</v>
      </c>
      <c r="B143" s="243" t="s">
        <v>139</v>
      </c>
      <c r="C143" s="236" t="n">
        <v>7846751</v>
      </c>
      <c r="D143" s="236" t="n">
        <v>6640526</v>
      </c>
      <c r="E143" s="214" t="n">
        <f aca="false">C143/D143*100</f>
        <v>118.164600213899</v>
      </c>
      <c r="F143" s="236" t="n">
        <v>3643723</v>
      </c>
      <c r="G143" s="236" t="n">
        <v>3301872</v>
      </c>
      <c r="H143" s="214" t="n">
        <f aca="false">F143/G143*100</f>
        <v>110.353248096837</v>
      </c>
      <c r="I143" s="203" t="n">
        <v>7615284</v>
      </c>
      <c r="J143" s="203" t="n">
        <v>5127311</v>
      </c>
      <c r="K143" s="214" t="n">
        <f aca="false">I143/J143*100</f>
        <v>148.523933890493</v>
      </c>
      <c r="L143" s="203" t="n">
        <v>7606990</v>
      </c>
      <c r="M143" s="203" t="n">
        <v>5126996</v>
      </c>
      <c r="N143" s="214" t="n">
        <f aca="false">L143/M143*100</f>
        <v>148.37128798228</v>
      </c>
      <c r="O143" s="203" t="n">
        <v>654</v>
      </c>
      <c r="P143" s="219" t="n">
        <v>134</v>
      </c>
      <c r="Q143" s="203" t="n">
        <v>655</v>
      </c>
      <c r="R143" s="202" t="n">
        <f aca="false">O143*P143</f>
        <v>87636</v>
      </c>
    </row>
    <row r="144" customFormat="false" ht="15" hidden="false" customHeight="false" outlineLevel="0" collapsed="false">
      <c r="A144" s="262" t="n">
        <v>11</v>
      </c>
      <c r="B144" s="243" t="s">
        <v>140</v>
      </c>
      <c r="C144" s="219" t="n">
        <v>4973687</v>
      </c>
      <c r="D144" s="219" t="n">
        <v>4750047</v>
      </c>
      <c r="E144" s="214" t="n">
        <f aca="false">C144/D144*100</f>
        <v>104.708163940273</v>
      </c>
      <c r="F144" s="203" t="n">
        <v>2319347</v>
      </c>
      <c r="G144" s="203" t="n">
        <v>2455652</v>
      </c>
      <c r="H144" s="214" t="n">
        <f aca="false">F144/G144*100</f>
        <v>94.4493356550521</v>
      </c>
      <c r="I144" s="203" t="n">
        <v>5305506</v>
      </c>
      <c r="J144" s="203" t="n">
        <v>4840118</v>
      </c>
      <c r="K144" s="214" t="n">
        <f aca="false">I144/J144*100</f>
        <v>109.615220124799</v>
      </c>
      <c r="L144" s="203" t="n">
        <v>5305506</v>
      </c>
      <c r="M144" s="203" t="n">
        <v>4840118</v>
      </c>
      <c r="N144" s="214" t="n">
        <f aca="false">L144/M144*100</f>
        <v>109.615220124799</v>
      </c>
      <c r="O144" s="203" t="n">
        <v>565</v>
      </c>
      <c r="P144" s="219" t="n">
        <v>180</v>
      </c>
      <c r="Q144" s="203" t="n">
        <v>560</v>
      </c>
      <c r="R144" s="202" t="n">
        <f aca="false">O144*P144</f>
        <v>101700</v>
      </c>
    </row>
    <row r="145" customFormat="false" ht="15" hidden="false" customHeight="false" outlineLevel="0" collapsed="false">
      <c r="A145" s="262" t="n">
        <v>14</v>
      </c>
      <c r="B145" s="243" t="s">
        <v>141</v>
      </c>
      <c r="C145" s="236" t="n">
        <v>710394</v>
      </c>
      <c r="D145" s="236" t="n">
        <v>607876</v>
      </c>
      <c r="E145" s="214" t="n">
        <f aca="false">C145/D145*100</f>
        <v>116.864952720621</v>
      </c>
      <c r="F145" s="262" t="n">
        <v>376270</v>
      </c>
      <c r="G145" s="262" t="n">
        <v>343998</v>
      </c>
      <c r="H145" s="214" t="n">
        <f aca="false">F145/G145*100</f>
        <v>109.381449892151</v>
      </c>
      <c r="I145" s="262" t="n">
        <v>925765</v>
      </c>
      <c r="J145" s="262" t="n">
        <v>587735</v>
      </c>
      <c r="K145" s="214" t="n">
        <f aca="false">I145/J145*100</f>
        <v>157.514015670328</v>
      </c>
      <c r="L145" s="262" t="n">
        <v>0</v>
      </c>
      <c r="M145" s="262" t="n">
        <v>0</v>
      </c>
      <c r="N145" s="214" t="n">
        <v>0</v>
      </c>
      <c r="O145" s="203" t="n">
        <v>322</v>
      </c>
      <c r="P145" s="236" t="n">
        <v>58</v>
      </c>
      <c r="Q145" s="203" t="n">
        <v>320</v>
      </c>
      <c r="R145" s="202" t="n">
        <f aca="false">O145*P145</f>
        <v>18676</v>
      </c>
    </row>
    <row r="146" customFormat="false" ht="15" hidden="false" customHeight="false" outlineLevel="0" collapsed="false">
      <c r="A146" s="262" t="n">
        <v>9</v>
      </c>
      <c r="B146" s="243" t="s">
        <v>142</v>
      </c>
      <c r="C146" s="236" t="n">
        <v>2551256</v>
      </c>
      <c r="D146" s="236" t="n">
        <v>1716870</v>
      </c>
      <c r="E146" s="214" t="n">
        <f aca="false">C146/D146*100</f>
        <v>148.599253292328</v>
      </c>
      <c r="F146" s="236" t="n">
        <v>2551256</v>
      </c>
      <c r="G146" s="236" t="n">
        <v>1716870</v>
      </c>
      <c r="H146" s="214" t="n">
        <f aca="false">F146/G146*100</f>
        <v>148.599253292328</v>
      </c>
      <c r="I146" s="203" t="n">
        <v>2179209</v>
      </c>
      <c r="J146" s="203" t="n">
        <v>2420892</v>
      </c>
      <c r="K146" s="214" t="n">
        <f aca="false">I146/J146*100</f>
        <v>90.0167789393331</v>
      </c>
      <c r="L146" s="203" t="n">
        <v>2179209</v>
      </c>
      <c r="M146" s="203" t="n">
        <v>2420892</v>
      </c>
      <c r="N146" s="214" t="n">
        <f aca="false">L146/M146*100</f>
        <v>90.0167789393331</v>
      </c>
      <c r="O146" s="203" t="n">
        <v>965</v>
      </c>
      <c r="P146" s="219" t="n">
        <v>100</v>
      </c>
      <c r="Q146" s="203" t="n">
        <v>958</v>
      </c>
      <c r="R146" s="202" t="n">
        <f aca="false">O146*P146</f>
        <v>96500</v>
      </c>
    </row>
    <row r="147" customFormat="false" ht="15" hidden="false" customHeight="false" outlineLevel="0" collapsed="false">
      <c r="A147" s="262" t="n">
        <v>15</v>
      </c>
      <c r="B147" s="243" t="s">
        <v>143</v>
      </c>
      <c r="C147" s="219" t="n">
        <v>5770021</v>
      </c>
      <c r="D147" s="219" t="n">
        <v>4528439</v>
      </c>
      <c r="E147" s="214" t="n">
        <f aca="false">C147/D147*100</f>
        <v>127.417438989462</v>
      </c>
      <c r="F147" s="219" t="n">
        <v>2735550</v>
      </c>
      <c r="G147" s="219" t="n">
        <v>1895267</v>
      </c>
      <c r="H147" s="214" t="n">
        <f aca="false">F147/G147*100</f>
        <v>144.33586402338</v>
      </c>
      <c r="I147" s="203" t="n">
        <v>5779834</v>
      </c>
      <c r="J147" s="203" t="n">
        <v>3931639</v>
      </c>
      <c r="K147" s="214" t="n">
        <f aca="false">I147/J147*100</f>
        <v>147.00825787922</v>
      </c>
      <c r="L147" s="203" t="n">
        <v>5777990</v>
      </c>
      <c r="M147" s="203" t="n">
        <v>3915997</v>
      </c>
      <c r="N147" s="214" t="n">
        <f aca="false">L147/M147*100</f>
        <v>147.548376569236</v>
      </c>
      <c r="O147" s="203" t="n">
        <v>642</v>
      </c>
      <c r="P147" s="219" t="n">
        <v>130</v>
      </c>
      <c r="Q147" s="203" t="n">
        <v>641</v>
      </c>
      <c r="R147" s="202" t="n">
        <f aca="false">O147*P147</f>
        <v>83460</v>
      </c>
    </row>
    <row r="148" customFormat="false" ht="15" hidden="false" customHeight="false" outlineLevel="0" collapsed="false">
      <c r="A148" s="262" t="n">
        <v>13</v>
      </c>
      <c r="B148" s="243" t="s">
        <v>144</v>
      </c>
      <c r="C148" s="200" t="n">
        <v>0</v>
      </c>
      <c r="D148" s="200" t="n">
        <v>0</v>
      </c>
      <c r="E148" s="214" t="n">
        <v>0</v>
      </c>
      <c r="F148" s="200" t="n">
        <v>0</v>
      </c>
      <c r="G148" s="200" t="n">
        <v>0</v>
      </c>
      <c r="H148" s="214" t="n">
        <v>0</v>
      </c>
      <c r="I148" s="200" t="n">
        <v>0</v>
      </c>
      <c r="J148" s="200" t="n">
        <v>0</v>
      </c>
      <c r="K148" s="214" t="n">
        <v>0</v>
      </c>
      <c r="L148" s="200" t="n">
        <v>0</v>
      </c>
      <c r="M148" s="200" t="n">
        <v>0</v>
      </c>
      <c r="N148" s="214" t="n">
        <v>0</v>
      </c>
      <c r="O148" s="203" t="n">
        <v>0</v>
      </c>
      <c r="P148" s="204" t="n">
        <v>0</v>
      </c>
      <c r="Q148" s="203" t="n">
        <v>0</v>
      </c>
      <c r="R148" s="202" t="n">
        <f aca="false">O148*P148</f>
        <v>0</v>
      </c>
    </row>
    <row r="149" customFormat="false" ht="15" hidden="false" customHeight="false" outlineLevel="0" collapsed="false">
      <c r="A149" s="215" t="s">
        <v>145</v>
      </c>
      <c r="B149" s="215" t="s">
        <v>136</v>
      </c>
      <c r="C149" s="237" t="n">
        <f aca="false">SUM(C142:C148)</f>
        <v>25403938</v>
      </c>
      <c r="D149" s="237" t="n">
        <f aca="false">SUM(D142:D148)</f>
        <v>20875884</v>
      </c>
      <c r="E149" s="217" t="n">
        <f aca="false">C149/D149*100</f>
        <v>121.690358118487</v>
      </c>
      <c r="F149" s="237" t="n">
        <f aca="false">SUM(F142:F148)</f>
        <v>13374396</v>
      </c>
      <c r="G149" s="237" t="n">
        <f aca="false">SUM(G142:G148)</f>
        <v>10579915</v>
      </c>
      <c r="H149" s="217" t="n">
        <f aca="false">F149/G149*100</f>
        <v>126.413076097492</v>
      </c>
      <c r="I149" s="237" t="n">
        <f aca="false">SUM(I142:I148)</f>
        <v>25509963</v>
      </c>
      <c r="J149" s="237" t="n">
        <f aca="false">SUM(J142:J148)</f>
        <v>19575705</v>
      </c>
      <c r="K149" s="217" t="n">
        <f aca="false">I149/J149*100</f>
        <v>130.314402469796</v>
      </c>
      <c r="L149" s="237" t="n">
        <f aca="false">SUM(L142:L148)</f>
        <v>24574060</v>
      </c>
      <c r="M149" s="237" t="n">
        <f aca="false">SUM(M142:M148)</f>
        <v>18972013</v>
      </c>
      <c r="N149" s="217" t="n">
        <f aca="false">L149/M149*100</f>
        <v>129.527952568871</v>
      </c>
      <c r="O149" s="216" t="n">
        <f aca="false">SUM(O142:O148)</f>
        <v>3326</v>
      </c>
      <c r="P149" s="237" t="n">
        <f aca="false">R149/O149</f>
        <v>124.675886951293</v>
      </c>
      <c r="Q149" s="216" t="n">
        <f aca="false">SUM(Q142:Q148)</f>
        <v>3609</v>
      </c>
      <c r="R149" s="232" t="n">
        <f aca="false">SUM(R142:R148)</f>
        <v>414672</v>
      </c>
    </row>
    <row r="150" customFormat="false" ht="15" hidden="false" customHeight="false" outlineLevel="0" collapsed="false">
      <c r="A150" s="268" t="s">
        <v>146</v>
      </c>
      <c r="B150" s="268" t="s">
        <v>78</v>
      </c>
      <c r="C150" s="269" t="n">
        <f aca="false">C139+C149</f>
        <v>54531827</v>
      </c>
      <c r="D150" s="269" t="n">
        <f aca="false">D139+D149</f>
        <v>47243558</v>
      </c>
      <c r="E150" s="240" t="n">
        <f aca="false">C150/D150*100</f>
        <v>115.427011233997</v>
      </c>
      <c r="F150" s="269" t="n">
        <f aca="false">F139+F149</f>
        <v>26373503</v>
      </c>
      <c r="G150" s="269" t="n">
        <f aca="false">G139+G149</f>
        <v>23683516</v>
      </c>
      <c r="H150" s="240" t="n">
        <f aca="false">F150/G150*100</f>
        <v>111.35805595757</v>
      </c>
      <c r="I150" s="269" t="n">
        <f aca="false">I139+I149</f>
        <v>56562001</v>
      </c>
      <c r="J150" s="269" t="n">
        <f aca="false">J139+J149</f>
        <v>41350973</v>
      </c>
      <c r="K150" s="240" t="n">
        <f aca="false">I150/J150*100</f>
        <v>136.785175526583</v>
      </c>
      <c r="L150" s="269" t="n">
        <f aca="false">L139+L149</f>
        <v>45702213</v>
      </c>
      <c r="M150" s="269" t="n">
        <f aca="false">M139+M149</f>
        <v>30870098</v>
      </c>
      <c r="N150" s="240" t="n">
        <f aca="false">L150/M150*100</f>
        <v>148.046867230548</v>
      </c>
      <c r="O150" s="269" t="n">
        <f aca="false">O139+O149</f>
        <v>9436</v>
      </c>
      <c r="P150" s="240" t="n">
        <f aca="false">R150/O150</f>
        <v>154.288787621874</v>
      </c>
      <c r="Q150" s="269" t="n">
        <f aca="false">Q139+Q149</f>
        <v>9710</v>
      </c>
      <c r="R150" s="269" t="n">
        <f aca="false">R139+R149</f>
        <v>1455869</v>
      </c>
    </row>
    <row r="151" customFormat="false" ht="15" hidden="false" customHeight="false" outlineLevel="0" collapsed="false">
      <c r="A151" s="263"/>
      <c r="B151" s="263"/>
      <c r="C151" s="264"/>
      <c r="D151" s="264"/>
      <c r="E151" s="265"/>
      <c r="F151" s="266"/>
      <c r="G151" s="266"/>
      <c r="H151" s="265"/>
      <c r="I151" s="266"/>
      <c r="J151" s="266"/>
      <c r="K151" s="265"/>
      <c r="L151" s="266"/>
      <c r="M151" s="266"/>
      <c r="N151" s="265"/>
      <c r="O151" s="266"/>
      <c r="P151" s="264"/>
      <c r="Q151" s="266"/>
      <c r="R151" s="267"/>
    </row>
    <row r="152" customFormat="false" ht="15" hidden="false" customHeight="false" outlineLevel="0" collapsed="false">
      <c r="A152" s="179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189"/>
    </row>
    <row r="153" customFormat="false" ht="15" hidden="false" customHeight="false" outlineLevel="0" collapsed="false">
      <c r="A153" s="270"/>
      <c r="B153" s="270" t="s">
        <v>147</v>
      </c>
      <c r="C153" s="195" t="n">
        <v>3</v>
      </c>
      <c r="D153" s="195" t="n">
        <v>4</v>
      </c>
      <c r="E153" s="196" t="n">
        <v>5</v>
      </c>
      <c r="F153" s="195" t="n">
        <v>6</v>
      </c>
      <c r="G153" s="195" t="n">
        <v>7</v>
      </c>
      <c r="H153" s="195" t="n">
        <v>8</v>
      </c>
      <c r="I153" s="195" t="n">
        <v>9</v>
      </c>
      <c r="J153" s="195" t="n">
        <v>10</v>
      </c>
      <c r="K153" s="195" t="n">
        <v>11</v>
      </c>
      <c r="L153" s="195" t="n">
        <v>12</v>
      </c>
      <c r="M153" s="195" t="n">
        <v>13</v>
      </c>
      <c r="N153" s="195" t="n">
        <v>14</v>
      </c>
      <c r="O153" s="195" t="n">
        <v>15</v>
      </c>
      <c r="P153" s="196" t="n">
        <v>16</v>
      </c>
      <c r="Q153" s="195" t="n">
        <v>15</v>
      </c>
      <c r="R153" s="271"/>
    </row>
    <row r="154" customFormat="false" ht="15" hidden="false" customHeight="false" outlineLevel="0" collapsed="false">
      <c r="A154" s="262" t="n">
        <v>1</v>
      </c>
      <c r="B154" s="272" t="s">
        <v>148</v>
      </c>
      <c r="C154" s="262" t="n">
        <v>2561</v>
      </c>
      <c r="D154" s="262" t="n">
        <v>2333</v>
      </c>
      <c r="E154" s="214" t="n">
        <f aca="false">C154/D154*100</f>
        <v>109.772824689241</v>
      </c>
      <c r="F154" s="192" t="n">
        <v>2149</v>
      </c>
      <c r="G154" s="262" t="n">
        <v>625</v>
      </c>
      <c r="H154" s="214" t="n">
        <f aca="false">F154/G154*100</f>
        <v>343.84</v>
      </c>
      <c r="I154" s="262" t="n">
        <v>2561</v>
      </c>
      <c r="J154" s="262" t="n">
        <v>2333</v>
      </c>
      <c r="K154" s="214" t="n">
        <f aca="false">I154/J154*100</f>
        <v>109.772824689241</v>
      </c>
      <c r="L154" s="262" t="n">
        <v>0</v>
      </c>
      <c r="M154" s="262" t="n">
        <v>0</v>
      </c>
      <c r="N154" s="214" t="n">
        <v>0</v>
      </c>
      <c r="O154" s="262" t="n">
        <v>48</v>
      </c>
      <c r="P154" s="236" t="n">
        <v>83</v>
      </c>
      <c r="Q154" s="262" t="n">
        <v>50</v>
      </c>
      <c r="R154" s="202" t="n">
        <f aca="false">O154*P154</f>
        <v>3984</v>
      </c>
    </row>
    <row r="155" customFormat="false" ht="15" hidden="false" customHeight="false" outlineLevel="0" collapsed="false">
      <c r="A155" s="262" t="n">
        <v>2</v>
      </c>
      <c r="B155" s="272" t="s">
        <v>149</v>
      </c>
      <c r="C155" s="208" t="n">
        <v>1613599</v>
      </c>
      <c r="D155" s="208" t="n">
        <v>960251</v>
      </c>
      <c r="E155" s="214" t="n">
        <f aca="false">C155/D155*100</f>
        <v>168.039293892951</v>
      </c>
      <c r="F155" s="208" t="n">
        <v>793142</v>
      </c>
      <c r="G155" s="208" t="n">
        <v>343581</v>
      </c>
      <c r="H155" s="214" t="n">
        <f aca="false">F155/G155*100</f>
        <v>230.845710327405</v>
      </c>
      <c r="I155" s="208" t="n">
        <v>1202524</v>
      </c>
      <c r="J155" s="208" t="n">
        <v>942449</v>
      </c>
      <c r="K155" s="214" t="n">
        <f aca="false">I155/J155*100</f>
        <v>127.595657696066</v>
      </c>
      <c r="L155" s="208" t="n">
        <v>596071</v>
      </c>
      <c r="M155" s="208" t="n">
        <v>522329</v>
      </c>
      <c r="N155" s="214" t="n">
        <f aca="false">L155/M155*100</f>
        <v>114.117921846193</v>
      </c>
      <c r="O155" s="262" t="n">
        <v>551</v>
      </c>
      <c r="P155" s="236" t="n">
        <v>110</v>
      </c>
      <c r="Q155" s="262" t="n">
        <v>542</v>
      </c>
      <c r="R155" s="202" t="n">
        <f aca="false">O155*P155</f>
        <v>60610</v>
      </c>
    </row>
    <row r="156" customFormat="false" ht="15" hidden="false" customHeight="false" outlineLevel="0" collapsed="false">
      <c r="A156" s="262" t="n">
        <v>3</v>
      </c>
      <c r="B156" s="272" t="s">
        <v>150</v>
      </c>
      <c r="C156" s="200" t="n">
        <v>0</v>
      </c>
      <c r="D156" s="200" t="n">
        <v>0</v>
      </c>
      <c r="E156" s="214" t="n">
        <v>0</v>
      </c>
      <c r="F156" s="200" t="n">
        <v>0</v>
      </c>
      <c r="G156" s="200" t="n">
        <v>0</v>
      </c>
      <c r="H156" s="214" t="n">
        <v>0</v>
      </c>
      <c r="I156" s="200" t="n">
        <v>0</v>
      </c>
      <c r="J156" s="200" t="n">
        <v>0</v>
      </c>
      <c r="K156" s="214" t="n">
        <v>0</v>
      </c>
      <c r="L156" s="200" t="n">
        <v>0</v>
      </c>
      <c r="M156" s="200" t="n">
        <v>0</v>
      </c>
      <c r="N156" s="214" t="n">
        <v>0</v>
      </c>
      <c r="O156" s="203" t="n">
        <v>0</v>
      </c>
      <c r="P156" s="204" t="n">
        <v>0</v>
      </c>
      <c r="Q156" s="203" t="n">
        <v>0</v>
      </c>
      <c r="R156" s="202" t="n">
        <f aca="false">O156*P156</f>
        <v>0</v>
      </c>
    </row>
    <row r="157" customFormat="false" ht="15" hidden="false" customHeight="false" outlineLevel="0" collapsed="false">
      <c r="A157" s="262" t="n">
        <v>4</v>
      </c>
      <c r="B157" s="272" t="s">
        <v>151</v>
      </c>
      <c r="C157" s="262" t="n">
        <v>435334</v>
      </c>
      <c r="D157" s="262" t="n">
        <v>628374</v>
      </c>
      <c r="E157" s="214" t="n">
        <f aca="false">C157/D157*100</f>
        <v>69.2794418610573</v>
      </c>
      <c r="F157" s="262" t="n">
        <v>256172</v>
      </c>
      <c r="G157" s="273" t="n">
        <v>180207</v>
      </c>
      <c r="H157" s="214" t="n">
        <f aca="false">F157/G157*100</f>
        <v>142.154300332396</v>
      </c>
      <c r="I157" s="273" t="n">
        <v>343558</v>
      </c>
      <c r="J157" s="273" t="n">
        <v>60613</v>
      </c>
      <c r="K157" s="214" t="n">
        <f aca="false">I157/J157*100</f>
        <v>566.805800735816</v>
      </c>
      <c r="L157" s="273" t="n">
        <v>278212</v>
      </c>
      <c r="M157" s="273" t="n">
        <v>6298</v>
      </c>
      <c r="N157" s="214" t="n">
        <f aca="false">L157/M157*100</f>
        <v>4417.46586217847</v>
      </c>
      <c r="O157" s="262" t="n">
        <v>296</v>
      </c>
      <c r="P157" s="236" t="n">
        <v>80</v>
      </c>
      <c r="Q157" s="262" t="n">
        <v>310</v>
      </c>
      <c r="R157" s="202" t="n">
        <f aca="false">O157*P157</f>
        <v>23680</v>
      </c>
    </row>
    <row r="158" customFormat="false" ht="15" hidden="false" customHeight="false" outlineLevel="0" collapsed="false">
      <c r="A158" s="262" t="n">
        <v>5</v>
      </c>
      <c r="B158" s="272" t="s">
        <v>152</v>
      </c>
      <c r="C158" s="262" t="n">
        <v>0</v>
      </c>
      <c r="D158" s="262" t="n">
        <v>0</v>
      </c>
      <c r="E158" s="214" t="n">
        <v>0</v>
      </c>
      <c r="F158" s="262" t="n">
        <v>0</v>
      </c>
      <c r="G158" s="262" t="n">
        <v>0</v>
      </c>
      <c r="H158" s="214" t="n">
        <v>0</v>
      </c>
      <c r="I158" s="262" t="n">
        <v>0</v>
      </c>
      <c r="J158" s="262" t="n">
        <v>70283</v>
      </c>
      <c r="K158" s="214" t="n">
        <v>0</v>
      </c>
      <c r="L158" s="262" t="n">
        <v>0</v>
      </c>
      <c r="M158" s="262" t="n">
        <v>0</v>
      </c>
      <c r="N158" s="214" t="n">
        <v>0</v>
      </c>
      <c r="O158" s="262" t="n">
        <v>0</v>
      </c>
      <c r="P158" s="236" t="n">
        <v>0</v>
      </c>
      <c r="Q158" s="262" t="n">
        <v>0</v>
      </c>
      <c r="R158" s="202" t="n">
        <f aca="false">O158*P158</f>
        <v>0</v>
      </c>
    </row>
    <row r="159" customFormat="false" ht="15" hidden="false" customHeight="false" outlineLevel="0" collapsed="false">
      <c r="A159" s="215" t="s">
        <v>153</v>
      </c>
      <c r="B159" s="215" t="s">
        <v>154</v>
      </c>
      <c r="C159" s="216" t="n">
        <f aca="false">SUM(C154:C158)</f>
        <v>2051494</v>
      </c>
      <c r="D159" s="216" t="n">
        <f aca="false">SUM(D154:D158)</f>
        <v>1590958</v>
      </c>
      <c r="E159" s="217" t="n">
        <f aca="false">C159/D159*100</f>
        <v>128.94708722669</v>
      </c>
      <c r="F159" s="216" t="n">
        <f aca="false">SUM(F154:F158)</f>
        <v>1051463</v>
      </c>
      <c r="G159" s="216" t="n">
        <f aca="false">SUM(G154:G158)</f>
        <v>524413</v>
      </c>
      <c r="H159" s="217" t="n">
        <f aca="false">F159/G159*100</f>
        <v>200.50284794618</v>
      </c>
      <c r="I159" s="216" t="n">
        <f aca="false">SUM(I154:I158)</f>
        <v>1548643</v>
      </c>
      <c r="J159" s="216" t="n">
        <f aca="false">SUM(J154:J158)</f>
        <v>1075678</v>
      </c>
      <c r="K159" s="217" t="n">
        <f aca="false">I159/J159*100</f>
        <v>143.969013031781</v>
      </c>
      <c r="L159" s="216" t="n">
        <f aca="false">SUM(L154:L158)</f>
        <v>874283</v>
      </c>
      <c r="M159" s="216" t="n">
        <f aca="false">SUM(M154:M158)</f>
        <v>528627</v>
      </c>
      <c r="N159" s="217" t="n">
        <f aca="false">L159/M159*100</f>
        <v>165.387503854325</v>
      </c>
      <c r="O159" s="216" t="n">
        <f aca="false">SUM(O154:O158)</f>
        <v>895</v>
      </c>
      <c r="P159" s="217" t="n">
        <f aca="false">R159/O159</f>
        <v>98.6301675977654</v>
      </c>
      <c r="Q159" s="216" t="n">
        <f aca="false">SUM(Q154:Q158)</f>
        <v>902</v>
      </c>
      <c r="R159" s="232" t="n">
        <f aca="false">SUM(R154:R158)</f>
        <v>88274</v>
      </c>
    </row>
    <row r="160" customFormat="false" ht="15" hidden="false" customHeight="false" outlineLevel="0" collapsed="false">
      <c r="A160" s="274"/>
      <c r="B160" s="256"/>
      <c r="C160" s="275"/>
      <c r="D160" s="275"/>
      <c r="E160" s="276"/>
      <c r="F160" s="275"/>
      <c r="G160" s="275"/>
      <c r="H160" s="276"/>
      <c r="I160" s="275"/>
      <c r="J160" s="275"/>
      <c r="K160" s="276"/>
      <c r="L160" s="275"/>
      <c r="M160" s="277"/>
      <c r="N160" s="278"/>
      <c r="O160" s="277"/>
      <c r="P160" s="275"/>
      <c r="Q160" s="277"/>
      <c r="R160" s="279"/>
    </row>
    <row r="161" customFormat="false" ht="15" hidden="false" customHeight="false" outlineLevel="0" collapsed="false">
      <c r="A161" s="280" t="s">
        <v>22</v>
      </c>
      <c r="B161" s="280"/>
      <c r="C161" s="195" t="n">
        <v>3</v>
      </c>
      <c r="D161" s="195" t="n">
        <v>4</v>
      </c>
      <c r="E161" s="196" t="n">
        <v>5</v>
      </c>
      <c r="F161" s="195" t="n">
        <v>6</v>
      </c>
      <c r="G161" s="195" t="n">
        <v>7</v>
      </c>
      <c r="H161" s="195" t="n">
        <v>8</v>
      </c>
      <c r="I161" s="195" t="n">
        <v>9</v>
      </c>
      <c r="J161" s="195" t="n">
        <v>10</v>
      </c>
      <c r="K161" s="195" t="n">
        <v>11</v>
      </c>
      <c r="L161" s="195" t="n">
        <v>12</v>
      </c>
      <c r="M161" s="195" t="n">
        <v>13</v>
      </c>
      <c r="N161" s="195" t="n">
        <v>14</v>
      </c>
      <c r="O161" s="195" t="n">
        <v>15</v>
      </c>
      <c r="P161" s="196" t="n">
        <v>16</v>
      </c>
      <c r="Q161" s="195" t="n">
        <v>15</v>
      </c>
      <c r="R161" s="202"/>
    </row>
    <row r="162" customFormat="false" ht="15" hidden="false" customHeight="false" outlineLevel="0" collapsed="false">
      <c r="A162" s="203" t="n">
        <v>1</v>
      </c>
      <c r="B162" s="243" t="s">
        <v>155</v>
      </c>
      <c r="C162" s="203" t="n">
        <v>197830</v>
      </c>
      <c r="D162" s="203" t="n">
        <v>138683</v>
      </c>
      <c r="E162" s="214" t="n">
        <f aca="false">C162/D162*100</f>
        <v>142.649062970948</v>
      </c>
      <c r="F162" s="203" t="n">
        <v>91099</v>
      </c>
      <c r="G162" s="203" t="n">
        <v>78112</v>
      </c>
      <c r="H162" s="214" t="n">
        <f aca="false">F162/G162*100</f>
        <v>116.626126587464</v>
      </c>
      <c r="I162" s="203" t="n">
        <v>203189</v>
      </c>
      <c r="J162" s="203" t="n">
        <v>141576</v>
      </c>
      <c r="K162" s="214" t="n">
        <f aca="false">I162/J162*100</f>
        <v>143.519381816127</v>
      </c>
      <c r="L162" s="203" t="n">
        <f aca="false">39743+23175</f>
        <v>62918</v>
      </c>
      <c r="M162" s="203" t="n">
        <f aca="false">60823+15287</f>
        <v>76110</v>
      </c>
      <c r="N162" s="214" t="n">
        <f aca="false">L162/M162*100</f>
        <v>82.6671922217843</v>
      </c>
      <c r="O162" s="203" t="n">
        <v>52</v>
      </c>
      <c r="P162" s="203" t="n">
        <v>71</v>
      </c>
      <c r="Q162" s="203" t="n">
        <v>51</v>
      </c>
      <c r="R162" s="202" t="n">
        <f aca="false">O162*P162</f>
        <v>3692</v>
      </c>
    </row>
    <row r="163" customFormat="false" ht="15" hidden="false" customHeight="false" outlineLevel="0" collapsed="false">
      <c r="A163" s="203" t="n">
        <v>2</v>
      </c>
      <c r="B163" s="281" t="s">
        <v>156</v>
      </c>
      <c r="C163" s="203" t="n">
        <v>168984</v>
      </c>
      <c r="D163" s="203" t="n">
        <v>73855</v>
      </c>
      <c r="E163" s="214" t="n">
        <f aca="false">C163/D163*100</f>
        <v>228.8050910568</v>
      </c>
      <c r="F163" s="203" t="n">
        <v>87124</v>
      </c>
      <c r="G163" s="203" t="n">
        <v>52411</v>
      </c>
      <c r="H163" s="214" t="n">
        <f aca="false">F163/G163*100</f>
        <v>166.232279483315</v>
      </c>
      <c r="I163" s="203" t="n">
        <v>164690</v>
      </c>
      <c r="J163" s="203" t="n">
        <v>127553</v>
      </c>
      <c r="K163" s="214" t="n">
        <f aca="false">I163/J163*100</f>
        <v>129.114956135881</v>
      </c>
      <c r="L163" s="203" t="n">
        <v>0</v>
      </c>
      <c r="M163" s="203" t="n">
        <v>0</v>
      </c>
      <c r="N163" s="214" t="n">
        <v>0</v>
      </c>
      <c r="O163" s="203" t="n">
        <v>29</v>
      </c>
      <c r="P163" s="203" t="n">
        <v>85</v>
      </c>
      <c r="Q163" s="203" t="n">
        <v>29</v>
      </c>
      <c r="R163" s="202" t="n">
        <f aca="false">O163*P163</f>
        <v>2465</v>
      </c>
    </row>
    <row r="164" customFormat="false" ht="15" hidden="false" customHeight="false" outlineLevel="0" collapsed="false">
      <c r="A164" s="203" t="n">
        <v>3</v>
      </c>
      <c r="B164" s="281" t="s">
        <v>157</v>
      </c>
      <c r="C164" s="203" t="n">
        <v>785411</v>
      </c>
      <c r="D164" s="203" t="n">
        <v>349083</v>
      </c>
      <c r="E164" s="214" t="n">
        <f aca="false">C164/D164*100</f>
        <v>224.992623530794</v>
      </c>
      <c r="F164" s="203" t="n">
        <v>332261</v>
      </c>
      <c r="G164" s="203" t="n">
        <v>204795</v>
      </c>
      <c r="H164" s="214" t="n">
        <f aca="false">F164/G164*100</f>
        <v>162.240777362729</v>
      </c>
      <c r="I164" s="203" t="n">
        <v>387100</v>
      </c>
      <c r="J164" s="203" t="n">
        <v>270923</v>
      </c>
      <c r="K164" s="214" t="n">
        <f aca="false">I164/J164*100</f>
        <v>142.881925860853</v>
      </c>
      <c r="L164" s="203" t="n">
        <v>0</v>
      </c>
      <c r="M164" s="203" t="n">
        <v>0</v>
      </c>
      <c r="N164" s="214" t="n">
        <v>0</v>
      </c>
      <c r="O164" s="203" t="n">
        <v>508</v>
      </c>
      <c r="P164" s="203" t="n">
        <v>100</v>
      </c>
      <c r="Q164" s="203" t="n">
        <v>502</v>
      </c>
      <c r="R164" s="202" t="n">
        <f aca="false">O164*P164</f>
        <v>50800</v>
      </c>
    </row>
    <row r="165" customFormat="false" ht="15" hidden="false" customHeight="false" outlineLevel="0" collapsed="false">
      <c r="A165" s="215" t="s">
        <v>158</v>
      </c>
      <c r="B165" s="215" t="s">
        <v>119</v>
      </c>
      <c r="C165" s="216" t="n">
        <f aca="false">SUM(C162:C164)</f>
        <v>1152225</v>
      </c>
      <c r="D165" s="216" t="n">
        <f aca="false">SUM(D162:D164)</f>
        <v>561621</v>
      </c>
      <c r="E165" s="217" t="n">
        <f aca="false">C165/D165*100</f>
        <v>205.160597627225</v>
      </c>
      <c r="F165" s="216" t="n">
        <f aca="false">SUM(F162:F164)</f>
        <v>510484</v>
      </c>
      <c r="G165" s="216" t="n">
        <f aca="false">SUM(G162:G164)</f>
        <v>335318</v>
      </c>
      <c r="H165" s="217" t="n">
        <f aca="false">F165/G165*100</f>
        <v>152.238770361269</v>
      </c>
      <c r="I165" s="216" t="n">
        <f aca="false">SUM(I162:I164)</f>
        <v>754979</v>
      </c>
      <c r="J165" s="216" t="n">
        <f aca="false">SUM(J162:J164)</f>
        <v>540052</v>
      </c>
      <c r="K165" s="217" t="n">
        <f aca="false">I165/J165*100</f>
        <v>139.797463947916</v>
      </c>
      <c r="L165" s="216" t="n">
        <f aca="false">SUM(L162:L164)</f>
        <v>62918</v>
      </c>
      <c r="M165" s="216" t="n">
        <f aca="false">SUM(M162:M164)</f>
        <v>76110</v>
      </c>
      <c r="N165" s="217" t="n">
        <v>0</v>
      </c>
      <c r="O165" s="216" t="n">
        <f aca="false">SUM(O162:O164)</f>
        <v>589</v>
      </c>
      <c r="P165" s="237" t="n">
        <f aca="false">R165/O165</f>
        <v>96.7011884550085</v>
      </c>
      <c r="Q165" s="216" t="n">
        <f aca="false">SUM(Q162:Q164)</f>
        <v>582</v>
      </c>
      <c r="R165" s="232" t="n">
        <f aca="false">SUM(R162:R164)</f>
        <v>56957</v>
      </c>
    </row>
    <row r="166" customFormat="false" ht="15" hidden="false" customHeight="false" outlineLevel="0" collapsed="false">
      <c r="A166" s="274"/>
      <c r="B166" s="256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5"/>
      <c r="P166" s="275"/>
      <c r="Q166" s="275"/>
      <c r="R166" s="279"/>
    </row>
    <row r="167" customFormat="false" ht="15" hidden="false" customHeight="false" outlineLevel="0" collapsed="false">
      <c r="A167" s="195" t="s">
        <v>159</v>
      </c>
      <c r="B167" s="195"/>
      <c r="C167" s="195" t="n">
        <v>3</v>
      </c>
      <c r="D167" s="195" t="n">
        <v>4</v>
      </c>
      <c r="E167" s="196" t="n">
        <v>5</v>
      </c>
      <c r="F167" s="195" t="n">
        <v>6</v>
      </c>
      <c r="G167" s="195" t="n">
        <v>7</v>
      </c>
      <c r="H167" s="195" t="n">
        <v>8</v>
      </c>
      <c r="I167" s="195" t="n">
        <v>9</v>
      </c>
      <c r="J167" s="195" t="n">
        <v>10</v>
      </c>
      <c r="K167" s="195" t="n">
        <v>11</v>
      </c>
      <c r="L167" s="195" t="n">
        <v>12</v>
      </c>
      <c r="M167" s="184" t="n">
        <v>13</v>
      </c>
      <c r="N167" s="184" t="n">
        <v>14</v>
      </c>
      <c r="O167" s="184" t="n">
        <v>15</v>
      </c>
      <c r="P167" s="196" t="n">
        <v>16</v>
      </c>
      <c r="Q167" s="184" t="n">
        <v>15</v>
      </c>
      <c r="R167" s="179"/>
    </row>
    <row r="168" customFormat="false" ht="15" hidden="false" customHeight="false" outlineLevel="0" collapsed="false">
      <c r="A168" s="274" t="n">
        <v>1</v>
      </c>
      <c r="B168" s="282" t="s">
        <v>160</v>
      </c>
      <c r="C168" s="262" t="n">
        <v>435</v>
      </c>
      <c r="D168" s="262" t="n">
        <v>0</v>
      </c>
      <c r="E168" s="283" t="n">
        <v>0</v>
      </c>
      <c r="F168" s="262" t="n">
        <v>262</v>
      </c>
      <c r="G168" s="262" t="n">
        <v>0</v>
      </c>
      <c r="H168" s="283" t="n">
        <v>0</v>
      </c>
      <c r="I168" s="262" t="n">
        <v>12081</v>
      </c>
      <c r="J168" s="262" t="n">
        <v>5866</v>
      </c>
      <c r="K168" s="283" t="n">
        <f aca="false">I168/J168*100</f>
        <v>205.949539720423</v>
      </c>
      <c r="L168" s="262" t="n">
        <v>0</v>
      </c>
      <c r="M168" s="262" t="n">
        <v>0</v>
      </c>
      <c r="N168" s="262" t="n">
        <v>0</v>
      </c>
      <c r="O168" s="262" t="n">
        <v>73</v>
      </c>
      <c r="P168" s="262" t="n">
        <v>135</v>
      </c>
      <c r="Q168" s="262" t="n">
        <v>74</v>
      </c>
      <c r="R168" s="202" t="n">
        <f aca="false">O168*P168</f>
        <v>9855</v>
      </c>
    </row>
    <row r="169" s="211" customFormat="true" ht="15" hidden="false" customHeight="false" outlineLevel="0" collapsed="false">
      <c r="A169" s="284" t="n">
        <v>2</v>
      </c>
      <c r="B169" s="282" t="s">
        <v>161</v>
      </c>
      <c r="C169" s="262" t="n">
        <v>60521</v>
      </c>
      <c r="D169" s="262" t="n">
        <v>265747</v>
      </c>
      <c r="E169" s="283" t="n">
        <f aca="false">C169/D169*100</f>
        <v>22.7739165446835</v>
      </c>
      <c r="F169" s="262" t="n">
        <v>38399</v>
      </c>
      <c r="G169" s="262" t="n">
        <v>132179</v>
      </c>
      <c r="H169" s="283" t="n">
        <f aca="false">F169/G169*100</f>
        <v>29.0507569281051</v>
      </c>
      <c r="I169" s="262" t="n">
        <v>230701</v>
      </c>
      <c r="J169" s="262" t="n">
        <v>265747</v>
      </c>
      <c r="K169" s="283" t="n">
        <f aca="false">I169/J169*100</f>
        <v>86.8122688120656</v>
      </c>
      <c r="L169" s="262" t="n">
        <f aca="false">170180+60521</f>
        <v>230701</v>
      </c>
      <c r="M169" s="262" t="n">
        <f aca="false">132189+133568</f>
        <v>265757</v>
      </c>
      <c r="N169" s="262" t="n">
        <f aca="false">L169/M169*100</f>
        <v>86.8090022087847</v>
      </c>
      <c r="O169" s="262" t="n">
        <v>127</v>
      </c>
      <c r="P169" s="262" t="n">
        <v>149</v>
      </c>
      <c r="Q169" s="262" t="n">
        <v>127</v>
      </c>
      <c r="R169" s="202" t="n">
        <f aca="false">O169*P169</f>
        <v>18923</v>
      </c>
    </row>
    <row r="170" customFormat="false" ht="15" hidden="false" customHeight="false" outlineLevel="0" collapsed="false">
      <c r="A170" s="274" t="n">
        <v>3</v>
      </c>
      <c r="B170" s="282" t="s">
        <v>162</v>
      </c>
      <c r="C170" s="200" t="n">
        <v>0</v>
      </c>
      <c r="D170" s="200" t="n">
        <v>0</v>
      </c>
      <c r="E170" s="214" t="n">
        <v>0</v>
      </c>
      <c r="F170" s="200" t="n">
        <v>0</v>
      </c>
      <c r="G170" s="200" t="n">
        <v>0</v>
      </c>
      <c r="H170" s="214" t="n">
        <v>0</v>
      </c>
      <c r="I170" s="200" t="n">
        <v>0</v>
      </c>
      <c r="J170" s="200" t="n">
        <v>0</v>
      </c>
      <c r="K170" s="214" t="n">
        <v>0</v>
      </c>
      <c r="L170" s="200" t="n">
        <v>0</v>
      </c>
      <c r="M170" s="200" t="n">
        <v>0</v>
      </c>
      <c r="N170" s="214" t="n">
        <v>0</v>
      </c>
      <c r="O170" s="203" t="n">
        <v>0</v>
      </c>
      <c r="P170" s="204" t="n">
        <v>0</v>
      </c>
      <c r="Q170" s="203" t="n">
        <v>0</v>
      </c>
      <c r="R170" s="202" t="n">
        <f aca="false">O170*P170</f>
        <v>0</v>
      </c>
    </row>
    <row r="171" customFormat="false" ht="15" hidden="false" customHeight="false" outlineLevel="0" collapsed="false">
      <c r="A171" s="284" t="n">
        <v>4</v>
      </c>
      <c r="B171" s="282" t="s">
        <v>163</v>
      </c>
      <c r="C171" s="262" t="n">
        <v>849658</v>
      </c>
      <c r="D171" s="262" t="n">
        <v>263252</v>
      </c>
      <c r="E171" s="285" t="n">
        <f aca="false">C171/D171*100</f>
        <v>322.754622946834</v>
      </c>
      <c r="F171" s="262" t="n">
        <v>430594</v>
      </c>
      <c r="G171" s="262" t="n">
        <v>19149</v>
      </c>
      <c r="H171" s="285" t="n">
        <f aca="false">F171/G171*100</f>
        <v>2248.65006005536</v>
      </c>
      <c r="I171" s="262" t="n">
        <v>849658</v>
      </c>
      <c r="J171" s="262" t="n">
        <v>263252</v>
      </c>
      <c r="K171" s="283" t="n">
        <f aca="false">I171/J171*100</f>
        <v>322.754622946834</v>
      </c>
      <c r="L171" s="262" t="n">
        <v>849658</v>
      </c>
      <c r="M171" s="262" t="n">
        <v>263252</v>
      </c>
      <c r="N171" s="262" t="n">
        <f aca="false">L171/M171*100</f>
        <v>322.754622946834</v>
      </c>
      <c r="O171" s="262" t="n">
        <v>91</v>
      </c>
      <c r="P171" s="286" t="n">
        <v>172</v>
      </c>
      <c r="Q171" s="262" t="n">
        <v>94</v>
      </c>
      <c r="R171" s="202" t="n">
        <f aca="false">O171*P171</f>
        <v>15652</v>
      </c>
    </row>
    <row r="172" customFormat="false" ht="15" hidden="false" customHeight="false" outlineLevel="0" collapsed="false">
      <c r="A172" s="274" t="n">
        <v>5</v>
      </c>
      <c r="B172" s="282" t="s">
        <v>164</v>
      </c>
      <c r="C172" s="262" t="n">
        <v>89797</v>
      </c>
      <c r="D172" s="262" t="n">
        <v>92102</v>
      </c>
      <c r="E172" s="285" t="n">
        <f aca="false">C172/D172*100</f>
        <v>97.4973399057567</v>
      </c>
      <c r="F172" s="262" t="n">
        <v>0</v>
      </c>
      <c r="G172" s="262" t="n">
        <v>92102</v>
      </c>
      <c r="H172" s="285" t="n">
        <f aca="false">F172/G172*100</f>
        <v>0</v>
      </c>
      <c r="I172" s="262" t="n">
        <v>176638</v>
      </c>
      <c r="J172" s="262" t="n">
        <v>216094</v>
      </c>
      <c r="K172" s="283" t="n">
        <f aca="false">I172/J172*100</f>
        <v>81.7412792581007</v>
      </c>
      <c r="L172" s="262" t="n">
        <v>207199</v>
      </c>
      <c r="M172" s="262" t="n">
        <v>220173</v>
      </c>
      <c r="N172" s="262" t="n">
        <f aca="false">L172/M172*100</f>
        <v>94.1073610297357</v>
      </c>
      <c r="O172" s="262" t="n">
        <v>37</v>
      </c>
      <c r="P172" s="262" t="n">
        <v>36</v>
      </c>
      <c r="Q172" s="262" t="n">
        <v>40</v>
      </c>
      <c r="R172" s="202" t="n">
        <f aca="false">O172*P172</f>
        <v>1332</v>
      </c>
    </row>
    <row r="173" customFormat="false" ht="15" hidden="false" customHeight="false" outlineLevel="0" collapsed="false">
      <c r="A173" s="284" t="n">
        <v>6</v>
      </c>
      <c r="B173" s="282" t="s">
        <v>165</v>
      </c>
      <c r="C173" s="200" t="n">
        <v>0</v>
      </c>
      <c r="D173" s="200" t="n">
        <v>0</v>
      </c>
      <c r="E173" s="214" t="n">
        <v>0</v>
      </c>
      <c r="F173" s="200" t="n">
        <v>0</v>
      </c>
      <c r="G173" s="200" t="n">
        <v>0</v>
      </c>
      <c r="H173" s="214" t="n">
        <v>0</v>
      </c>
      <c r="I173" s="200" t="n">
        <v>0</v>
      </c>
      <c r="J173" s="200" t="n">
        <v>0</v>
      </c>
      <c r="K173" s="214" t="n">
        <v>0</v>
      </c>
      <c r="L173" s="200" t="n">
        <v>0</v>
      </c>
      <c r="M173" s="200" t="n">
        <v>0</v>
      </c>
      <c r="N173" s="214" t="n">
        <v>0</v>
      </c>
      <c r="O173" s="203" t="n">
        <v>0</v>
      </c>
      <c r="P173" s="204" t="n">
        <v>0</v>
      </c>
      <c r="Q173" s="203" t="n">
        <v>0</v>
      </c>
      <c r="R173" s="202" t="n">
        <f aca="false">O173*P173</f>
        <v>0</v>
      </c>
    </row>
    <row r="174" customFormat="false" ht="15" hidden="false" customHeight="false" outlineLevel="0" collapsed="false">
      <c r="A174" s="274" t="n">
        <v>7</v>
      </c>
      <c r="B174" s="282" t="s">
        <v>166</v>
      </c>
      <c r="C174" s="262" t="n">
        <v>371154</v>
      </c>
      <c r="D174" s="262" t="n">
        <v>425414</v>
      </c>
      <c r="E174" s="285" t="n">
        <f aca="false">C174/D174*100</f>
        <v>87.2453656908329</v>
      </c>
      <c r="F174" s="262" t="n">
        <v>185856</v>
      </c>
      <c r="G174" s="262" t="n">
        <v>184312</v>
      </c>
      <c r="H174" s="214" t="n">
        <f aca="false">F174/G174*100</f>
        <v>100.837709970051</v>
      </c>
      <c r="I174" s="262" t="n">
        <v>363488</v>
      </c>
      <c r="J174" s="262" t="n">
        <v>388545</v>
      </c>
      <c r="K174" s="283" t="n">
        <f aca="false">I174/J174*100</f>
        <v>93.5510687307776</v>
      </c>
      <c r="L174" s="262" t="n">
        <v>363488</v>
      </c>
      <c r="M174" s="262" t="n">
        <v>388545</v>
      </c>
      <c r="N174" s="262" t="n">
        <f aca="false">L174/M174*100</f>
        <v>93.5510687307776</v>
      </c>
      <c r="O174" s="262" t="n">
        <v>93</v>
      </c>
      <c r="P174" s="262" t="n">
        <v>78</v>
      </c>
      <c r="Q174" s="262" t="n">
        <v>25</v>
      </c>
      <c r="R174" s="202" t="n">
        <f aca="false">O174*P174</f>
        <v>7254</v>
      </c>
    </row>
    <row r="175" customFormat="false" ht="15" hidden="false" customHeight="false" outlineLevel="0" collapsed="false">
      <c r="A175" s="284" t="n">
        <v>8</v>
      </c>
      <c r="B175" s="282" t="s">
        <v>167</v>
      </c>
      <c r="C175" s="262" t="n">
        <v>0</v>
      </c>
      <c r="D175" s="262" t="n">
        <v>75091</v>
      </c>
      <c r="E175" s="236" t="n">
        <f aca="false">C175/D175*100</f>
        <v>0</v>
      </c>
      <c r="F175" s="262" t="n">
        <v>0</v>
      </c>
      <c r="G175" s="262" t="n">
        <v>11984</v>
      </c>
      <c r="H175" s="236" t="n">
        <f aca="false">F175/G175*100</f>
        <v>0</v>
      </c>
      <c r="I175" s="262" t="n">
        <v>0</v>
      </c>
      <c r="J175" s="262" t="n">
        <v>75091</v>
      </c>
      <c r="K175" s="283" t="n">
        <f aca="false">I175/J175*100</f>
        <v>0</v>
      </c>
      <c r="L175" s="262" t="n">
        <v>0</v>
      </c>
      <c r="M175" s="262" t="n">
        <v>75091</v>
      </c>
      <c r="N175" s="262" t="n">
        <f aca="false">L175/M175*100</f>
        <v>0</v>
      </c>
      <c r="O175" s="236" t="n">
        <v>3</v>
      </c>
      <c r="P175" s="236" t="n">
        <v>248</v>
      </c>
      <c r="Q175" s="236" t="n">
        <v>3</v>
      </c>
      <c r="R175" s="202" t="n">
        <f aca="false">O175*P175</f>
        <v>744</v>
      </c>
    </row>
    <row r="176" customFormat="false" ht="15" hidden="false" customHeight="false" outlineLevel="0" collapsed="false">
      <c r="A176" s="274" t="n">
        <v>9</v>
      </c>
      <c r="B176" s="282" t="s">
        <v>168</v>
      </c>
      <c r="C176" s="262" t="n">
        <v>0</v>
      </c>
      <c r="D176" s="262" t="n">
        <v>886</v>
      </c>
      <c r="E176" s="214" t="n">
        <v>0</v>
      </c>
      <c r="F176" s="262" t="n">
        <v>0</v>
      </c>
      <c r="G176" s="262" t="n">
        <v>886</v>
      </c>
      <c r="H176" s="214" t="n">
        <v>0</v>
      </c>
      <c r="I176" s="262" t="n">
        <v>0</v>
      </c>
      <c r="J176" s="262" t="n">
        <v>886</v>
      </c>
      <c r="K176" s="283" t="n">
        <f aca="false">I176/J176*100</f>
        <v>0</v>
      </c>
      <c r="L176" s="262" t="n">
        <v>0</v>
      </c>
      <c r="M176" s="262" t="n">
        <v>0</v>
      </c>
      <c r="N176" s="262" t="n">
        <v>0</v>
      </c>
      <c r="O176" s="262" t="n">
        <v>2</v>
      </c>
      <c r="P176" s="262" t="n">
        <v>60</v>
      </c>
      <c r="Q176" s="262" t="n">
        <v>2</v>
      </c>
      <c r="R176" s="202" t="n">
        <f aca="false">O176*P176</f>
        <v>120</v>
      </c>
    </row>
    <row r="177" customFormat="false" ht="15" hidden="false" customHeight="false" outlineLevel="0" collapsed="false">
      <c r="A177" s="284" t="n">
        <v>10</v>
      </c>
      <c r="B177" s="282" t="s">
        <v>169</v>
      </c>
      <c r="C177" s="262" t="n">
        <v>119899</v>
      </c>
      <c r="D177" s="262" t="n">
        <v>0</v>
      </c>
      <c r="E177" s="214" t="n">
        <v>0</v>
      </c>
      <c r="F177" s="262" t="n">
        <v>119899</v>
      </c>
      <c r="G177" s="262" t="n">
        <v>0</v>
      </c>
      <c r="H177" s="214" t="n">
        <v>0</v>
      </c>
      <c r="I177" s="262" t="n">
        <v>119899</v>
      </c>
      <c r="J177" s="262" t="n">
        <v>0</v>
      </c>
      <c r="K177" s="283" t="e">
        <f aca="false">I177/J177*100</f>
        <v>#DIV/0!</v>
      </c>
      <c r="L177" s="262" t="n">
        <v>119899</v>
      </c>
      <c r="M177" s="262" t="n">
        <v>0</v>
      </c>
      <c r="N177" s="262" t="n">
        <v>0</v>
      </c>
      <c r="O177" s="262" t="n">
        <v>26</v>
      </c>
      <c r="P177" s="262" t="n">
        <v>5</v>
      </c>
      <c r="Q177" s="262" t="n">
        <v>26</v>
      </c>
      <c r="R177" s="202" t="n">
        <f aca="false">O177*P177</f>
        <v>130</v>
      </c>
    </row>
    <row r="178" customFormat="false" ht="15" hidden="false" customHeight="false" outlineLevel="0" collapsed="false">
      <c r="A178" s="215" t="s">
        <v>170</v>
      </c>
      <c r="B178" s="215" t="s">
        <v>154</v>
      </c>
      <c r="C178" s="237" t="n">
        <f aca="false">SUM(C168:C177)</f>
        <v>1491464</v>
      </c>
      <c r="D178" s="237" t="n">
        <f aca="false">SUM(D168:D177)</f>
        <v>1122492</v>
      </c>
      <c r="E178" s="217" t="n">
        <f aca="false">C178/D178*100</f>
        <v>132.870791061317</v>
      </c>
      <c r="F178" s="237" t="n">
        <f aca="false">SUM(F168:F177)</f>
        <v>775010</v>
      </c>
      <c r="G178" s="237" t="n">
        <f aca="false">SUM(G168:G177)</f>
        <v>440612</v>
      </c>
      <c r="H178" s="217" t="n">
        <f aca="false">F178/G178*100</f>
        <v>175.893983822501</v>
      </c>
      <c r="I178" s="237" t="n">
        <f aca="false">SUM(I168:I177)</f>
        <v>1752465</v>
      </c>
      <c r="J178" s="237" t="n">
        <f aca="false">SUM(J168:J177)</f>
        <v>1215481</v>
      </c>
      <c r="K178" s="217" t="n">
        <f aca="false">I178/J178*100</f>
        <v>144.178724307496</v>
      </c>
      <c r="L178" s="237" t="n">
        <f aca="false">SUM(L168:L177)</f>
        <v>1770945</v>
      </c>
      <c r="M178" s="216" t="n">
        <f aca="false">SUM(M168:M177)</f>
        <v>1212818</v>
      </c>
      <c r="N178" s="217" t="n">
        <f aca="false">L178/M178*100</f>
        <v>146.019023464362</v>
      </c>
      <c r="O178" s="237" t="n">
        <f aca="false">SUM(O168:O177)</f>
        <v>452</v>
      </c>
      <c r="P178" s="217" t="n">
        <f aca="false">R178/O178</f>
        <v>119.491150442478</v>
      </c>
      <c r="Q178" s="237" t="n">
        <f aca="false">SUM(Q168:Q177)</f>
        <v>391</v>
      </c>
      <c r="R178" s="232" t="n">
        <f aca="false">SUM(R168:R177)</f>
        <v>54010</v>
      </c>
    </row>
    <row r="179" customFormat="false" ht="15" hidden="false" customHeight="false" outlineLevel="0" collapsed="false">
      <c r="A179" s="255"/>
      <c r="B179" s="255"/>
      <c r="C179" s="287"/>
      <c r="D179" s="287"/>
      <c r="E179" s="283"/>
      <c r="F179" s="288"/>
      <c r="G179" s="288"/>
      <c r="H179" s="283"/>
      <c r="I179" s="203"/>
      <c r="J179" s="203"/>
      <c r="K179" s="289"/>
      <c r="L179" s="203"/>
      <c r="M179" s="203"/>
      <c r="N179" s="203"/>
      <c r="O179" s="203"/>
      <c r="P179" s="219"/>
      <c r="Q179" s="203"/>
      <c r="R179" s="189"/>
    </row>
    <row r="180" customFormat="false" ht="15" hidden="false" customHeight="false" outlineLevel="0" collapsed="false">
      <c r="A180" s="270" t="s">
        <v>171</v>
      </c>
      <c r="B180" s="270"/>
      <c r="C180" s="195" t="n">
        <v>3</v>
      </c>
      <c r="D180" s="195" t="n">
        <v>4</v>
      </c>
      <c r="E180" s="196" t="n">
        <v>5</v>
      </c>
      <c r="F180" s="195" t="n">
        <v>6</v>
      </c>
      <c r="G180" s="195" t="n">
        <v>7</v>
      </c>
      <c r="H180" s="195" t="n">
        <v>8</v>
      </c>
      <c r="I180" s="195" t="n">
        <v>9</v>
      </c>
      <c r="J180" s="195" t="n">
        <v>10</v>
      </c>
      <c r="K180" s="195" t="n">
        <v>11</v>
      </c>
      <c r="L180" s="195" t="n">
        <v>12</v>
      </c>
      <c r="M180" s="195" t="n">
        <v>13</v>
      </c>
      <c r="N180" s="195" t="n">
        <v>14</v>
      </c>
      <c r="O180" s="195" t="n">
        <v>15</v>
      </c>
      <c r="P180" s="196" t="n">
        <v>16</v>
      </c>
      <c r="Q180" s="195" t="n">
        <v>15</v>
      </c>
      <c r="R180" s="189"/>
    </row>
    <row r="181" customFormat="false" ht="15" hidden="false" customHeight="false" outlineLevel="0" collapsed="false">
      <c r="A181" s="288" t="n">
        <v>1</v>
      </c>
      <c r="B181" s="290" t="s">
        <v>172</v>
      </c>
      <c r="C181" s="262" t="n">
        <v>102244.8</v>
      </c>
      <c r="D181" s="262" t="n">
        <v>89938</v>
      </c>
      <c r="E181" s="285" t="n">
        <f aca="false">IF(OR(C181=0,D181=0),0,C181/D181*100)</f>
        <v>113.683648735796</v>
      </c>
      <c r="F181" s="262" t="n">
        <v>60183.7</v>
      </c>
      <c r="G181" s="262" t="n">
        <v>45853</v>
      </c>
      <c r="H181" s="285" t="n">
        <f aca="false">IF(OR(F181=0,G181=0),0,F181/G181*100)</f>
        <v>131.253571194905</v>
      </c>
      <c r="I181" s="262" t="n">
        <v>25286</v>
      </c>
      <c r="J181" s="262" t="n">
        <v>59541</v>
      </c>
      <c r="K181" s="285" t="n">
        <f aca="false">IF(OR(I181=0,J181=0),0,I181/J181*100)</f>
        <v>42.4682151794562</v>
      </c>
      <c r="L181" s="262" t="n">
        <v>0</v>
      </c>
      <c r="M181" s="262" t="n">
        <v>0</v>
      </c>
      <c r="N181" s="285" t="n">
        <v>0</v>
      </c>
      <c r="O181" s="262" t="n">
        <v>273</v>
      </c>
      <c r="P181" s="236" t="n">
        <v>218.2</v>
      </c>
      <c r="Q181" s="236" t="n">
        <v>272</v>
      </c>
      <c r="R181" s="234" t="n">
        <f aca="false">O181*P181</f>
        <v>59568.6</v>
      </c>
    </row>
    <row r="182" customFormat="false" ht="15" hidden="false" customHeight="false" outlineLevel="0" collapsed="false">
      <c r="A182" s="288" t="n">
        <v>2</v>
      </c>
      <c r="B182" s="290" t="s">
        <v>173</v>
      </c>
      <c r="C182" s="262" t="n">
        <v>10620</v>
      </c>
      <c r="D182" s="262" t="n">
        <v>10656</v>
      </c>
      <c r="E182" s="285" t="n">
        <f aca="false">IF(OR(C182=0,D182=0),0,C182/D182*100)</f>
        <v>99.6621621621622</v>
      </c>
      <c r="F182" s="262" t="n">
        <v>9827</v>
      </c>
      <c r="G182" s="262" t="n">
        <v>9609</v>
      </c>
      <c r="H182" s="285" t="n">
        <f aca="false">IF(OR(F182=0,G182=0),0,F182/G182*100)</f>
        <v>102.268706421064</v>
      </c>
      <c r="I182" s="262" t="n">
        <v>0</v>
      </c>
      <c r="J182" s="262" t="n">
        <v>0</v>
      </c>
      <c r="K182" s="285" t="n">
        <f aca="false">IF(OR(I182=0,J182=0),0,I182/J182*100)</f>
        <v>0</v>
      </c>
      <c r="L182" s="262" t="n">
        <v>0</v>
      </c>
      <c r="M182" s="262" t="n">
        <v>0</v>
      </c>
      <c r="N182" s="285" t="n">
        <f aca="false">IF(OR(L182=0,M182=0),0,L182/M182*100)</f>
        <v>0</v>
      </c>
      <c r="O182" s="262" t="n">
        <v>86</v>
      </c>
      <c r="P182" s="236" t="n">
        <v>55.2</v>
      </c>
      <c r="Q182" s="236" t="n">
        <v>45</v>
      </c>
      <c r="R182" s="234" t="n">
        <f aca="false">O182*P182</f>
        <v>4747.2</v>
      </c>
    </row>
    <row r="183" s="295" customFormat="true" ht="34.5" hidden="false" customHeight="true" outlineLevel="0" collapsed="false">
      <c r="A183" s="291" t="n">
        <v>4</v>
      </c>
      <c r="B183" s="292" t="s">
        <v>174</v>
      </c>
      <c r="C183" s="207" t="n">
        <v>125</v>
      </c>
      <c r="D183" s="207" t="n">
        <v>0</v>
      </c>
      <c r="E183" s="285" t="n">
        <f aca="false">IF(OR(C183=0,D183=0),0,C183/D183*100)</f>
        <v>0</v>
      </c>
      <c r="F183" s="207" t="n">
        <v>0</v>
      </c>
      <c r="G183" s="207" t="n">
        <v>0</v>
      </c>
      <c r="H183" s="285" t="n">
        <f aca="false">IF(OR(F183=0,G183=0),0,F183/G183*100)</f>
        <v>0</v>
      </c>
      <c r="I183" s="207" t="n">
        <v>125</v>
      </c>
      <c r="J183" s="207" t="n">
        <v>0</v>
      </c>
      <c r="K183" s="285" t="n">
        <f aca="false">IF(OR(I183=0,J183=0),0,I183/J183*100)</f>
        <v>0</v>
      </c>
      <c r="L183" s="207" t="n">
        <v>0</v>
      </c>
      <c r="M183" s="207" t="n">
        <v>0</v>
      </c>
      <c r="N183" s="285" t="n">
        <f aca="false">IF(OR(L183=0,M183=0),0,L183/M183*100)</f>
        <v>0</v>
      </c>
      <c r="O183" s="207" t="n">
        <v>29</v>
      </c>
      <c r="P183" s="293" t="n">
        <v>97.7</v>
      </c>
      <c r="Q183" s="293" t="n">
        <v>86</v>
      </c>
      <c r="R183" s="294" t="n">
        <f aca="false">O183*P183</f>
        <v>2833.3</v>
      </c>
    </row>
    <row r="184" customFormat="false" ht="15" hidden="false" customHeight="false" outlineLevel="0" collapsed="false">
      <c r="A184" s="288" t="n">
        <v>5</v>
      </c>
      <c r="B184" s="296" t="s">
        <v>175</v>
      </c>
      <c r="C184" s="262" t="n">
        <v>1886</v>
      </c>
      <c r="D184" s="262" t="n">
        <v>212</v>
      </c>
      <c r="E184" s="285" t="n">
        <f aca="false">IF(OR(C184=0,D184=0),0,C184/D184*100)</f>
        <v>889.622641509434</v>
      </c>
      <c r="F184" s="262" t="n">
        <v>1886</v>
      </c>
      <c r="G184" s="262" t="n">
        <v>212</v>
      </c>
      <c r="H184" s="285" t="n">
        <f aca="false">IF(OR(F184=0,G184=0),0,F184/G184*100)</f>
        <v>889.622641509434</v>
      </c>
      <c r="I184" s="262" t="n">
        <v>0</v>
      </c>
      <c r="J184" s="262" t="n">
        <v>0</v>
      </c>
      <c r="K184" s="285" t="n">
        <f aca="false">IF(OR(I184=0,J184=0),0,I184/J184*100)</f>
        <v>0</v>
      </c>
      <c r="L184" s="262" t="n">
        <v>0</v>
      </c>
      <c r="M184" s="262" t="n">
        <v>0</v>
      </c>
      <c r="N184" s="285" t="n">
        <f aca="false">IF(OR(L184=0,M184=0),0,L184/M184*100)</f>
        <v>0</v>
      </c>
      <c r="O184" s="262" t="n">
        <v>18</v>
      </c>
      <c r="P184" s="236" t="n">
        <v>17.9</v>
      </c>
      <c r="Q184" s="236" t="n">
        <v>29</v>
      </c>
      <c r="R184" s="202" t="n">
        <f aca="false">O184*P184</f>
        <v>322.2</v>
      </c>
    </row>
    <row r="185" customFormat="false" ht="15" hidden="false" customHeight="false" outlineLevel="0" collapsed="false">
      <c r="A185" s="288" t="n">
        <v>6</v>
      </c>
      <c r="B185" s="297" t="s">
        <v>176</v>
      </c>
      <c r="C185" s="298" t="n">
        <v>2215</v>
      </c>
      <c r="D185" s="298" t="n">
        <v>2020</v>
      </c>
      <c r="E185" s="299" t="n">
        <f aca="false">IF(OR(C185=0,D185=0),0,C185/D185*100)</f>
        <v>109.653465346535</v>
      </c>
      <c r="F185" s="298" t="n">
        <v>770</v>
      </c>
      <c r="G185" s="298" t="n">
        <v>1020</v>
      </c>
      <c r="H185" s="299" t="n">
        <f aca="false">IF(OR(F185=0,G185=0),0,F185/G185*100)</f>
        <v>75.4901960784314</v>
      </c>
      <c r="I185" s="298" t="n">
        <v>0</v>
      </c>
      <c r="J185" s="298" t="n">
        <v>0</v>
      </c>
      <c r="K185" s="299" t="n">
        <f aca="false">IF(OR(I185=0,J185=0),0,I185/J185*100)</f>
        <v>0</v>
      </c>
      <c r="L185" s="298" t="n">
        <v>0</v>
      </c>
      <c r="M185" s="298" t="n">
        <v>0</v>
      </c>
      <c r="N185" s="299" t="n">
        <f aca="false">IF(OR(L185=0,M185=0),0,L185/M185*100)</f>
        <v>0</v>
      </c>
      <c r="O185" s="298" t="n">
        <v>12</v>
      </c>
      <c r="P185" s="300" t="n">
        <v>55.6</v>
      </c>
      <c r="Q185" s="300" t="n">
        <v>18</v>
      </c>
      <c r="R185" s="202" t="n">
        <f aca="false">O185*P185</f>
        <v>667.2</v>
      </c>
    </row>
    <row r="186" customFormat="false" ht="15" hidden="false" customHeight="false" outlineLevel="0" collapsed="false">
      <c r="A186" s="288" t="n">
        <v>8</v>
      </c>
      <c r="B186" s="290" t="s">
        <v>177</v>
      </c>
      <c r="C186" s="262" t="n">
        <v>8800</v>
      </c>
      <c r="D186" s="262" t="n">
        <v>11450</v>
      </c>
      <c r="E186" s="285" t="n">
        <f aca="false">IF(OR(C186=0,D186=0),0,C186/D186*100)</f>
        <v>76.8558951965066</v>
      </c>
      <c r="F186" s="262" t="n">
        <v>4000</v>
      </c>
      <c r="G186" s="262" t="n">
        <v>5850</v>
      </c>
      <c r="H186" s="285" t="n">
        <f aca="false">IF(OR(F186=0,G186=0),0,F186/G186*100)</f>
        <v>68.3760683760684</v>
      </c>
      <c r="I186" s="262" t="n">
        <v>0</v>
      </c>
      <c r="J186" s="262" t="n">
        <v>0</v>
      </c>
      <c r="K186" s="285" t="n">
        <f aca="false">IF(OR(I186=0,J186=0),0,I186/J186*100)</f>
        <v>0</v>
      </c>
      <c r="L186" s="262" t="n">
        <v>0</v>
      </c>
      <c r="M186" s="262" t="n">
        <v>0</v>
      </c>
      <c r="N186" s="285" t="n">
        <f aca="false">IF(OR(L186=0,M186=0),0,L186/M186*100)</f>
        <v>0</v>
      </c>
      <c r="O186" s="262" t="n">
        <v>22</v>
      </c>
      <c r="P186" s="236" t="n">
        <v>58.4</v>
      </c>
      <c r="Q186" s="236" t="n">
        <v>12</v>
      </c>
      <c r="R186" s="202" t="n">
        <f aca="false">O186*P186</f>
        <v>1284.8</v>
      </c>
    </row>
    <row r="187" customFormat="false" ht="15" hidden="false" customHeight="false" outlineLevel="0" collapsed="false">
      <c r="A187" s="288" t="n">
        <v>9</v>
      </c>
      <c r="B187" s="290" t="s">
        <v>178</v>
      </c>
      <c r="C187" s="262" t="n">
        <v>1213</v>
      </c>
      <c r="D187" s="262" t="n">
        <v>1174</v>
      </c>
      <c r="E187" s="285" t="n">
        <f aca="false">IF(OR(C187=0,D187=0),0,C187/D187*100)</f>
        <v>103.321976149915</v>
      </c>
      <c r="F187" s="262" t="n">
        <v>1213</v>
      </c>
      <c r="G187" s="262" t="n">
        <v>0</v>
      </c>
      <c r="H187" s="285" t="n">
        <f aca="false">IF(OR(F187=0,G187=0),0,F187/G187*100)</f>
        <v>0</v>
      </c>
      <c r="I187" s="262" t="n">
        <v>1213</v>
      </c>
      <c r="J187" s="262" t="n">
        <v>1174</v>
      </c>
      <c r="K187" s="285" t="n">
        <f aca="false">IF(OR(I187=0,J187=0),0,I187/J187*100)</f>
        <v>103.321976149915</v>
      </c>
      <c r="L187" s="262" t="n">
        <v>1213</v>
      </c>
      <c r="M187" s="262" t="n">
        <v>1174</v>
      </c>
      <c r="N187" s="285" t="n">
        <f aca="false">IF(OR(L187=0,M187=0),0,L187/M187*100)</f>
        <v>103.321976149915</v>
      </c>
      <c r="O187" s="262" t="n">
        <v>45</v>
      </c>
      <c r="P187" s="236" t="n">
        <v>101.4</v>
      </c>
      <c r="Q187" s="236" t="n">
        <v>22</v>
      </c>
      <c r="R187" s="202" t="n">
        <f aca="false">O187*P187</f>
        <v>4563</v>
      </c>
    </row>
    <row r="188" customFormat="false" ht="15" hidden="false" customHeight="false" outlineLevel="0" collapsed="false">
      <c r="A188" s="288" t="n">
        <v>10</v>
      </c>
      <c r="B188" s="290" t="s">
        <v>179</v>
      </c>
      <c r="C188" s="262" t="n">
        <v>0</v>
      </c>
      <c r="D188" s="262" t="n">
        <v>0</v>
      </c>
      <c r="E188" s="285" t="n">
        <f aca="false">IF(OR(C188=0,D188=0),0,C188/D188*100)</f>
        <v>0</v>
      </c>
      <c r="F188" s="262" t="n">
        <v>0</v>
      </c>
      <c r="G188" s="262" t="n">
        <v>0</v>
      </c>
      <c r="H188" s="285" t="n">
        <f aca="false">IF(OR(F188=0,G188=0),0,F188/G188*100)</f>
        <v>0</v>
      </c>
      <c r="I188" s="262" t="n">
        <v>931</v>
      </c>
      <c r="J188" s="262" t="n">
        <v>828</v>
      </c>
      <c r="K188" s="285" t="n">
        <f aca="false">IF(OR(I188=0,J188=0),0,I188/J188*100)</f>
        <v>112.43961352657</v>
      </c>
      <c r="L188" s="262" t="n">
        <v>0</v>
      </c>
      <c r="M188" s="262" t="n">
        <v>0</v>
      </c>
      <c r="N188" s="285" t="n">
        <f aca="false">IF(OR(L188=0,M188=0),0,L188/M188*100)</f>
        <v>0</v>
      </c>
      <c r="O188" s="262" t="n">
        <v>25</v>
      </c>
      <c r="P188" s="236" t="n">
        <v>65.6</v>
      </c>
      <c r="Q188" s="236" t="n">
        <v>18</v>
      </c>
      <c r="R188" s="234" t="n">
        <f aca="false">O188*P188</f>
        <v>1640</v>
      </c>
    </row>
    <row r="189" customFormat="false" ht="15" hidden="false" customHeight="false" outlineLevel="0" collapsed="false">
      <c r="A189" s="288" t="n">
        <v>11</v>
      </c>
      <c r="B189" s="301" t="s">
        <v>180</v>
      </c>
      <c r="C189" s="262" t="n">
        <v>3236</v>
      </c>
      <c r="D189" s="262" t="n">
        <v>3178</v>
      </c>
      <c r="E189" s="285" t="n">
        <f aca="false">IF(OR(C189=0,D189=0),0,C189/D189*100)</f>
        <v>101.825047199497</v>
      </c>
      <c r="F189" s="262" t="n">
        <v>2016</v>
      </c>
      <c r="G189" s="262" t="n">
        <v>2285</v>
      </c>
      <c r="H189" s="285" t="n">
        <f aca="false">IF(OR(F189=0,G189=0),0,F189/G189*100)</f>
        <v>88.2275711159737</v>
      </c>
      <c r="I189" s="262" t="n">
        <v>3236</v>
      </c>
      <c r="J189" s="262" t="n">
        <v>3178</v>
      </c>
      <c r="K189" s="285" t="n">
        <f aca="false">IF(OR(I189=0,J189=0),0,I189/J189*100)</f>
        <v>101.825047199497</v>
      </c>
      <c r="L189" s="262" t="n">
        <v>0</v>
      </c>
      <c r="M189" s="262" t="n">
        <v>0</v>
      </c>
      <c r="N189" s="285" t="n">
        <f aca="false">IF(OR(L189=0,M189=0),0,L189/M189*100)</f>
        <v>0</v>
      </c>
      <c r="O189" s="262" t="n">
        <v>18</v>
      </c>
      <c r="P189" s="236" t="n">
        <v>53</v>
      </c>
      <c r="Q189" s="236" t="n">
        <v>25</v>
      </c>
      <c r="R189" s="202" t="n">
        <f aca="false">O189*P189</f>
        <v>954</v>
      </c>
    </row>
    <row r="190" customFormat="false" ht="15" hidden="false" customHeight="false" outlineLevel="0" collapsed="false">
      <c r="A190" s="215" t="s">
        <v>170</v>
      </c>
      <c r="B190" s="215" t="s">
        <v>154</v>
      </c>
      <c r="C190" s="302" t="n">
        <f aca="false">SUM(C181:C189)</f>
        <v>130339.8</v>
      </c>
      <c r="D190" s="302" t="n">
        <f aca="false">SUM(D181:D189)</f>
        <v>118628</v>
      </c>
      <c r="E190" s="217" t="n">
        <f aca="false">C190/D190*100</f>
        <v>109.872711332906</v>
      </c>
      <c r="F190" s="302" t="n">
        <f aca="false">SUM(F181:F189)</f>
        <v>79895.7</v>
      </c>
      <c r="G190" s="302" t="n">
        <f aca="false">SUM(G181:G189)</f>
        <v>64829</v>
      </c>
      <c r="H190" s="217" t="n">
        <f aca="false">F190/G190*100</f>
        <v>123.24067932561</v>
      </c>
      <c r="I190" s="302" t="n">
        <f aca="false">SUM(I181:I189)</f>
        <v>30791</v>
      </c>
      <c r="J190" s="302" t="n">
        <f aca="false">SUM(J181:J189)</f>
        <v>64721</v>
      </c>
      <c r="K190" s="217" t="n">
        <f aca="false">I190/J190*100</f>
        <v>47.5749756647765</v>
      </c>
      <c r="L190" s="302" t="n">
        <f aca="false">SUM(L181:L189)</f>
        <v>1213</v>
      </c>
      <c r="M190" s="302" t="n">
        <f aca="false">SUM(M181:M189)</f>
        <v>1174</v>
      </c>
      <c r="N190" s="217" t="n">
        <v>0</v>
      </c>
      <c r="O190" s="302" t="n">
        <f aca="false">SUM(O181:O189)</f>
        <v>528</v>
      </c>
      <c r="P190" s="217" t="n">
        <f aca="false">R190/O190</f>
        <v>145.038446969697</v>
      </c>
      <c r="Q190" s="302" t="n">
        <f aca="false">SUM(Q181:Q189)</f>
        <v>527</v>
      </c>
      <c r="R190" s="232" t="n">
        <f aca="false">SUM(R181:R189)</f>
        <v>76580.3</v>
      </c>
    </row>
    <row r="191" customFormat="false" ht="15" hidden="false" customHeight="false" outlineLevel="0" collapsed="false">
      <c r="A191" s="303"/>
      <c r="B191" s="195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3"/>
      <c r="P191" s="303"/>
      <c r="Q191" s="303"/>
      <c r="R191" s="304"/>
    </row>
    <row r="192" customFormat="false" ht="15" hidden="false" customHeight="false" outlineLevel="0" collapsed="false">
      <c r="A192" s="305" t="s">
        <v>181</v>
      </c>
      <c r="B192" s="305"/>
      <c r="C192" s="195" t="n">
        <v>3</v>
      </c>
      <c r="D192" s="195" t="n">
        <v>4</v>
      </c>
      <c r="E192" s="196" t="n">
        <v>5</v>
      </c>
      <c r="F192" s="195" t="n">
        <v>6</v>
      </c>
      <c r="G192" s="195" t="n">
        <v>7</v>
      </c>
      <c r="H192" s="195" t="n">
        <v>8</v>
      </c>
      <c r="I192" s="195" t="n">
        <v>9</v>
      </c>
      <c r="J192" s="195" t="n">
        <v>10</v>
      </c>
      <c r="K192" s="195" t="n">
        <v>11</v>
      </c>
      <c r="L192" s="195" t="n">
        <v>12</v>
      </c>
      <c r="M192" s="195" t="n">
        <v>13</v>
      </c>
      <c r="N192" s="195" t="n">
        <v>14</v>
      </c>
      <c r="O192" s="195" t="n">
        <v>15</v>
      </c>
      <c r="P192" s="196" t="n">
        <v>16</v>
      </c>
      <c r="Q192" s="195" t="n">
        <v>15</v>
      </c>
      <c r="R192" s="179"/>
    </row>
    <row r="193" customFormat="false" ht="15" hidden="false" customHeight="false" outlineLevel="0" collapsed="false">
      <c r="A193" s="262" t="n">
        <v>1</v>
      </c>
      <c r="B193" s="306" t="s">
        <v>182</v>
      </c>
      <c r="C193" s="207" t="n">
        <v>392</v>
      </c>
      <c r="D193" s="207" t="n">
        <v>1491</v>
      </c>
      <c r="E193" s="289" t="n">
        <f aca="false">C193/D193*100</f>
        <v>26.2910798122066</v>
      </c>
      <c r="F193" s="207" t="n">
        <v>392</v>
      </c>
      <c r="G193" s="207" t="n">
        <v>1491</v>
      </c>
      <c r="H193" s="289" t="n">
        <f aca="false">F193/G193*100</f>
        <v>26.2910798122066</v>
      </c>
      <c r="I193" s="207" t="n">
        <v>392</v>
      </c>
      <c r="J193" s="207" t="n">
        <v>1491</v>
      </c>
      <c r="K193" s="283" t="n">
        <f aca="false">IF(OR(I193=0,J193=0),0,I193/J193*100)</f>
        <v>26.2910798122066</v>
      </c>
      <c r="L193" s="207" t="n">
        <v>392</v>
      </c>
      <c r="M193" s="207" t="n">
        <v>1491</v>
      </c>
      <c r="N193" s="214" t="n">
        <f aca="false">L193/M193*100</f>
        <v>26.2910798122066</v>
      </c>
      <c r="O193" s="192" t="n">
        <v>49</v>
      </c>
      <c r="P193" s="262" t="n">
        <v>62</v>
      </c>
      <c r="Q193" s="192" t="n">
        <v>49</v>
      </c>
      <c r="R193" s="234" t="n">
        <f aca="false">O193*P193</f>
        <v>3038</v>
      </c>
    </row>
    <row r="194" customFormat="false" ht="15" hidden="false" customHeight="false" outlineLevel="0" collapsed="false">
      <c r="A194" s="262" t="n">
        <v>2</v>
      </c>
      <c r="B194" s="306" t="s">
        <v>183</v>
      </c>
      <c r="C194" s="207" t="n">
        <v>5369</v>
      </c>
      <c r="D194" s="207" t="n">
        <v>0</v>
      </c>
      <c r="E194" s="289" t="n">
        <v>0</v>
      </c>
      <c r="F194" s="207" t="n">
        <v>5369</v>
      </c>
      <c r="G194" s="207" t="n">
        <v>0</v>
      </c>
      <c r="H194" s="289" t="n">
        <v>0</v>
      </c>
      <c r="I194" s="207" t="n">
        <v>0</v>
      </c>
      <c r="J194" s="207" t="n">
        <v>0</v>
      </c>
      <c r="K194" s="283" t="n">
        <v>0</v>
      </c>
      <c r="L194" s="207" t="n">
        <v>0</v>
      </c>
      <c r="M194" s="207" t="n">
        <v>0</v>
      </c>
      <c r="N194" s="214" t="n">
        <v>0</v>
      </c>
      <c r="O194" s="192" t="n">
        <v>176</v>
      </c>
      <c r="P194" s="262" t="n">
        <v>185</v>
      </c>
      <c r="Q194" s="192" t="n">
        <v>64</v>
      </c>
      <c r="R194" s="234" t="n">
        <f aca="false">O194*P194</f>
        <v>32560</v>
      </c>
    </row>
    <row r="195" customFormat="false" ht="15" hidden="false" customHeight="false" outlineLevel="0" collapsed="false">
      <c r="A195" s="215" t="s">
        <v>170</v>
      </c>
      <c r="B195" s="215" t="s">
        <v>154</v>
      </c>
      <c r="C195" s="216" t="n">
        <f aca="false">SUM(C193:C194)</f>
        <v>5761</v>
      </c>
      <c r="D195" s="216" t="n">
        <f aca="false">SUM(D193:D194)</f>
        <v>1491</v>
      </c>
      <c r="E195" s="217" t="n">
        <f aca="false">C195/D195*100</f>
        <v>386.384976525822</v>
      </c>
      <c r="F195" s="216" t="n">
        <f aca="false">SUM(F193:F194)</f>
        <v>5761</v>
      </c>
      <c r="G195" s="216" t="n">
        <f aca="false">SUM(G193:G194)</f>
        <v>1491</v>
      </c>
      <c r="H195" s="217" t="n">
        <f aca="false">F195/G195*100</f>
        <v>386.384976525822</v>
      </c>
      <c r="I195" s="217" t="n">
        <f aca="false">SUM(I193:I194)</f>
        <v>392</v>
      </c>
      <c r="J195" s="216" t="n">
        <f aca="false">SUM(J193:J194)</f>
        <v>1491</v>
      </c>
      <c r="K195" s="217" t="n">
        <f aca="false">I195/J195*100</f>
        <v>26.2910798122066</v>
      </c>
      <c r="L195" s="237" t="n">
        <f aca="false">SUM(L193:L194)</f>
        <v>392</v>
      </c>
      <c r="M195" s="216" t="n">
        <f aca="false">SUM(M193:M194)</f>
        <v>1491</v>
      </c>
      <c r="N195" s="217" t="n">
        <f aca="false">L195/M195*100</f>
        <v>26.2910798122066</v>
      </c>
      <c r="O195" s="237" t="n">
        <f aca="false">SUM(O193:O194)</f>
        <v>225</v>
      </c>
      <c r="P195" s="237" t="n">
        <f aca="false">R195/O195</f>
        <v>158.213333333333</v>
      </c>
      <c r="Q195" s="237" t="n">
        <f aca="false">SUM(Q193:Q194)</f>
        <v>113</v>
      </c>
      <c r="R195" s="232" t="n">
        <f aca="false">SUM(R193:R194)</f>
        <v>35598</v>
      </c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A161:B161"/>
    <mergeCell ref="A165:B165"/>
    <mergeCell ref="A167:B167"/>
    <mergeCell ref="A178:B178"/>
    <mergeCell ref="A180:B180"/>
    <mergeCell ref="A190:B190"/>
    <mergeCell ref="A192:B192"/>
    <mergeCell ref="A195:B19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5"/>
  <sheetViews>
    <sheetView showFormulas="false" showGridLines="true" showRowColHeaders="true" showZeros="true" rightToLeft="false" tabSelected="false" showOutlineSymbols="true" defaultGridColor="true" view="normal" topLeftCell="A138" colorId="64" zoomScale="100" zoomScaleNormal="100" zoomScalePageLayoutView="100" workbookViewId="0">
      <selection pane="topLeft" activeCell="C155" activeCellId="0" sqref="C155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27"/>
    <col collapsed="false" customWidth="true" hidden="false" outlineLevel="0" max="3" min="3" style="0" width="10.14"/>
    <col collapsed="false" customWidth="true" hidden="false" outlineLevel="0" max="4" min="4" style="0" width="11"/>
    <col collapsed="false" customWidth="true" hidden="false" outlineLevel="0" max="5" min="5" style="0" width="7.71"/>
    <col collapsed="false" customWidth="true" hidden="false" outlineLevel="0" max="6" min="6" style="0" width="10.43"/>
    <col collapsed="false" customWidth="true" hidden="false" outlineLevel="0" max="7" min="7" style="0" width="10.14"/>
    <col collapsed="false" customWidth="true" hidden="false" outlineLevel="0" max="8" min="8" style="0" width="6.43"/>
    <col collapsed="false" customWidth="true" hidden="false" outlineLevel="0" max="9" min="9" style="0" width="10.85"/>
    <col collapsed="false" customWidth="true" hidden="false" outlineLevel="0" max="10" min="10" style="0" width="11"/>
    <col collapsed="false" customWidth="true" hidden="false" outlineLevel="0" max="11" min="11" style="0" width="7.71"/>
    <col collapsed="false" customWidth="true" hidden="false" outlineLevel="0" max="12" min="12" style="0" width="10.57"/>
    <col collapsed="false" customWidth="true" hidden="false" outlineLevel="0" max="13" min="13" style="0" width="10.28"/>
    <col collapsed="false" customWidth="true" hidden="false" outlineLevel="0" max="14" min="14" style="0" width="7.57"/>
    <col collapsed="false" customWidth="true" hidden="false" outlineLevel="0" max="15" min="15" style="0" width="7.14"/>
    <col collapsed="false" customWidth="true" hidden="false" outlineLevel="0" max="16" min="16" style="0" width="6.85"/>
    <col collapsed="false" customWidth="true" hidden="false" outlineLevel="0" max="17" min="17" style="0" width="7.71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187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11</v>
      </c>
      <c r="F4" s="155" t="s">
        <v>12</v>
      </c>
      <c r="G4" s="155" t="s">
        <v>10</v>
      </c>
      <c r="H4" s="160" t="s">
        <v>11</v>
      </c>
      <c r="I4" s="155" t="s">
        <v>13</v>
      </c>
      <c r="J4" s="155" t="s">
        <v>10</v>
      </c>
      <c r="K4" s="160" t="s">
        <v>11</v>
      </c>
      <c r="L4" s="155" t="s">
        <v>13</v>
      </c>
      <c r="M4" s="155" t="s">
        <v>10</v>
      </c>
      <c r="N4" s="160" t="s">
        <v>11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23.25" hidden="false" customHeight="true" outlineLevel="0" collapsed="false">
      <c r="A10" s="163" t="n">
        <v>1</v>
      </c>
      <c r="B10" s="164" t="s">
        <v>14</v>
      </c>
      <c r="C10" s="161" t="n">
        <f aca="false">C139</f>
        <v>43868061</v>
      </c>
      <c r="D10" s="161" t="n">
        <f aca="false">D139</f>
        <v>40117987</v>
      </c>
      <c r="E10" s="165" t="n">
        <f aca="false">E139</f>
        <v>109.347612580861</v>
      </c>
      <c r="F10" s="161" t="n">
        <f aca="false">F139</f>
        <v>14740171</v>
      </c>
      <c r="G10" s="166" t="n">
        <f aca="false">G139</f>
        <v>13690273</v>
      </c>
      <c r="H10" s="167" t="n">
        <f aca="false">H139</f>
        <v>107.668933994231</v>
      </c>
      <c r="I10" s="166" t="n">
        <f aca="false">I139</f>
        <v>42751870</v>
      </c>
      <c r="J10" s="166" t="n">
        <f aca="false">J139</f>
        <v>36894711</v>
      </c>
      <c r="K10" s="167" t="n">
        <f aca="false">K139</f>
        <v>115.875335085292</v>
      </c>
      <c r="L10" s="161" t="n">
        <f aca="false">L139</f>
        <v>28190662</v>
      </c>
      <c r="M10" s="161" t="n">
        <f aca="false">M139</f>
        <v>22396721</v>
      </c>
      <c r="N10" s="165" t="n">
        <f aca="false">N139</f>
        <v>125.86959492865</v>
      </c>
      <c r="O10" s="161" t="n">
        <f aca="false">O139</f>
        <v>6124</v>
      </c>
      <c r="P10" s="165" t="n">
        <f aca="false">P139</f>
        <v>170.177661659046</v>
      </c>
      <c r="Q10" s="161" t="n">
        <f aca="false">Q139</f>
        <v>6110</v>
      </c>
      <c r="R10" s="168" t="n">
        <f aca="false">O10*P10</f>
        <v>1042168</v>
      </c>
    </row>
    <row r="11" customFormat="false" ht="29.25" hidden="false" customHeight="true" outlineLevel="0" collapsed="false">
      <c r="A11" s="163"/>
      <c r="B11" s="164" t="s">
        <v>15</v>
      </c>
      <c r="C11" s="161" t="n">
        <f aca="false">C149</f>
        <v>41631436</v>
      </c>
      <c r="D11" s="161" t="n">
        <f aca="false">D149</f>
        <v>35940178</v>
      </c>
      <c r="E11" s="165" t="n">
        <f aca="false">E149</f>
        <v>115.835363976216</v>
      </c>
      <c r="F11" s="161" t="n">
        <f aca="false">F149</f>
        <v>13728598</v>
      </c>
      <c r="G11" s="161" t="n">
        <f aca="false">G149</f>
        <v>13520945</v>
      </c>
      <c r="H11" s="165" t="n">
        <f aca="false">H149</f>
        <v>101.535787624312</v>
      </c>
      <c r="I11" s="161" t="n">
        <f aca="false">I149</f>
        <v>41507191</v>
      </c>
      <c r="J11" s="161" t="n">
        <f aca="false">J149</f>
        <v>35834012</v>
      </c>
      <c r="K11" s="165" t="n">
        <f aca="false">K149</f>
        <v>115.831827594409</v>
      </c>
      <c r="L11" s="161" t="n">
        <f aca="false">L149</f>
        <v>40212214</v>
      </c>
      <c r="M11" s="161" t="n">
        <f aca="false">M149</f>
        <v>34876685</v>
      </c>
      <c r="N11" s="165" t="n">
        <f aca="false">N149</f>
        <v>115.298268743145</v>
      </c>
      <c r="O11" s="161" t="n">
        <f aca="false">O149</f>
        <v>3614</v>
      </c>
      <c r="P11" s="161" t="n">
        <f aca="false">P149</f>
        <v>127.012174875484</v>
      </c>
      <c r="Q11" s="161" t="n">
        <f aca="false">Q149</f>
        <v>3326</v>
      </c>
      <c r="R11" s="168" t="n">
        <f aca="false">O11*P11</f>
        <v>459022</v>
      </c>
    </row>
    <row r="12" customFormat="false" ht="31.5" hidden="false" customHeight="true" outlineLevel="0" collapsed="false">
      <c r="A12" s="163" t="n">
        <v>2</v>
      </c>
      <c r="B12" s="164" t="s">
        <v>16</v>
      </c>
      <c r="C12" s="161" t="n">
        <f aca="false">C159</f>
        <v>3124486</v>
      </c>
      <c r="D12" s="161" t="n">
        <f aca="false">D159</f>
        <v>2021877</v>
      </c>
      <c r="E12" s="165" t="n">
        <f aca="false">E159</f>
        <v>154.53393060013</v>
      </c>
      <c r="F12" s="161" t="n">
        <f aca="false">F159</f>
        <v>1072992</v>
      </c>
      <c r="G12" s="166" t="n">
        <f aca="false">G159</f>
        <v>789051</v>
      </c>
      <c r="H12" s="167" t="n">
        <f aca="false">H159</f>
        <v>135.985126436694</v>
      </c>
      <c r="I12" s="166" t="n">
        <f aca="false">I159</f>
        <v>2504158</v>
      </c>
      <c r="J12" s="166" t="n">
        <f aca="false">J159</f>
        <v>2173692</v>
      </c>
      <c r="K12" s="167" t="n">
        <f aca="false">K159</f>
        <v>115.202981839193</v>
      </c>
      <c r="L12" s="161" t="n">
        <f aca="false">L159</f>
        <v>1338521</v>
      </c>
      <c r="M12" s="161" t="n">
        <f aca="false">M159</f>
        <v>1043267</v>
      </c>
      <c r="N12" s="165" t="n">
        <f aca="false">N159</f>
        <v>128.300904754008</v>
      </c>
      <c r="O12" s="161" t="n">
        <f aca="false">O159</f>
        <v>909</v>
      </c>
      <c r="P12" s="165" t="n">
        <f aca="false">P159</f>
        <v>98.8525852585259</v>
      </c>
      <c r="Q12" s="161" t="n">
        <f aca="false">Q159</f>
        <v>895</v>
      </c>
      <c r="R12" s="168" t="n">
        <f aca="false">O12*P12</f>
        <v>89857</v>
      </c>
    </row>
    <row r="13" customFormat="false" ht="30" hidden="false" customHeight="true" outlineLevel="0" collapsed="false">
      <c r="A13" s="163" t="n">
        <v>3</v>
      </c>
      <c r="B13" s="164" t="s">
        <v>17</v>
      </c>
      <c r="C13" s="161" t="n">
        <f aca="false">C178</f>
        <v>2870473</v>
      </c>
      <c r="D13" s="161" t="n">
        <f aca="false">D178</f>
        <v>1604010</v>
      </c>
      <c r="E13" s="165" t="n">
        <f aca="false">E178</f>
        <v>178.956053889938</v>
      </c>
      <c r="F13" s="161" t="n">
        <f aca="false">F178</f>
        <v>2138316</v>
      </c>
      <c r="G13" s="166" t="n">
        <f aca="false">G178</f>
        <v>1332356</v>
      </c>
      <c r="H13" s="167" t="n">
        <f aca="false">H178</f>
        <v>160.491340152332</v>
      </c>
      <c r="I13" s="166" t="n">
        <f aca="false">I178</f>
        <v>3154126</v>
      </c>
      <c r="J13" s="166" t="n">
        <f aca="false">J178</f>
        <v>2248178</v>
      </c>
      <c r="K13" s="167" t="n">
        <f aca="false">K178</f>
        <v>140.296987160269</v>
      </c>
      <c r="L13" s="161" t="n">
        <f aca="false">L178</f>
        <v>3175930</v>
      </c>
      <c r="M13" s="161" t="n">
        <f aca="false">M178</f>
        <v>2239783</v>
      </c>
      <c r="N13" s="165" t="n">
        <f aca="false">N178</f>
        <v>141.796325804777</v>
      </c>
      <c r="O13" s="161" t="n">
        <f aca="false">O178</f>
        <v>426</v>
      </c>
      <c r="P13" s="165" t="n">
        <f aca="false">P178</f>
        <v>129.943661971831</v>
      </c>
      <c r="Q13" s="161" t="n">
        <f aca="false">Q178</f>
        <v>452</v>
      </c>
      <c r="R13" s="168" t="n">
        <f aca="false">O13*P13</f>
        <v>55356</v>
      </c>
    </row>
    <row r="14" customFormat="false" ht="36" hidden="false" customHeight="true" outlineLevel="0" collapsed="false">
      <c r="A14" s="163" t="n">
        <v>4</v>
      </c>
      <c r="B14" s="164" t="s">
        <v>18</v>
      </c>
      <c r="C14" s="161" t="n">
        <f aca="false">C54</f>
        <v>514121</v>
      </c>
      <c r="D14" s="166" t="n">
        <f aca="false">D54</f>
        <v>741070</v>
      </c>
      <c r="E14" s="167" t="n">
        <f aca="false">E54</f>
        <v>69.3754975913207</v>
      </c>
      <c r="F14" s="166" t="n">
        <f aca="false">F54</f>
        <v>226527</v>
      </c>
      <c r="G14" s="166" t="n">
        <f aca="false">G54</f>
        <v>323412</v>
      </c>
      <c r="H14" s="167" t="n">
        <f aca="false">H54</f>
        <v>70.0428555526697</v>
      </c>
      <c r="I14" s="166" t="n">
        <f aca="false">I54</f>
        <v>484599</v>
      </c>
      <c r="J14" s="166" t="n">
        <f aca="false">J54</f>
        <v>687638</v>
      </c>
      <c r="K14" s="167" t="n">
        <f aca="false">K54</f>
        <v>70.4729814233652</v>
      </c>
      <c r="L14" s="166" t="n">
        <f aca="false">L54</f>
        <v>235985</v>
      </c>
      <c r="M14" s="166" t="n">
        <f aca="false">M54</f>
        <v>423293</v>
      </c>
      <c r="N14" s="167" t="n">
        <f aca="false">N54</f>
        <v>55.7497997840739</v>
      </c>
      <c r="O14" s="166" t="n">
        <f aca="false">O54</f>
        <v>799</v>
      </c>
      <c r="P14" s="167" t="n">
        <f aca="false">P54</f>
        <v>98.5369211514393</v>
      </c>
      <c r="Q14" s="166" t="n">
        <f aca="false">Q54</f>
        <v>774</v>
      </c>
      <c r="R14" s="168" t="n">
        <f aca="false">O14*P14</f>
        <v>78731</v>
      </c>
    </row>
    <row r="15" customFormat="false" ht="27.75" hidden="false" customHeight="true" outlineLevel="0" collapsed="false">
      <c r="A15" s="163" t="n">
        <v>5</v>
      </c>
      <c r="B15" s="164" t="s">
        <v>19</v>
      </c>
      <c r="C15" s="161" t="n">
        <f aca="false">C66</f>
        <v>314679</v>
      </c>
      <c r="D15" s="166" t="n">
        <f aca="false">D66</f>
        <v>372803</v>
      </c>
      <c r="E15" s="167" t="n">
        <f aca="false">E66</f>
        <v>84.4089237479312</v>
      </c>
      <c r="F15" s="166" t="n">
        <f aca="false">F66</f>
        <v>135394</v>
      </c>
      <c r="G15" s="166" t="n">
        <f aca="false">G66</f>
        <v>200668</v>
      </c>
      <c r="H15" s="167" t="n">
        <f aca="false">H66</f>
        <v>67.4716447066797</v>
      </c>
      <c r="I15" s="166" t="n">
        <f aca="false">I66</f>
        <v>391249</v>
      </c>
      <c r="J15" s="166" t="n">
        <f aca="false">J66</f>
        <v>351091</v>
      </c>
      <c r="K15" s="167" t="n">
        <f aca="false">K66</f>
        <v>111.438060218006</v>
      </c>
      <c r="L15" s="166" t="n">
        <f aca="false">L66</f>
        <v>227389</v>
      </c>
      <c r="M15" s="166" t="n">
        <f aca="false">M66</f>
        <v>251447</v>
      </c>
      <c r="N15" s="167" t="n">
        <f aca="false">N66</f>
        <v>90.4321785505494</v>
      </c>
      <c r="O15" s="166" t="n">
        <f aca="false">O66</f>
        <v>557</v>
      </c>
      <c r="P15" s="167" t="n">
        <f aca="false">P66</f>
        <v>78.9317773788151</v>
      </c>
      <c r="Q15" s="166" t="n">
        <f aca="false">Q66</f>
        <v>575</v>
      </c>
      <c r="R15" s="168" t="n">
        <f aca="false">O15*P15</f>
        <v>43965</v>
      </c>
    </row>
    <row r="16" customFormat="false" ht="29.25" hidden="false" customHeight="true" outlineLevel="0" collapsed="false">
      <c r="A16" s="163" t="n">
        <v>6</v>
      </c>
      <c r="B16" s="164" t="s">
        <v>20</v>
      </c>
      <c r="C16" s="161" t="n">
        <f aca="false">C77</f>
        <v>359778</v>
      </c>
      <c r="D16" s="166" t="n">
        <f aca="false">D77</f>
        <v>308672</v>
      </c>
      <c r="E16" s="167" t="n">
        <f aca="false">E77</f>
        <v>116.556733360979</v>
      </c>
      <c r="F16" s="166" t="n">
        <f aca="false">F77</f>
        <v>149384</v>
      </c>
      <c r="G16" s="166" t="n">
        <f aca="false">G77</f>
        <v>65713</v>
      </c>
      <c r="H16" s="167" t="n">
        <f aca="false">H77</f>
        <v>227.327925981161</v>
      </c>
      <c r="I16" s="166" t="n">
        <f aca="false">I77</f>
        <v>376153</v>
      </c>
      <c r="J16" s="166" t="n">
        <f aca="false">J77</f>
        <v>338819</v>
      </c>
      <c r="K16" s="167" t="n">
        <f aca="false">K77</f>
        <v>111.018862578545</v>
      </c>
      <c r="L16" s="166" t="n">
        <f aca="false">L77</f>
        <v>193742</v>
      </c>
      <c r="M16" s="166" t="n">
        <f aca="false">M77</f>
        <v>164307</v>
      </c>
      <c r="N16" s="167" t="n">
        <f aca="false">N77</f>
        <v>117.914635408108</v>
      </c>
      <c r="O16" s="166" t="n">
        <f aca="false">O77</f>
        <v>369</v>
      </c>
      <c r="P16" s="167" t="n">
        <f aca="false">P77</f>
        <v>120.715447154472</v>
      </c>
      <c r="Q16" s="166" t="n">
        <f aca="false">Q77</f>
        <v>520</v>
      </c>
      <c r="R16" s="168" t="n">
        <f aca="false">O16*P16</f>
        <v>44544</v>
      </c>
    </row>
    <row r="17" customFormat="false" ht="33" hidden="false" customHeight="true" outlineLevel="0" collapsed="false">
      <c r="A17" s="163" t="n">
        <v>7</v>
      </c>
      <c r="B17" s="164" t="s">
        <v>21</v>
      </c>
      <c r="C17" s="161" t="n">
        <f aca="false">C92</f>
        <v>1546533</v>
      </c>
      <c r="D17" s="166" t="n">
        <f aca="false">D92</f>
        <v>1314707</v>
      </c>
      <c r="E17" s="167" t="n">
        <f aca="false">E92</f>
        <v>117.633282548887</v>
      </c>
      <c r="F17" s="166" t="n">
        <f aca="false">F92</f>
        <v>566237</v>
      </c>
      <c r="G17" s="166" t="n">
        <f aca="false">G92</f>
        <v>562673</v>
      </c>
      <c r="H17" s="167" t="n">
        <f aca="false">H92</f>
        <v>100.633405192714</v>
      </c>
      <c r="I17" s="166" t="n">
        <f aca="false">I92</f>
        <v>2462542</v>
      </c>
      <c r="J17" s="166" t="n">
        <f aca="false">J92</f>
        <v>2026532</v>
      </c>
      <c r="K17" s="167" t="n">
        <f aca="false">K92</f>
        <v>121.515080936299</v>
      </c>
      <c r="L17" s="166" t="n">
        <f aca="false">L92</f>
        <v>749857</v>
      </c>
      <c r="M17" s="166" t="n">
        <f aca="false">M92</f>
        <v>507304</v>
      </c>
      <c r="N17" s="167" t="n">
        <f aca="false">N92</f>
        <v>147.812159967199</v>
      </c>
      <c r="O17" s="166" t="n">
        <f aca="false">O92</f>
        <v>3985</v>
      </c>
      <c r="P17" s="167" t="n">
        <f aca="false">P92</f>
        <v>115.535759096612</v>
      </c>
      <c r="Q17" s="166" t="n">
        <f aca="false">Q92</f>
        <v>4241</v>
      </c>
      <c r="R17" s="168" t="n">
        <f aca="false">O17*P17</f>
        <v>460410</v>
      </c>
    </row>
    <row r="18" customFormat="false" ht="34.5" hidden="false" customHeight="true" outlineLevel="0" collapsed="false">
      <c r="A18" s="163" t="n">
        <v>8</v>
      </c>
      <c r="B18" s="164" t="s">
        <v>22</v>
      </c>
      <c r="C18" s="161" t="n">
        <f aca="false">C165</f>
        <v>1569931</v>
      </c>
      <c r="D18" s="166" t="n">
        <f aca="false">D165</f>
        <v>787108</v>
      </c>
      <c r="E18" s="167" t="n">
        <f aca="false">E165</f>
        <v>199.45560202666</v>
      </c>
      <c r="F18" s="166" t="n">
        <f aca="false">F165</f>
        <v>417707</v>
      </c>
      <c r="G18" s="166" t="n">
        <f aca="false">G165</f>
        <v>225487</v>
      </c>
      <c r="H18" s="167" t="n">
        <f aca="false">H165</f>
        <v>185.246599582238</v>
      </c>
      <c r="I18" s="166" t="n">
        <f aca="false">I165</f>
        <v>1155428</v>
      </c>
      <c r="J18" s="166" t="n">
        <f aca="false">J165</f>
        <v>799980</v>
      </c>
      <c r="K18" s="167" t="n">
        <f aca="false">K165</f>
        <v>144.43211080277</v>
      </c>
      <c r="L18" s="166" t="n">
        <f aca="false">L165</f>
        <v>115861</v>
      </c>
      <c r="M18" s="166" t="n">
        <f aca="false">M165</f>
        <v>80207</v>
      </c>
      <c r="N18" s="167" t="n">
        <f aca="false">N165</f>
        <v>0</v>
      </c>
      <c r="O18" s="166" t="n">
        <f aca="false">O165</f>
        <v>563</v>
      </c>
      <c r="P18" s="167" t="n">
        <f aca="false">P165</f>
        <v>96.1367673179396</v>
      </c>
      <c r="Q18" s="166" t="n">
        <f aca="false">Q165</f>
        <v>589</v>
      </c>
      <c r="R18" s="168" t="n">
        <f aca="false">O18*P18</f>
        <v>54125</v>
      </c>
    </row>
    <row r="19" customFormat="false" ht="36" hidden="false" customHeight="true" outlineLevel="0" collapsed="false">
      <c r="A19" s="163" t="n">
        <v>9</v>
      </c>
      <c r="B19" s="164" t="s">
        <v>23</v>
      </c>
      <c r="C19" s="161" t="n">
        <f aca="false">C120</f>
        <v>858496</v>
      </c>
      <c r="D19" s="166" t="n">
        <f aca="false">D120</f>
        <v>685090</v>
      </c>
      <c r="E19" s="167" t="n">
        <f aca="false">E120</f>
        <v>125.311418937658</v>
      </c>
      <c r="F19" s="166" t="n">
        <f aca="false">F120</f>
        <v>354838</v>
      </c>
      <c r="G19" s="166" t="n">
        <f aca="false">G120</f>
        <v>301601</v>
      </c>
      <c r="H19" s="167" t="n">
        <f aca="false">H120</f>
        <v>117.651466672856</v>
      </c>
      <c r="I19" s="166" t="n">
        <f aca="false">I120</f>
        <v>616417</v>
      </c>
      <c r="J19" s="166" t="n">
        <f aca="false">J120</f>
        <v>541408</v>
      </c>
      <c r="K19" s="167" t="n">
        <f aca="false">K120</f>
        <v>113.854431408476</v>
      </c>
      <c r="L19" s="166" t="n">
        <f aca="false">L120</f>
        <v>388888</v>
      </c>
      <c r="M19" s="166" t="n">
        <f aca="false">M120</f>
        <v>277025</v>
      </c>
      <c r="N19" s="167" t="n">
        <f aca="false">N120</f>
        <v>140.380110098367</v>
      </c>
      <c r="O19" s="166" t="n">
        <f aca="false">O120</f>
        <v>1768</v>
      </c>
      <c r="P19" s="167" t="n">
        <f aca="false">P120</f>
        <v>65.1453619909502</v>
      </c>
      <c r="Q19" s="166" t="n">
        <f aca="false">Q120</f>
        <v>1539</v>
      </c>
      <c r="R19" s="168" t="n">
        <f aca="false">O19*P19</f>
        <v>115177</v>
      </c>
    </row>
    <row r="20" customFormat="false" ht="24" hidden="false" customHeight="true" outlineLevel="0" collapsed="false">
      <c r="A20" s="163" t="n">
        <v>10</v>
      </c>
      <c r="B20" s="164" t="s">
        <v>24</v>
      </c>
      <c r="C20" s="161" t="n">
        <f aca="false">C131</f>
        <v>37195</v>
      </c>
      <c r="D20" s="166" t="n">
        <f aca="false">D131</f>
        <v>78580</v>
      </c>
      <c r="E20" s="167" t="n">
        <f aca="false">E131</f>
        <v>47.333927207941</v>
      </c>
      <c r="F20" s="166" t="n">
        <f aca="false">F131</f>
        <v>22761</v>
      </c>
      <c r="G20" s="166" t="n">
        <f aca="false">G131</f>
        <v>23630</v>
      </c>
      <c r="H20" s="167" t="n">
        <v>0</v>
      </c>
      <c r="I20" s="166" t="n">
        <f aca="false">I131</f>
        <v>25618</v>
      </c>
      <c r="J20" s="166" t="n">
        <f aca="false">J131</f>
        <v>88987</v>
      </c>
      <c r="K20" s="167" t="n">
        <f aca="false">K131</f>
        <v>28.7884747210267</v>
      </c>
      <c r="L20" s="166" t="n">
        <f aca="false">L131</f>
        <v>0</v>
      </c>
      <c r="M20" s="166" t="n">
        <f aca="false">M131</f>
        <v>0</v>
      </c>
      <c r="N20" s="167" t="n">
        <f aca="false">N131</f>
        <v>0</v>
      </c>
      <c r="O20" s="166" t="n">
        <f aca="false">O131</f>
        <v>96</v>
      </c>
      <c r="P20" s="167" t="n">
        <f aca="false">P131</f>
        <v>76.9791666666667</v>
      </c>
      <c r="Q20" s="166" t="n">
        <f aca="false">Q131</f>
        <v>101</v>
      </c>
      <c r="R20" s="168" t="n">
        <f aca="false">O20*P20</f>
        <v>7390</v>
      </c>
    </row>
    <row r="21" customFormat="false" ht="32.25" hidden="false" customHeight="true" outlineLevel="0" collapsed="false">
      <c r="A21" s="163" t="n">
        <v>11</v>
      </c>
      <c r="B21" s="164" t="s">
        <v>25</v>
      </c>
      <c r="C21" s="161" t="n">
        <f aca="false">C190</f>
        <v>212691</v>
      </c>
      <c r="D21" s="166" t="n">
        <f aca="false">D190</f>
        <v>351919</v>
      </c>
      <c r="E21" s="167" t="n">
        <f aca="false">E190</f>
        <v>60.4374870353689</v>
      </c>
      <c r="F21" s="166" t="n">
        <f aca="false">F190</f>
        <v>80237.3</v>
      </c>
      <c r="G21" s="166" t="n">
        <f aca="false">G190</f>
        <v>206542</v>
      </c>
      <c r="H21" s="167" t="n">
        <f aca="false">H190</f>
        <v>38.8479340763622</v>
      </c>
      <c r="I21" s="166" t="n">
        <f aca="false">I190</f>
        <v>71259</v>
      </c>
      <c r="J21" s="166" t="n">
        <f aca="false">J190</f>
        <v>245051.8</v>
      </c>
      <c r="K21" s="167" t="n">
        <f aca="false">K190</f>
        <v>29.0791579576237</v>
      </c>
      <c r="L21" s="166" t="n">
        <f aca="false">L190</f>
        <v>1213</v>
      </c>
      <c r="M21" s="166" t="n">
        <f aca="false">M190</f>
        <v>26610</v>
      </c>
      <c r="N21" s="167" t="n">
        <f aca="false">N190</f>
        <v>0</v>
      </c>
      <c r="O21" s="166" t="n">
        <f aca="false">O190</f>
        <v>523</v>
      </c>
      <c r="P21" s="167" t="n">
        <f aca="false">P190</f>
        <v>146.301338432122</v>
      </c>
      <c r="Q21" s="166" t="n">
        <f aca="false">Q190</f>
        <v>528</v>
      </c>
      <c r="R21" s="168" t="n">
        <f aca="false">O21*P21</f>
        <v>76515.6</v>
      </c>
    </row>
    <row r="22" customFormat="false" ht="39.75" hidden="false" customHeight="true" outlineLevel="0" collapsed="false">
      <c r="A22" s="163" t="n">
        <v>12</v>
      </c>
      <c r="B22" s="164" t="s">
        <v>26</v>
      </c>
      <c r="C22" s="161" t="n">
        <f aca="false">C195</f>
        <v>55352</v>
      </c>
      <c r="D22" s="166" t="n">
        <f aca="false">D195</f>
        <v>11574</v>
      </c>
      <c r="E22" s="167" t="n">
        <f aca="false">E195</f>
        <v>478.244340763781</v>
      </c>
      <c r="F22" s="166" t="n">
        <f aca="false">F195</f>
        <v>17784</v>
      </c>
      <c r="G22" s="166" t="n">
        <f aca="false">G195</f>
        <v>4637</v>
      </c>
      <c r="H22" s="167" t="n">
        <f aca="false">H195</f>
        <v>383.52383006254</v>
      </c>
      <c r="I22" s="166" t="n">
        <f aca="false">I195</f>
        <v>55383</v>
      </c>
      <c r="J22" s="166" t="n">
        <f aca="false">J195</f>
        <v>11574</v>
      </c>
      <c r="K22" s="167" t="n">
        <f aca="false">K195</f>
        <v>478.512182477968</v>
      </c>
      <c r="L22" s="166" t="n">
        <f aca="false">L195</f>
        <v>45861</v>
      </c>
      <c r="M22" s="166" t="n">
        <f aca="false">M195</f>
        <v>11561</v>
      </c>
      <c r="N22" s="167" t="n">
        <f aca="false">N195</f>
        <v>396.687137790849</v>
      </c>
      <c r="O22" s="166" t="n">
        <f aca="false">O195</f>
        <v>226</v>
      </c>
      <c r="P22" s="167" t="n">
        <f aca="false">P195</f>
        <v>154.911504424779</v>
      </c>
      <c r="Q22" s="166" t="n">
        <f aca="false">Q195</f>
        <v>225</v>
      </c>
      <c r="R22" s="168" t="n">
        <f aca="false">O22*P22</f>
        <v>35010</v>
      </c>
    </row>
    <row r="23" customFormat="false" ht="15" hidden="false" customHeight="false" outlineLevel="0" collapsed="false">
      <c r="A23" s="169"/>
      <c r="B23" s="169" t="s">
        <v>27</v>
      </c>
      <c r="C23" s="170" t="n">
        <f aca="false">SUM(C10:C22)</f>
        <v>96963232</v>
      </c>
      <c r="D23" s="170" t="n">
        <f aca="false">SUM(D10:D22)</f>
        <v>84335575</v>
      </c>
      <c r="E23" s="171" t="n">
        <f aca="false">C23/D23*100</f>
        <v>114.973108323504</v>
      </c>
      <c r="F23" s="170" t="n">
        <f aca="false">SUM(F10:F22)</f>
        <v>33650946.3</v>
      </c>
      <c r="G23" s="170" t="n">
        <f aca="false">SUM(G10:G22)</f>
        <v>31246988</v>
      </c>
      <c r="H23" s="171" t="n">
        <f aca="false">F23/G23*100</f>
        <v>107.693408081445</v>
      </c>
      <c r="I23" s="170" t="n">
        <f aca="false">SUM(I10:I22)</f>
        <v>95555993</v>
      </c>
      <c r="J23" s="170" t="n">
        <f aca="false">SUM(J10:J22)</f>
        <v>82241673.8</v>
      </c>
      <c r="K23" s="171" t="n">
        <f aca="false">I23/J23*100</f>
        <v>116.189260972945</v>
      </c>
      <c r="L23" s="170" t="n">
        <f aca="false">SUM(L10:L22)</f>
        <v>74876123</v>
      </c>
      <c r="M23" s="170" t="n">
        <f aca="false">SUM(M10:M22)</f>
        <v>62298210</v>
      </c>
      <c r="N23" s="171" t="n">
        <f aca="false">L23/M23*100</f>
        <v>120.189846546153</v>
      </c>
      <c r="O23" s="170" t="n">
        <f aca="false">SUM(O10:O22)</f>
        <v>19959</v>
      </c>
      <c r="P23" s="171" t="n">
        <f aca="false">R23/O23</f>
        <v>128.376702239591</v>
      </c>
      <c r="Q23" s="170" t="n">
        <f aca="false">SUM(Q10:Q22)</f>
        <v>19875</v>
      </c>
      <c r="R23" s="172" t="n">
        <f aca="false">SUM(R10:R22)</f>
        <v>2562270.6</v>
      </c>
    </row>
    <row r="24" customFormat="false" ht="65.25" hidden="false" customHeight="tru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0.75" hidden="true" customHeight="tru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5" hidden="true" customHeight="fals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0.75" hidden="true" customHeight="tru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tru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0.75" hidden="tru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33.75" hidden="false" customHeight="true" outlineLevel="0" collapsed="false">
      <c r="A30" s="178" t="s">
        <v>188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</row>
    <row r="31" customFormat="false" ht="6.75" hidden="true" customHeight="true" outlineLevel="0" collapsed="false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9"/>
    </row>
    <row r="32" customFormat="false" ht="3.75" hidden="true" customHeight="true" outlineLevel="0" collapsed="false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80"/>
    </row>
    <row r="33" customFormat="false" ht="19.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60" hidden="false" customHeight="true" outlineLevel="0" collapsed="false">
      <c r="A34" s="181"/>
      <c r="B34" s="182"/>
      <c r="C34" s="186" t="s">
        <v>9</v>
      </c>
      <c r="D34" s="186" t="s">
        <v>33</v>
      </c>
      <c r="E34" s="188" t="s">
        <v>34</v>
      </c>
      <c r="F34" s="186" t="s">
        <v>12</v>
      </c>
      <c r="G34" s="186" t="s">
        <v>35</v>
      </c>
      <c r="H34" s="188" t="s">
        <v>34</v>
      </c>
      <c r="I34" s="186" t="s">
        <v>13</v>
      </c>
      <c r="J34" s="186" t="s">
        <v>33</v>
      </c>
      <c r="K34" s="188" t="s">
        <v>34</v>
      </c>
      <c r="L34" s="186" t="s">
        <v>13</v>
      </c>
      <c r="M34" s="186" t="s">
        <v>33</v>
      </c>
      <c r="N34" s="188" t="s">
        <v>34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29409</v>
      </c>
      <c r="D37" s="200" t="n">
        <v>32201</v>
      </c>
      <c r="E37" s="201" t="n">
        <f aca="false">C37/D37*100</f>
        <v>91.329461817956</v>
      </c>
      <c r="F37" s="200" t="n">
        <v>13002</v>
      </c>
      <c r="G37" s="200" t="n">
        <v>15184</v>
      </c>
      <c r="H37" s="201" t="n">
        <f aca="false">F37/G37*100</f>
        <v>85.6296101159115</v>
      </c>
      <c r="I37" s="200" t="n">
        <v>29409</v>
      </c>
      <c r="J37" s="200" t="n">
        <v>32201</v>
      </c>
      <c r="K37" s="201" t="n">
        <f aca="false">I37/J37*100</f>
        <v>91.329461817956</v>
      </c>
      <c r="L37" s="200" t="n">
        <v>1672</v>
      </c>
      <c r="M37" s="200" t="n">
        <v>0</v>
      </c>
      <c r="N37" s="201" t="n">
        <v>0</v>
      </c>
      <c r="O37" s="200" t="n">
        <v>85</v>
      </c>
      <c r="P37" s="200" t="n">
        <v>92</v>
      </c>
      <c r="Q37" s="200" t="n">
        <v>85</v>
      </c>
      <c r="R37" s="202" t="n">
        <f aca="false">O37*P37</f>
        <v>7820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19043</v>
      </c>
      <c r="D38" s="200" t="n">
        <v>92537</v>
      </c>
      <c r="E38" s="201" t="n">
        <f aca="false">C38/D38*100</f>
        <v>20.5787955088235</v>
      </c>
      <c r="F38" s="200" t="n">
        <v>1718</v>
      </c>
      <c r="G38" s="200" t="n">
        <v>74668</v>
      </c>
      <c r="H38" s="201" t="n">
        <f aca="false">F38/G38*100</f>
        <v>2.3008517705041</v>
      </c>
      <c r="I38" s="200" t="n">
        <v>8122</v>
      </c>
      <c r="J38" s="200" t="n">
        <v>91188</v>
      </c>
      <c r="K38" s="201" t="n">
        <f aca="false">I38/J38*100</f>
        <v>8.90687371145326</v>
      </c>
      <c r="L38" s="200" t="n">
        <v>8122</v>
      </c>
      <c r="M38" s="200" t="n">
        <v>91188</v>
      </c>
      <c r="N38" s="205" t="n">
        <f aca="false">L38/M38*100</f>
        <v>8.90687371145326</v>
      </c>
      <c r="O38" s="203" t="n">
        <v>20</v>
      </c>
      <c r="P38" s="204" t="n">
        <v>170</v>
      </c>
      <c r="Q38" s="203" t="n">
        <v>95</v>
      </c>
      <c r="R38" s="202" t="n">
        <f aca="false">O38*P38</f>
        <v>3400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18856</v>
      </c>
      <c r="D39" s="200" t="n">
        <v>12633</v>
      </c>
      <c r="E39" s="201" t="n">
        <f aca="false">C39/D39*100</f>
        <v>149.259874930737</v>
      </c>
      <c r="F39" s="200" t="n">
        <v>6756</v>
      </c>
      <c r="G39" s="200" t="n">
        <v>9451</v>
      </c>
      <c r="H39" s="201" t="n">
        <f aca="false">F39/G39*100</f>
        <v>71.4844989948154</v>
      </c>
      <c r="I39" s="200" t="n">
        <v>21730</v>
      </c>
      <c r="J39" s="200" t="n">
        <v>26638</v>
      </c>
      <c r="K39" s="205" t="n">
        <f aca="false">I39/J39*100</f>
        <v>81.5751933328328</v>
      </c>
      <c r="L39" s="200" t="n">
        <v>0</v>
      </c>
      <c r="M39" s="200" t="n">
        <v>0</v>
      </c>
      <c r="N39" s="205" t="n">
        <v>0</v>
      </c>
      <c r="O39" s="203" t="n">
        <v>24</v>
      </c>
      <c r="P39" s="204" t="n">
        <v>90</v>
      </c>
      <c r="Q39" s="203" t="n">
        <v>24</v>
      </c>
      <c r="R39" s="202" t="n">
        <f aca="false">O39*P39</f>
        <v>2160</v>
      </c>
    </row>
    <row r="40" customFormat="false" ht="15" hidden="false" customHeight="false" outlineLevel="0" collapsed="false">
      <c r="A40" s="198" t="n">
        <v>4</v>
      </c>
      <c r="B40" s="199" t="s">
        <v>41</v>
      </c>
      <c r="C40" s="200" t="n">
        <v>5030</v>
      </c>
      <c r="D40" s="200" t="n">
        <v>1180</v>
      </c>
      <c r="E40" s="201" t="n">
        <f aca="false">C40/D40*100</f>
        <v>426.271186440678</v>
      </c>
      <c r="F40" s="200" t="n">
        <v>0</v>
      </c>
      <c r="G40" s="200" t="n">
        <v>1180</v>
      </c>
      <c r="H40" s="201" t="n">
        <f aca="false">F40/G40*100</f>
        <v>0</v>
      </c>
      <c r="I40" s="200" t="n">
        <v>5312</v>
      </c>
      <c r="J40" s="200" t="n">
        <v>0</v>
      </c>
      <c r="K40" s="205" t="n">
        <v>0</v>
      </c>
      <c r="L40" s="200" t="n">
        <v>5312</v>
      </c>
      <c r="M40" s="200" t="n">
        <v>0</v>
      </c>
      <c r="N40" s="205" t="n">
        <v>0</v>
      </c>
      <c r="O40" s="203" t="n">
        <v>20</v>
      </c>
      <c r="P40" s="204" t="n">
        <v>60</v>
      </c>
      <c r="Q40" s="203" t="n">
        <v>20</v>
      </c>
      <c r="R40" s="202" t="n">
        <f aca="false">O40*P40</f>
        <v>1200</v>
      </c>
    </row>
    <row r="41" customFormat="false" ht="15" hidden="false" customHeight="false" outlineLevel="0" collapsed="false">
      <c r="A41" s="198" t="n">
        <v>5</v>
      </c>
      <c r="B41" s="199" t="s">
        <v>42</v>
      </c>
      <c r="C41" s="206" t="n">
        <v>10065</v>
      </c>
      <c r="D41" s="206" t="n">
        <v>12742</v>
      </c>
      <c r="E41" s="201" t="n">
        <f aca="false">C41/D41*100</f>
        <v>78.990739287396</v>
      </c>
      <c r="F41" s="206" t="n">
        <v>3886</v>
      </c>
      <c r="G41" s="206" t="n">
        <v>3643</v>
      </c>
      <c r="H41" s="201" t="n">
        <f aca="false">F41/G41*100</f>
        <v>106.670326653857</v>
      </c>
      <c r="I41" s="206" t="n">
        <v>17285</v>
      </c>
      <c r="J41" s="206" t="n">
        <v>11116</v>
      </c>
      <c r="K41" s="205" t="n">
        <f aca="false">I41/J41*100</f>
        <v>155.496581504138</v>
      </c>
      <c r="L41" s="206" t="n">
        <v>1345</v>
      </c>
      <c r="M41" s="206" t="n">
        <v>1322</v>
      </c>
      <c r="N41" s="205" t="n">
        <f aca="false">L41/M41*100</f>
        <v>101.739788199697</v>
      </c>
      <c r="O41" s="203" t="n">
        <v>54</v>
      </c>
      <c r="P41" s="204" t="n">
        <v>73</v>
      </c>
      <c r="Q41" s="203" t="n">
        <v>53</v>
      </c>
      <c r="R41" s="202" t="n">
        <f aca="false">O41*P41</f>
        <v>3942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24591</v>
      </c>
      <c r="D42" s="200" t="n">
        <v>11876</v>
      </c>
      <c r="E42" s="201" t="n">
        <f aca="false">C42/D42*100</f>
        <v>207.064668238464</v>
      </c>
      <c r="F42" s="200" t="n">
        <v>8686</v>
      </c>
      <c r="G42" s="200" t="n">
        <v>5239</v>
      </c>
      <c r="H42" s="201" t="n">
        <f aca="false">F42/G42*100</f>
        <v>165.794999045619</v>
      </c>
      <c r="I42" s="200" t="n">
        <v>22656</v>
      </c>
      <c r="J42" s="200" t="n">
        <v>11802</v>
      </c>
      <c r="K42" s="205" t="n">
        <f aca="false">I42/J42*100</f>
        <v>191.96746314184</v>
      </c>
      <c r="L42" s="200" t="n">
        <v>0</v>
      </c>
      <c r="M42" s="200" t="n">
        <v>0</v>
      </c>
      <c r="N42" s="205" t="n">
        <v>0</v>
      </c>
      <c r="O42" s="203" t="n">
        <v>64</v>
      </c>
      <c r="P42" s="204" t="n">
        <v>88</v>
      </c>
      <c r="Q42" s="203" t="n">
        <v>63</v>
      </c>
      <c r="R42" s="202" t="n">
        <f aca="false">O42*P42</f>
        <v>5632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2602</v>
      </c>
      <c r="D43" s="200" t="n">
        <v>0</v>
      </c>
      <c r="E43" s="201" t="n">
        <v>0</v>
      </c>
      <c r="F43" s="200" t="n">
        <v>2602</v>
      </c>
      <c r="G43" s="200" t="n">
        <v>0</v>
      </c>
      <c r="H43" s="201" t="n">
        <v>0</v>
      </c>
      <c r="I43" s="200" t="n">
        <v>0</v>
      </c>
      <c r="J43" s="200" t="n">
        <v>0</v>
      </c>
      <c r="K43" s="205" t="n">
        <v>0</v>
      </c>
      <c r="L43" s="200" t="n">
        <v>0</v>
      </c>
      <c r="M43" s="200" t="n">
        <v>0</v>
      </c>
      <c r="N43" s="205" t="n">
        <v>0</v>
      </c>
      <c r="O43" s="203" t="n">
        <v>23</v>
      </c>
      <c r="P43" s="204" t="n">
        <v>71</v>
      </c>
      <c r="Q43" s="203" t="n">
        <v>0</v>
      </c>
      <c r="R43" s="202" t="n">
        <f aca="false">O43*P43</f>
        <v>1633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6" t="n">
        <v>32168</v>
      </c>
      <c r="D44" s="206" t="n">
        <v>18692</v>
      </c>
      <c r="E44" s="201" t="n">
        <f aca="false">C44/D44*100</f>
        <v>172.095013909694</v>
      </c>
      <c r="F44" s="206" t="n">
        <v>11066</v>
      </c>
      <c r="G44" s="206" t="n">
        <v>5748</v>
      </c>
      <c r="H44" s="201" t="n">
        <f aca="false">F44/G44*100</f>
        <v>192.519137091162</v>
      </c>
      <c r="I44" s="206" t="n">
        <v>31134</v>
      </c>
      <c r="J44" s="206" t="n">
        <v>21324</v>
      </c>
      <c r="K44" s="205" t="n">
        <f aca="false">I44/J44*100</f>
        <v>146.004501969612</v>
      </c>
      <c r="L44" s="200" t="n">
        <v>0</v>
      </c>
      <c r="M44" s="200" t="n">
        <v>0</v>
      </c>
      <c r="N44" s="205" t="n">
        <v>0</v>
      </c>
      <c r="O44" s="203" t="n">
        <v>48</v>
      </c>
      <c r="P44" s="204" t="n">
        <v>82</v>
      </c>
      <c r="Q44" s="203" t="n">
        <v>45</v>
      </c>
      <c r="R44" s="202" t="n">
        <f aca="false">O44*P44</f>
        <v>3936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35046</v>
      </c>
      <c r="D45" s="200" t="n">
        <v>55315</v>
      </c>
      <c r="E45" s="201" t="n">
        <f aca="false">C45/D45*100</f>
        <v>63.3571364006147</v>
      </c>
      <c r="F45" s="208" t="n">
        <v>17645</v>
      </c>
      <c r="G45" s="200" t="n">
        <v>23584</v>
      </c>
      <c r="H45" s="201" t="n">
        <f aca="false">F45/G45*100</f>
        <v>74.8176729986431</v>
      </c>
      <c r="I45" s="200" t="n">
        <v>29032</v>
      </c>
      <c r="J45" s="209" t="n">
        <v>38011</v>
      </c>
      <c r="K45" s="205" t="n">
        <f aca="false">I45/J45*100</f>
        <v>76.3778906106127</v>
      </c>
      <c r="L45" s="200" t="n">
        <v>0</v>
      </c>
      <c r="M45" s="200" t="n">
        <v>0</v>
      </c>
      <c r="N45" s="205" t="n">
        <v>0</v>
      </c>
      <c r="O45" s="203" t="n">
        <v>63</v>
      </c>
      <c r="P45" s="204" t="n">
        <v>130</v>
      </c>
      <c r="Q45" s="203" t="n">
        <v>58</v>
      </c>
      <c r="R45" s="202" t="n">
        <f aca="false">O45*P45</f>
        <v>8190</v>
      </c>
    </row>
    <row r="46" s="211" customFormat="true" ht="15" hidden="false" customHeight="false" outlineLevel="0" collapsed="false">
      <c r="A46" s="210" t="n">
        <v>10</v>
      </c>
      <c r="B46" s="199" t="s">
        <v>47</v>
      </c>
      <c r="C46" s="208" t="n">
        <v>196830</v>
      </c>
      <c r="D46" s="200" t="n">
        <v>350947</v>
      </c>
      <c r="E46" s="201" t="n">
        <f aca="false">C46/D46*100</f>
        <v>56.0853918112992</v>
      </c>
      <c r="F46" s="208" t="n">
        <v>114148</v>
      </c>
      <c r="G46" s="200" t="n">
        <v>133555</v>
      </c>
      <c r="H46" s="201" t="n">
        <f aca="false">F46/G46*100</f>
        <v>85.4689079405488</v>
      </c>
      <c r="I46" s="200" t="n">
        <v>198136</v>
      </c>
      <c r="J46" s="200" t="n">
        <v>315204</v>
      </c>
      <c r="K46" s="205" t="n">
        <f aca="false">I46/J46*100</f>
        <v>62.8596083806043</v>
      </c>
      <c r="L46" s="200" t="n">
        <v>195930</v>
      </c>
      <c r="M46" s="200" t="n">
        <v>314934</v>
      </c>
      <c r="N46" s="205" t="n">
        <f aca="false">L46/M46*100</f>
        <v>62.2130351121187</v>
      </c>
      <c r="O46" s="203" t="n">
        <v>190</v>
      </c>
      <c r="P46" s="204" t="n">
        <v>84</v>
      </c>
      <c r="Q46" s="203" t="n">
        <v>144</v>
      </c>
      <c r="R46" s="202" t="n">
        <f aca="false">O46*P46</f>
        <v>15960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0</v>
      </c>
      <c r="D47" s="200" t="n">
        <v>1190</v>
      </c>
      <c r="E47" s="201" t="n">
        <v>0</v>
      </c>
      <c r="F47" s="200" t="n">
        <v>0</v>
      </c>
      <c r="G47" s="200" t="n">
        <v>1190</v>
      </c>
      <c r="H47" s="201" t="n">
        <f aca="false">F47/G47*100</f>
        <v>0</v>
      </c>
      <c r="I47" s="200" t="n">
        <v>0</v>
      </c>
      <c r="J47" s="200" t="n">
        <v>2452</v>
      </c>
      <c r="K47" s="205" t="n">
        <v>0</v>
      </c>
      <c r="L47" s="200" t="n">
        <v>0</v>
      </c>
      <c r="M47" s="200" t="n">
        <v>0</v>
      </c>
      <c r="N47" s="205" t="n">
        <v>0</v>
      </c>
      <c r="O47" s="203" t="n">
        <v>25</v>
      </c>
      <c r="P47" s="204" t="n">
        <v>85</v>
      </c>
      <c r="Q47" s="203" t="n">
        <v>9</v>
      </c>
      <c r="R47" s="202" t="n">
        <f aca="false">O47*P47</f>
        <v>2125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25321</v>
      </c>
      <c r="D48" s="200" t="n">
        <v>22640</v>
      </c>
      <c r="E48" s="201" t="n">
        <f aca="false">C48/D48*100</f>
        <v>111.841872791519</v>
      </c>
      <c r="F48" s="212" t="n">
        <v>9802</v>
      </c>
      <c r="G48" s="212" t="n">
        <v>10604</v>
      </c>
      <c r="H48" s="201" t="n">
        <f aca="false">F48/G48*100</f>
        <v>92.4368162957375</v>
      </c>
      <c r="I48" s="212" t="n">
        <v>24963</v>
      </c>
      <c r="J48" s="212" t="n">
        <v>15849</v>
      </c>
      <c r="K48" s="205" t="n">
        <f aca="false">I48/J48*100</f>
        <v>157.505205375734</v>
      </c>
      <c r="L48" s="213" t="n">
        <v>22028</v>
      </c>
      <c r="M48" s="212" t="n">
        <v>15849</v>
      </c>
      <c r="N48" s="205" t="n">
        <f aca="false">L48/M48*100</f>
        <v>138.986686857215</v>
      </c>
      <c r="O48" s="203" t="n">
        <v>26</v>
      </c>
      <c r="P48" s="204" t="n">
        <v>148</v>
      </c>
      <c r="Q48" s="203" t="n">
        <v>26</v>
      </c>
      <c r="R48" s="202" t="n">
        <f aca="false">O48*P48</f>
        <v>3848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95730</v>
      </c>
      <c r="D49" s="207" t="n">
        <v>102434</v>
      </c>
      <c r="E49" s="201" t="n">
        <f aca="false">C49/D49*100</f>
        <v>93.4552980455708</v>
      </c>
      <c r="F49" s="207" t="n">
        <v>32082</v>
      </c>
      <c r="G49" s="207" t="n">
        <v>37266</v>
      </c>
      <c r="H49" s="201" t="n">
        <f aca="false">F49/G49*100</f>
        <v>86.089196586701</v>
      </c>
      <c r="I49" s="200" t="n">
        <v>78947</v>
      </c>
      <c r="J49" s="200" t="n">
        <v>93199</v>
      </c>
      <c r="K49" s="205" t="n">
        <f aca="false">I49/J49*100</f>
        <v>84.7079904290819</v>
      </c>
      <c r="L49" s="207" t="n">
        <v>0</v>
      </c>
      <c r="M49" s="207" t="n">
        <v>0</v>
      </c>
      <c r="N49" s="205" t="n">
        <v>0</v>
      </c>
      <c r="O49" s="203" t="n">
        <v>77</v>
      </c>
      <c r="P49" s="204" t="n">
        <v>151</v>
      </c>
      <c r="Q49" s="203" t="n">
        <v>77</v>
      </c>
      <c r="R49" s="202" t="n">
        <f aca="false">O49*P49</f>
        <v>11627</v>
      </c>
    </row>
    <row r="50" customFormat="false" ht="15" hidden="false" customHeight="false" outlineLevel="0" collapsed="false">
      <c r="A50" s="198" t="n">
        <v>14</v>
      </c>
      <c r="B50" s="199" t="s">
        <v>51</v>
      </c>
      <c r="C50" s="203" t="n">
        <v>6308</v>
      </c>
      <c r="D50" s="203" t="n">
        <v>4918</v>
      </c>
      <c r="E50" s="201" t="n">
        <f aca="false">C50/D50*100</f>
        <v>128.263521756812</v>
      </c>
      <c r="F50" s="203" t="n">
        <v>1382</v>
      </c>
      <c r="G50" s="203" t="n">
        <v>1365</v>
      </c>
      <c r="H50" s="201" t="n">
        <f aca="false">F50/G50*100</f>
        <v>101.245421245421</v>
      </c>
      <c r="I50" s="203" t="n">
        <v>4751</v>
      </c>
      <c r="J50" s="203" t="n">
        <v>6879</v>
      </c>
      <c r="K50" s="214" t="n">
        <f aca="false">I50/J50*100</f>
        <v>69.0652711149877</v>
      </c>
      <c r="L50" s="203" t="n">
        <v>1576</v>
      </c>
      <c r="M50" s="203" t="n">
        <v>0</v>
      </c>
      <c r="N50" s="205" t="n">
        <v>0</v>
      </c>
      <c r="O50" s="203" t="n">
        <v>14</v>
      </c>
      <c r="P50" s="204" t="n">
        <v>80</v>
      </c>
      <c r="Q50" s="203" t="n">
        <v>13</v>
      </c>
      <c r="R50" s="202" t="n">
        <f aca="false">O50*P50</f>
        <v>1120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0</v>
      </c>
      <c r="D51" s="203" t="n">
        <v>215</v>
      </c>
      <c r="E51" s="201" t="n">
        <v>0</v>
      </c>
      <c r="F51" s="203" t="n">
        <v>0</v>
      </c>
      <c r="G51" s="203" t="n">
        <v>215</v>
      </c>
      <c r="H51" s="201" t="n">
        <v>0</v>
      </c>
      <c r="I51" s="203" t="n">
        <v>0</v>
      </c>
      <c r="J51" s="203" t="n">
        <v>225</v>
      </c>
      <c r="K51" s="205" t="n">
        <v>0</v>
      </c>
      <c r="L51" s="203" t="n">
        <v>0</v>
      </c>
      <c r="M51" s="203" t="n">
        <v>0</v>
      </c>
      <c r="N51" s="214" t="n">
        <v>0</v>
      </c>
      <c r="O51" s="203" t="n">
        <v>59</v>
      </c>
      <c r="P51" s="204" t="n">
        <v>97</v>
      </c>
      <c r="Q51" s="203" t="n">
        <v>55</v>
      </c>
      <c r="R51" s="202" t="n">
        <f aca="false">O51*P51</f>
        <v>5723</v>
      </c>
    </row>
    <row r="52" customFormat="false" ht="15" hidden="false" customHeight="false" outlineLevel="0" collapsed="false">
      <c r="A52" s="198" t="n">
        <v>16</v>
      </c>
      <c r="B52" s="199" t="s">
        <v>53</v>
      </c>
      <c r="C52" s="200" t="n">
        <v>1012</v>
      </c>
      <c r="D52" s="209" t="n">
        <v>750</v>
      </c>
      <c r="E52" s="201" t="n">
        <v>0</v>
      </c>
      <c r="F52" s="200" t="n">
        <v>1012</v>
      </c>
      <c r="G52" s="200" t="n">
        <v>520</v>
      </c>
      <c r="H52" s="201" t="n">
        <v>0</v>
      </c>
      <c r="I52" s="200" t="n">
        <v>1012</v>
      </c>
      <c r="J52" s="200" t="n">
        <v>750</v>
      </c>
      <c r="K52" s="214" t="n">
        <v>0</v>
      </c>
      <c r="L52" s="200" t="n">
        <v>0</v>
      </c>
      <c r="M52" s="200" t="n">
        <v>0</v>
      </c>
      <c r="N52" s="205" t="n">
        <v>0</v>
      </c>
      <c r="O52" s="203" t="n">
        <v>3</v>
      </c>
      <c r="P52" s="204" t="n">
        <v>45</v>
      </c>
      <c r="Q52" s="203" t="n">
        <v>3</v>
      </c>
      <c r="R52" s="202" t="n">
        <f aca="false">O52*P52</f>
        <v>135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12110</v>
      </c>
      <c r="D53" s="203" t="n">
        <v>20800</v>
      </c>
      <c r="E53" s="214" t="n">
        <f aca="false">C53/D53*100</f>
        <v>58.2211538461539</v>
      </c>
      <c r="F53" s="203" t="n">
        <v>2740</v>
      </c>
      <c r="G53" s="203" t="n">
        <v>13000</v>
      </c>
      <c r="H53" s="201" t="n">
        <f aca="false">F53/G53*100</f>
        <v>21.0769230769231</v>
      </c>
      <c r="I53" s="203" t="n">
        <v>12110</v>
      </c>
      <c r="J53" s="203" t="n">
        <v>20800</v>
      </c>
      <c r="K53" s="205" t="n">
        <v>0</v>
      </c>
      <c r="L53" s="203" t="n">
        <v>0</v>
      </c>
      <c r="M53" s="203" t="n">
        <v>0</v>
      </c>
      <c r="N53" s="214" t="n">
        <v>0</v>
      </c>
      <c r="O53" s="203" t="n">
        <v>4</v>
      </c>
      <c r="P53" s="204" t="n">
        <v>70</v>
      </c>
      <c r="Q53" s="203" t="n">
        <v>4</v>
      </c>
      <c r="R53" s="202" t="n">
        <f aca="false">O53*P53</f>
        <v>280</v>
      </c>
    </row>
    <row r="54" customFormat="false" ht="15" hidden="false" customHeight="false" outlineLevel="0" collapsed="false">
      <c r="A54" s="215" t="s">
        <v>55</v>
      </c>
      <c r="B54" s="215"/>
      <c r="C54" s="216" t="n">
        <f aca="false">SUM(C37:C53)</f>
        <v>514121</v>
      </c>
      <c r="D54" s="216" t="n">
        <f aca="false">SUM(D37:D53)</f>
        <v>741070</v>
      </c>
      <c r="E54" s="217" t="n">
        <f aca="false">C54/D54*100</f>
        <v>69.3754975913207</v>
      </c>
      <c r="F54" s="216" t="n">
        <f aca="false">SUM(F37:F53)</f>
        <v>226527</v>
      </c>
      <c r="G54" s="216" t="n">
        <f aca="false">SUM(G37:G52)</f>
        <v>323412</v>
      </c>
      <c r="H54" s="217" t="n">
        <f aca="false">F54/G54*100</f>
        <v>70.0428555526697</v>
      </c>
      <c r="I54" s="216" t="n">
        <f aca="false">SUM(I37:I53)</f>
        <v>484599</v>
      </c>
      <c r="J54" s="216" t="n">
        <f aca="false">SUM(J37:J53)</f>
        <v>687638</v>
      </c>
      <c r="K54" s="217" t="n">
        <f aca="false">I54/J54*100</f>
        <v>70.4729814233652</v>
      </c>
      <c r="L54" s="216" t="n">
        <f aca="false">SUM(L37:L53)</f>
        <v>235985</v>
      </c>
      <c r="M54" s="216" t="n">
        <f aca="false">SUM(M37:M53)</f>
        <v>423293</v>
      </c>
      <c r="N54" s="217" t="n">
        <f aca="false">L54/M54*100</f>
        <v>55.7497997840739</v>
      </c>
      <c r="O54" s="216" t="n">
        <f aca="false">SUM(O37:O53)</f>
        <v>799</v>
      </c>
      <c r="P54" s="217" t="n">
        <f aca="false">R54/O54</f>
        <v>98.5369211514393</v>
      </c>
      <c r="Q54" s="216" t="n">
        <f aca="false">SUM(Q37:Q53)</f>
        <v>774</v>
      </c>
      <c r="R54" s="216" t="n">
        <f aca="false">SUM(R37:R53)</f>
        <v>78731</v>
      </c>
    </row>
    <row r="55" customFormat="false" ht="15" hidden="false" customHeight="false" outlineLevel="0" collapsed="false">
      <c r="A55" s="203"/>
      <c r="B55" s="218"/>
      <c r="C55" s="203"/>
      <c r="D55" s="203"/>
      <c r="E55" s="203"/>
      <c r="F55" s="203"/>
      <c r="G55" s="203"/>
      <c r="H55" s="203"/>
      <c r="I55" s="203"/>
      <c r="J55" s="203"/>
      <c r="K55" s="192"/>
      <c r="L55" s="203"/>
      <c r="M55" s="203"/>
      <c r="N55" s="203"/>
      <c r="O55" s="203"/>
      <c r="P55" s="219"/>
      <c r="Q55" s="203"/>
      <c r="R55" s="197"/>
    </row>
    <row r="56" customFormat="false" ht="15" hidden="false" customHeight="false" outlineLevel="0" collapsed="false">
      <c r="A56" s="195" t="s">
        <v>56</v>
      </c>
      <c r="B56" s="195"/>
      <c r="C56" s="195" t="n">
        <v>3</v>
      </c>
      <c r="D56" s="195" t="n">
        <v>4</v>
      </c>
      <c r="E56" s="196" t="n">
        <v>5</v>
      </c>
      <c r="F56" s="195" t="n">
        <v>6</v>
      </c>
      <c r="G56" s="195" t="n">
        <v>7</v>
      </c>
      <c r="H56" s="195" t="n">
        <v>8</v>
      </c>
      <c r="I56" s="195" t="n">
        <v>9</v>
      </c>
      <c r="J56" s="195" t="n">
        <v>10</v>
      </c>
      <c r="K56" s="195" t="n">
        <v>11</v>
      </c>
      <c r="L56" s="195" t="n">
        <v>12</v>
      </c>
      <c r="M56" s="195" t="n">
        <v>13</v>
      </c>
      <c r="N56" s="195" t="n">
        <v>14</v>
      </c>
      <c r="O56" s="195" t="n">
        <v>15</v>
      </c>
      <c r="P56" s="196" t="n">
        <v>16</v>
      </c>
      <c r="Q56" s="195" t="n">
        <v>15</v>
      </c>
      <c r="R56" s="197"/>
    </row>
    <row r="57" customFormat="false" ht="15" hidden="false" customHeight="false" outlineLevel="0" collapsed="false">
      <c r="A57" s="204" t="n">
        <v>1</v>
      </c>
      <c r="B57" s="220" t="s">
        <v>57</v>
      </c>
      <c r="C57" s="221" t="n">
        <v>85798</v>
      </c>
      <c r="D57" s="222" t="n">
        <v>151359</v>
      </c>
      <c r="E57" s="205" t="n">
        <f aca="false">C57/D57*100</f>
        <v>56.6850996637134</v>
      </c>
      <c r="F57" s="222" t="n">
        <v>42981</v>
      </c>
      <c r="G57" s="223" t="n">
        <v>71086</v>
      </c>
      <c r="H57" s="205" t="n">
        <f aca="false">F57/G57*100</f>
        <v>60.4633823819036</v>
      </c>
      <c r="I57" s="222" t="n">
        <v>73662</v>
      </c>
      <c r="J57" s="222" t="n">
        <v>109934</v>
      </c>
      <c r="K57" s="205" t="n">
        <f aca="false">I57/J57*100</f>
        <v>67.0056579402187</v>
      </c>
      <c r="L57" s="222" t="n">
        <v>73235</v>
      </c>
      <c r="M57" s="222" t="n">
        <v>101488</v>
      </c>
      <c r="N57" s="205" t="n">
        <f aca="false">L57/M57*100</f>
        <v>72.1612407378212</v>
      </c>
      <c r="O57" s="223" t="n">
        <v>158</v>
      </c>
      <c r="P57" s="222" t="n">
        <v>68</v>
      </c>
      <c r="Q57" s="223" t="n">
        <v>152</v>
      </c>
      <c r="R57" s="202" t="n">
        <f aca="false">O57*P57</f>
        <v>10744</v>
      </c>
    </row>
    <row r="58" customFormat="false" ht="15" hidden="false" customHeight="false" outlineLevel="0" collapsed="false">
      <c r="A58" s="224" t="n">
        <v>2</v>
      </c>
      <c r="B58" s="220" t="s">
        <v>58</v>
      </c>
      <c r="C58" s="200" t="n">
        <v>20284</v>
      </c>
      <c r="D58" s="200" t="n">
        <v>27737</v>
      </c>
      <c r="E58" s="205" t="n">
        <f aca="false">C58/D58*100</f>
        <v>73.129754479576</v>
      </c>
      <c r="F58" s="223" t="n">
        <v>19673</v>
      </c>
      <c r="G58" s="223" t="n">
        <v>21937</v>
      </c>
      <c r="H58" s="205" t="n">
        <f aca="false">F58/G58*100</f>
        <v>89.6795368555409</v>
      </c>
      <c r="I58" s="223" t="n">
        <v>20046</v>
      </c>
      <c r="J58" s="223" t="n">
        <v>20554</v>
      </c>
      <c r="K58" s="205" t="n">
        <f aca="false">I58/J58*100</f>
        <v>97.5284616133113</v>
      </c>
      <c r="L58" s="223" t="n">
        <v>0</v>
      </c>
      <c r="M58" s="223" t="n">
        <v>0</v>
      </c>
      <c r="N58" s="205" t="n">
        <v>0</v>
      </c>
      <c r="O58" s="223" t="n">
        <v>118</v>
      </c>
      <c r="P58" s="223" t="n">
        <v>105</v>
      </c>
      <c r="Q58" s="223" t="n">
        <v>126</v>
      </c>
      <c r="R58" s="202" t="n">
        <f aca="false">O58*P58</f>
        <v>12390</v>
      </c>
    </row>
    <row r="59" customFormat="false" ht="15" hidden="false" customHeight="false" outlineLevel="0" collapsed="false">
      <c r="A59" s="224" t="n">
        <v>3</v>
      </c>
      <c r="B59" s="220" t="s">
        <v>59</v>
      </c>
      <c r="C59" s="223" t="n">
        <v>51439</v>
      </c>
      <c r="D59" s="223" t="n">
        <v>40240</v>
      </c>
      <c r="E59" s="205" t="n">
        <f aca="false">C59/D59*100</f>
        <v>127.830516898608</v>
      </c>
      <c r="F59" s="223" t="n">
        <v>23992</v>
      </c>
      <c r="G59" s="223" t="n">
        <v>13780</v>
      </c>
      <c r="H59" s="205" t="n">
        <f aca="false">F59/G59*100</f>
        <v>174.10740203193</v>
      </c>
      <c r="I59" s="223" t="n">
        <v>51439</v>
      </c>
      <c r="J59" s="223" t="n">
        <v>40240</v>
      </c>
      <c r="K59" s="205" t="n">
        <f aca="false">I59/J59*100</f>
        <v>127.830516898608</v>
      </c>
      <c r="L59" s="223" t="n">
        <v>0</v>
      </c>
      <c r="M59" s="223" t="n">
        <v>0</v>
      </c>
      <c r="N59" s="205" t="n">
        <v>0</v>
      </c>
      <c r="O59" s="223" t="n">
        <v>102</v>
      </c>
      <c r="P59" s="223" t="n">
        <v>50</v>
      </c>
      <c r="Q59" s="223" t="n">
        <v>118</v>
      </c>
      <c r="R59" s="202" t="n">
        <f aca="false">O59*P59</f>
        <v>5100</v>
      </c>
    </row>
    <row r="60" customFormat="false" ht="15" hidden="false" customHeight="false" outlineLevel="0" collapsed="false">
      <c r="A60" s="204" t="n">
        <v>4</v>
      </c>
      <c r="B60" s="220" t="s">
        <v>60</v>
      </c>
      <c r="C60" s="223" t="n">
        <v>51927</v>
      </c>
      <c r="D60" s="223" t="n">
        <v>96056</v>
      </c>
      <c r="E60" s="205" t="n">
        <f aca="false">C60/D60*100</f>
        <v>54.0590905305239</v>
      </c>
      <c r="F60" s="223" t="n">
        <v>12892</v>
      </c>
      <c r="G60" s="223" t="n">
        <v>43213</v>
      </c>
      <c r="H60" s="205" t="n">
        <f aca="false">F60/G60*100</f>
        <v>29.8336148844098</v>
      </c>
      <c r="I60" s="206" t="n">
        <v>91933</v>
      </c>
      <c r="J60" s="206" t="n">
        <v>110044</v>
      </c>
      <c r="K60" s="205" t="n">
        <f aca="false">I60/J60*100</f>
        <v>83.5420377303624</v>
      </c>
      <c r="L60" s="223" t="n">
        <v>0</v>
      </c>
      <c r="M60" s="223" t="n">
        <v>79788</v>
      </c>
      <c r="N60" s="205" t="n">
        <f aca="false">L60/M60*100</f>
        <v>0</v>
      </c>
      <c r="O60" s="223" t="n">
        <v>72</v>
      </c>
      <c r="P60" s="223" t="n">
        <v>124</v>
      </c>
      <c r="Q60" s="223" t="n">
        <v>71</v>
      </c>
      <c r="R60" s="202" t="n">
        <f aca="false">O60*P60</f>
        <v>8928</v>
      </c>
    </row>
    <row r="61" customFormat="false" ht="15" hidden="false" customHeight="false" outlineLevel="0" collapsed="false">
      <c r="A61" s="224" t="n">
        <v>5</v>
      </c>
      <c r="B61" s="220" t="s">
        <v>61</v>
      </c>
      <c r="C61" s="200" t="n">
        <v>0</v>
      </c>
      <c r="D61" s="200" t="n">
        <v>0</v>
      </c>
      <c r="E61" s="205" t="n">
        <v>0</v>
      </c>
      <c r="F61" s="200" t="n">
        <v>0</v>
      </c>
      <c r="G61" s="200" t="n">
        <v>0</v>
      </c>
      <c r="H61" s="205" t="n">
        <v>0</v>
      </c>
      <c r="I61" s="200" t="n">
        <v>0</v>
      </c>
      <c r="J61" s="200" t="n">
        <v>0</v>
      </c>
      <c r="K61" s="205" t="n">
        <v>0</v>
      </c>
      <c r="L61" s="200" t="n">
        <v>0</v>
      </c>
      <c r="M61" s="200" t="n">
        <v>0</v>
      </c>
      <c r="N61" s="205" t="n">
        <v>0</v>
      </c>
      <c r="O61" s="203" t="n">
        <v>0</v>
      </c>
      <c r="P61" s="204" t="n">
        <v>0</v>
      </c>
      <c r="Q61" s="203" t="n">
        <v>0</v>
      </c>
      <c r="R61" s="202" t="n">
        <f aca="false">O61*P61</f>
        <v>0</v>
      </c>
    </row>
    <row r="62" customFormat="false" ht="15" hidden="false" customHeight="false" outlineLevel="0" collapsed="false">
      <c r="A62" s="224" t="n">
        <v>6</v>
      </c>
      <c r="B62" s="220" t="s">
        <v>62</v>
      </c>
      <c r="C62" s="223" t="n">
        <v>14824</v>
      </c>
      <c r="D62" s="223" t="n">
        <v>11399</v>
      </c>
      <c r="E62" s="205" t="n">
        <f aca="false">C62/D62*100</f>
        <v>130.046495306606</v>
      </c>
      <c r="F62" s="223" t="n">
        <v>5187</v>
      </c>
      <c r="G62" s="223" t="n">
        <v>4640</v>
      </c>
      <c r="H62" s="205" t="n">
        <f aca="false">F62/G62*100</f>
        <v>111.788793103448</v>
      </c>
      <c r="I62" s="223" t="n">
        <v>17600</v>
      </c>
      <c r="J62" s="223" t="n">
        <v>13651</v>
      </c>
      <c r="K62" s="205" t="n">
        <f aca="false">I62/J62*100</f>
        <v>128.928283642224</v>
      </c>
      <c r="L62" s="223" t="n">
        <v>17600</v>
      </c>
      <c r="M62" s="223" t="n">
        <v>13516</v>
      </c>
      <c r="N62" s="205" t="n">
        <f aca="false">L62/M62*100</f>
        <v>130.216040248594</v>
      </c>
      <c r="O62" s="223" t="n">
        <v>38</v>
      </c>
      <c r="P62" s="223" t="n">
        <v>56</v>
      </c>
      <c r="Q62" s="223" t="n">
        <v>34</v>
      </c>
      <c r="R62" s="202" t="n">
        <f aca="false">O62*P62</f>
        <v>2128</v>
      </c>
    </row>
    <row r="63" s="211" customFormat="true" ht="15" hidden="false" customHeight="false" outlineLevel="0" collapsed="false">
      <c r="A63" s="204" t="n">
        <v>7</v>
      </c>
      <c r="B63" s="220" t="s">
        <v>63</v>
      </c>
      <c r="C63" s="200" t="n">
        <v>6307</v>
      </c>
      <c r="D63" s="200" t="n">
        <v>9512</v>
      </c>
      <c r="E63" s="205" t="n">
        <f aca="false">C63/D63*100</f>
        <v>66.3057190916737</v>
      </c>
      <c r="F63" s="200" t="n">
        <v>1569</v>
      </c>
      <c r="G63" s="200" t="n">
        <v>9512</v>
      </c>
      <c r="H63" s="205" t="n">
        <f aca="false">F63/G63*100</f>
        <v>16.4949537426409</v>
      </c>
      <c r="I63" s="200" t="n">
        <v>18933</v>
      </c>
      <c r="J63" s="200" t="n">
        <v>8799</v>
      </c>
      <c r="K63" s="205" t="n">
        <f aca="false">I63/J63*100</f>
        <v>215.172178656666</v>
      </c>
      <c r="L63" s="225" t="n">
        <v>18918</v>
      </c>
      <c r="M63" s="200" t="n">
        <v>8786</v>
      </c>
      <c r="N63" s="205" t="n">
        <f aca="false">L63/M63*100</f>
        <v>215.319826997496</v>
      </c>
      <c r="O63" s="223" t="n">
        <v>34</v>
      </c>
      <c r="P63" s="223" t="n">
        <v>50</v>
      </c>
      <c r="Q63" s="223" t="n">
        <v>39</v>
      </c>
      <c r="R63" s="202" t="n">
        <f aca="false">O63*P63</f>
        <v>1700</v>
      </c>
    </row>
    <row r="64" customFormat="false" ht="15" hidden="false" customHeight="false" outlineLevel="0" collapsed="false">
      <c r="A64" s="224" t="n">
        <v>8</v>
      </c>
      <c r="B64" s="220" t="s">
        <v>64</v>
      </c>
      <c r="C64" s="226" t="n">
        <v>84100</v>
      </c>
      <c r="D64" s="200" t="n">
        <v>36500</v>
      </c>
      <c r="E64" s="205" t="n">
        <f aca="false">C64/D64*100</f>
        <v>230.41095890411</v>
      </c>
      <c r="F64" s="200" t="n">
        <v>29100</v>
      </c>
      <c r="G64" s="227" t="n">
        <v>36500</v>
      </c>
      <c r="H64" s="205" t="n">
        <f aca="false">F64/G64*100</f>
        <v>79.7260273972603</v>
      </c>
      <c r="I64" s="200" t="n">
        <v>117636</v>
      </c>
      <c r="J64" s="227" t="n">
        <v>47869</v>
      </c>
      <c r="K64" s="205" t="n">
        <f aca="false">I64/J64*100</f>
        <v>245.745680920846</v>
      </c>
      <c r="L64" s="200" t="n">
        <v>117636</v>
      </c>
      <c r="M64" s="227" t="n">
        <v>47869</v>
      </c>
      <c r="N64" s="205" t="n">
        <f aca="false">L64/M64*100</f>
        <v>245.745680920846</v>
      </c>
      <c r="O64" s="223" t="n">
        <v>35</v>
      </c>
      <c r="P64" s="222" t="n">
        <v>85</v>
      </c>
      <c r="Q64" s="223" t="n">
        <v>35</v>
      </c>
      <c r="R64" s="202" t="n">
        <f aca="false">O64*P64</f>
        <v>2975</v>
      </c>
    </row>
    <row r="65" customFormat="false" ht="15" hidden="false" customHeight="false" outlineLevel="0" collapsed="false">
      <c r="A65" s="224" t="n">
        <v>9</v>
      </c>
      <c r="B65" s="220" t="s">
        <v>65</v>
      </c>
      <c r="C65" s="200" t="n">
        <v>0</v>
      </c>
      <c r="D65" s="200" t="n">
        <v>0</v>
      </c>
      <c r="E65" s="205" t="n">
        <v>0</v>
      </c>
      <c r="F65" s="200" t="n">
        <v>0</v>
      </c>
      <c r="G65" s="200" t="n">
        <v>0</v>
      </c>
      <c r="H65" s="205" t="n">
        <v>0</v>
      </c>
      <c r="I65" s="200" t="n">
        <v>0</v>
      </c>
      <c r="J65" s="200" t="n">
        <v>0</v>
      </c>
      <c r="K65" s="205" t="n">
        <v>0</v>
      </c>
      <c r="L65" s="200" t="n">
        <v>0</v>
      </c>
      <c r="M65" s="200" t="n">
        <v>0</v>
      </c>
      <c r="N65" s="205" t="n">
        <v>0</v>
      </c>
      <c r="O65" s="203" t="n">
        <v>0</v>
      </c>
      <c r="P65" s="204" t="n">
        <v>0</v>
      </c>
      <c r="Q65" s="203" t="n">
        <v>0</v>
      </c>
      <c r="R65" s="202" t="n">
        <f aca="false">O65*P65</f>
        <v>0</v>
      </c>
    </row>
    <row r="66" customFormat="false" ht="15" hidden="false" customHeight="false" outlineLevel="0" collapsed="false">
      <c r="A66" s="228" t="s">
        <v>66</v>
      </c>
      <c r="B66" s="228"/>
      <c r="C66" s="229" t="n">
        <f aca="false">SUM(C57:C65)</f>
        <v>314679</v>
      </c>
      <c r="D66" s="229" t="n">
        <f aca="false">SUM(D57:D65)</f>
        <v>372803</v>
      </c>
      <c r="E66" s="230" t="n">
        <f aca="false">C66/D66*100</f>
        <v>84.4089237479312</v>
      </c>
      <c r="F66" s="229" t="n">
        <f aca="false">SUM(F57:F65)</f>
        <v>135394</v>
      </c>
      <c r="G66" s="229" t="n">
        <f aca="false">SUM(G57:G65)</f>
        <v>200668</v>
      </c>
      <c r="H66" s="230" t="n">
        <f aca="false">F66/G66*100</f>
        <v>67.4716447066797</v>
      </c>
      <c r="I66" s="231" t="n">
        <f aca="false">SUM(I57:I65)</f>
        <v>391249</v>
      </c>
      <c r="J66" s="229" t="n">
        <f aca="false">SUM(J57:J65)</f>
        <v>351091</v>
      </c>
      <c r="K66" s="230" t="n">
        <f aca="false">I66/J66*100</f>
        <v>111.438060218006</v>
      </c>
      <c r="L66" s="229" t="n">
        <f aca="false">SUM(L57:L65)</f>
        <v>227389</v>
      </c>
      <c r="M66" s="229" t="n">
        <f aca="false">SUM(M57:M65)</f>
        <v>251447</v>
      </c>
      <c r="N66" s="230" t="n">
        <f aca="false">L66/M66*100</f>
        <v>90.4321785505494</v>
      </c>
      <c r="O66" s="231" t="n">
        <f aca="false">SUM(O57:O65)</f>
        <v>557</v>
      </c>
      <c r="P66" s="230" t="n">
        <f aca="false">R66/O66</f>
        <v>78.9317773788151</v>
      </c>
      <c r="Q66" s="231" t="n">
        <f aca="false">SUM(Q57:Q65)</f>
        <v>575</v>
      </c>
      <c r="R66" s="232" t="n">
        <f aca="false">SUM(R57:R65)</f>
        <v>43965</v>
      </c>
    </row>
    <row r="67" customFormat="false" ht="15" hidden="false" customHeight="false" outlineLevel="0" collapsed="false">
      <c r="A67" s="197"/>
      <c r="B67" s="233"/>
      <c r="C67" s="197"/>
      <c r="D67" s="197"/>
      <c r="E67" s="197"/>
      <c r="F67" s="197"/>
      <c r="G67" s="197"/>
      <c r="H67" s="197"/>
      <c r="I67" s="197"/>
      <c r="J67" s="197"/>
      <c r="K67" s="234"/>
      <c r="L67" s="197"/>
      <c r="M67" s="197"/>
      <c r="N67" s="197"/>
      <c r="O67" s="197"/>
      <c r="P67" s="235"/>
      <c r="Q67" s="197"/>
      <c r="R67" s="197"/>
    </row>
    <row r="68" customFormat="false" ht="15" hidden="false" customHeight="false" outlineLevel="0" collapsed="false">
      <c r="A68" s="195" t="s">
        <v>67</v>
      </c>
      <c r="B68" s="195"/>
      <c r="C68" s="195" t="n">
        <v>3</v>
      </c>
      <c r="D68" s="195" t="n">
        <v>4</v>
      </c>
      <c r="E68" s="196" t="n">
        <v>5</v>
      </c>
      <c r="F68" s="195" t="n">
        <v>6</v>
      </c>
      <c r="G68" s="195" t="n">
        <v>7</v>
      </c>
      <c r="H68" s="195" t="n">
        <v>8</v>
      </c>
      <c r="I68" s="195" t="n">
        <v>9</v>
      </c>
      <c r="J68" s="195" t="n">
        <v>10</v>
      </c>
      <c r="K68" s="195" t="n">
        <v>11</v>
      </c>
      <c r="L68" s="195" t="n">
        <v>12</v>
      </c>
      <c r="M68" s="195" t="n">
        <v>13</v>
      </c>
      <c r="N68" s="195" t="n">
        <v>14</v>
      </c>
      <c r="O68" s="195" t="n">
        <v>15</v>
      </c>
      <c r="P68" s="196" t="n">
        <v>16</v>
      </c>
      <c r="Q68" s="195" t="n">
        <v>15</v>
      </c>
      <c r="R68" s="197"/>
    </row>
    <row r="69" customFormat="false" ht="15" hidden="false" customHeight="false" outlineLevel="0" collapsed="false">
      <c r="A69" s="198" t="n">
        <v>1</v>
      </c>
      <c r="B69" s="199" t="s">
        <v>68</v>
      </c>
      <c r="C69" s="203" t="n">
        <v>900</v>
      </c>
      <c r="D69" s="203" t="n">
        <v>42676</v>
      </c>
      <c r="E69" s="205" t="n">
        <f aca="false">C69/D69*100</f>
        <v>2.10891367513356</v>
      </c>
      <c r="F69" s="203" t="n">
        <v>82</v>
      </c>
      <c r="G69" s="203" t="n">
        <v>3058</v>
      </c>
      <c r="H69" s="205" t="n">
        <f aca="false">F69/G69*100</f>
        <v>2.6814911706998</v>
      </c>
      <c r="I69" s="203" t="n">
        <v>900</v>
      </c>
      <c r="J69" s="203" t="n">
        <v>64899</v>
      </c>
      <c r="K69" s="205" t="n">
        <f aca="false">I69/J69*100</f>
        <v>1.38677021217584</v>
      </c>
      <c r="L69" s="203" t="n">
        <v>0</v>
      </c>
      <c r="M69" s="203" t="n">
        <v>43360</v>
      </c>
      <c r="N69" s="205" t="n">
        <f aca="false">L69/M69*100</f>
        <v>0</v>
      </c>
      <c r="O69" s="203"/>
      <c r="P69" s="219" t="n">
        <v>55</v>
      </c>
      <c r="Q69" s="203" t="n">
        <v>148</v>
      </c>
      <c r="R69" s="202" t="n">
        <f aca="false">O69*P69</f>
        <v>0</v>
      </c>
    </row>
    <row r="70" customFormat="false" ht="15" hidden="false" customHeight="false" outlineLevel="0" collapsed="false">
      <c r="A70" s="198" t="n">
        <v>2</v>
      </c>
      <c r="B70" s="199" t="s">
        <v>69</v>
      </c>
      <c r="C70" s="208" t="n">
        <v>169357</v>
      </c>
      <c r="D70" s="208" t="n">
        <v>91944</v>
      </c>
      <c r="E70" s="214" t="n">
        <f aca="false">C70/D70*100</f>
        <v>184.195814843818</v>
      </c>
      <c r="F70" s="208" t="n">
        <v>74390</v>
      </c>
      <c r="G70" s="208" t="n">
        <v>27013</v>
      </c>
      <c r="H70" s="214" t="n">
        <f aca="false">F70/G70*100</f>
        <v>275.385925295228</v>
      </c>
      <c r="I70" s="208" t="n">
        <v>136969</v>
      </c>
      <c r="J70" s="208" t="n">
        <v>91984</v>
      </c>
      <c r="K70" s="214" t="n">
        <f aca="false">I70/J70*100</f>
        <v>148.905244390329</v>
      </c>
      <c r="L70" s="208" t="n">
        <v>136969</v>
      </c>
      <c r="M70" s="208" t="n">
        <v>91984</v>
      </c>
      <c r="N70" s="214" t="n">
        <f aca="false">L70/M70*100</f>
        <v>148.905244390329</v>
      </c>
      <c r="O70" s="203" t="n">
        <v>24</v>
      </c>
      <c r="P70" s="204" t="n">
        <v>85</v>
      </c>
      <c r="Q70" s="203" t="n">
        <v>24</v>
      </c>
      <c r="R70" s="202" t="n">
        <f aca="false">O70*P70</f>
        <v>2040</v>
      </c>
    </row>
    <row r="71" customFormat="false" ht="15" hidden="false" customHeight="false" outlineLevel="0" collapsed="false">
      <c r="A71" s="198" t="n">
        <v>3</v>
      </c>
      <c r="B71" s="199" t="s">
        <v>70</v>
      </c>
      <c r="C71" s="203" t="n">
        <v>9819</v>
      </c>
      <c r="D71" s="203" t="n">
        <v>17212</v>
      </c>
      <c r="E71" s="214" t="n">
        <f aca="false">C71/D71*100</f>
        <v>57.0474087845689</v>
      </c>
      <c r="F71" s="203" t="n">
        <v>9550</v>
      </c>
      <c r="G71" s="203" t="n">
        <v>1178</v>
      </c>
      <c r="H71" s="214" t="n">
        <f aca="false">F71/G71*100</f>
        <v>810.696095076401</v>
      </c>
      <c r="I71" s="203" t="n">
        <v>9571</v>
      </c>
      <c r="J71" s="203" t="n">
        <v>16824</v>
      </c>
      <c r="K71" s="214" t="n">
        <f aca="false">I71/J71*100</f>
        <v>56.8889681407513</v>
      </c>
      <c r="L71" s="203" t="n">
        <v>7659</v>
      </c>
      <c r="M71" s="203" t="n">
        <v>0</v>
      </c>
      <c r="N71" s="214" t="n">
        <v>0</v>
      </c>
      <c r="O71" s="203" t="n">
        <v>48</v>
      </c>
      <c r="P71" s="219" t="n">
        <v>52</v>
      </c>
      <c r="Q71" s="203" t="n">
        <v>26</v>
      </c>
      <c r="R71" s="202" t="n">
        <f aca="false">O71*P71</f>
        <v>2496</v>
      </c>
    </row>
    <row r="72" customFormat="false" ht="15" hidden="false" customHeight="false" outlineLevel="0" collapsed="false">
      <c r="A72" s="198" t="n">
        <v>4</v>
      </c>
      <c r="B72" s="199" t="s">
        <v>71</v>
      </c>
      <c r="C72" s="203" t="n">
        <v>16179</v>
      </c>
      <c r="D72" s="203" t="n">
        <v>3721</v>
      </c>
      <c r="E72" s="214" t="n">
        <f aca="false">C72/D72*100</f>
        <v>434.802472453641</v>
      </c>
      <c r="F72" s="203" t="n">
        <v>527</v>
      </c>
      <c r="G72" s="203" t="n">
        <v>591</v>
      </c>
      <c r="H72" s="214" t="n">
        <f aca="false">F72/G72*100</f>
        <v>89.17089678511</v>
      </c>
      <c r="I72" s="203" t="n">
        <v>25520</v>
      </c>
      <c r="J72" s="203" t="n">
        <v>6046</v>
      </c>
      <c r="K72" s="214" t="n">
        <f aca="false">I72/J72*100</f>
        <v>422.097254383063</v>
      </c>
      <c r="L72" s="203" t="n">
        <v>22158</v>
      </c>
      <c r="M72" s="203" t="n">
        <v>0</v>
      </c>
      <c r="N72" s="214" t="n">
        <v>0</v>
      </c>
      <c r="O72" s="203" t="n">
        <v>74</v>
      </c>
      <c r="P72" s="236" t="n">
        <v>50</v>
      </c>
      <c r="Q72" s="203" t="n">
        <v>67</v>
      </c>
      <c r="R72" s="202" t="n">
        <f aca="false">O72*P72</f>
        <v>3700</v>
      </c>
    </row>
    <row r="73" customFormat="false" ht="15" hidden="false" customHeight="false" outlineLevel="0" collapsed="false">
      <c r="A73" s="198" t="n">
        <v>5</v>
      </c>
      <c r="B73" s="199" t="s">
        <v>72</v>
      </c>
      <c r="C73" s="203" t="n">
        <v>325</v>
      </c>
      <c r="D73" s="203" t="n">
        <v>299</v>
      </c>
      <c r="E73" s="214" t="n">
        <f aca="false">C73/D73*100</f>
        <v>108.695652173913</v>
      </c>
      <c r="F73" s="203" t="n">
        <v>125</v>
      </c>
      <c r="G73" s="203" t="n">
        <v>274</v>
      </c>
      <c r="H73" s="192" t="n">
        <f aca="false">F73/G73*100</f>
        <v>45.6204379562044</v>
      </c>
      <c r="I73" s="203" t="n">
        <v>325</v>
      </c>
      <c r="J73" s="203" t="n">
        <v>2654</v>
      </c>
      <c r="K73" s="214" t="n">
        <f aca="false">I73/J73*100</f>
        <v>12.2456669178598</v>
      </c>
      <c r="L73" s="203" t="n">
        <v>0</v>
      </c>
      <c r="M73" s="203" t="n">
        <v>0</v>
      </c>
      <c r="N73" s="214" t="n">
        <v>0</v>
      </c>
      <c r="O73" s="203" t="n">
        <v>74</v>
      </c>
      <c r="P73" s="219" t="n">
        <v>110</v>
      </c>
      <c r="Q73" s="203" t="n">
        <v>69</v>
      </c>
      <c r="R73" s="202" t="n">
        <f aca="false">O73*P73</f>
        <v>8140</v>
      </c>
    </row>
    <row r="74" s="211" customFormat="true" ht="15" hidden="false" customHeight="false" outlineLevel="0" collapsed="false">
      <c r="A74" s="210" t="n">
        <v>6</v>
      </c>
      <c r="B74" s="199" t="s">
        <v>73</v>
      </c>
      <c r="C74" s="203" t="n">
        <v>2175</v>
      </c>
      <c r="D74" s="203" t="n">
        <v>511</v>
      </c>
      <c r="E74" s="214" t="n">
        <f aca="false">C74/D74*100</f>
        <v>425.636007827789</v>
      </c>
      <c r="F74" s="203" t="n">
        <v>125</v>
      </c>
      <c r="G74" s="203" t="n">
        <v>0</v>
      </c>
      <c r="H74" s="214" t="e">
        <f aca="false">F74/G74*100</f>
        <v>#DIV/0!</v>
      </c>
      <c r="I74" s="203" t="n">
        <v>20750</v>
      </c>
      <c r="J74" s="203" t="n">
        <v>693</v>
      </c>
      <c r="K74" s="214" t="n">
        <f aca="false">I74/J74*100</f>
        <v>2994.22799422799</v>
      </c>
      <c r="L74" s="203" t="n">
        <v>28</v>
      </c>
      <c r="M74" s="203" t="n">
        <v>0</v>
      </c>
      <c r="N74" s="214" t="n">
        <v>0</v>
      </c>
      <c r="O74" s="203" t="n">
        <v>12</v>
      </c>
      <c r="P74" s="219" t="n">
        <v>64</v>
      </c>
      <c r="Q74" s="203" t="n">
        <v>13</v>
      </c>
      <c r="R74" s="202" t="n">
        <f aca="false">O74*P74</f>
        <v>768</v>
      </c>
    </row>
    <row r="75" customFormat="false" ht="15" hidden="false" customHeight="false" outlineLevel="0" collapsed="false">
      <c r="A75" s="198" t="n">
        <v>7</v>
      </c>
      <c r="B75" s="199" t="s">
        <v>74</v>
      </c>
      <c r="C75" s="203" t="n">
        <v>134754</v>
      </c>
      <c r="D75" s="203" t="n">
        <v>151365</v>
      </c>
      <c r="E75" s="214" t="n">
        <f aca="false">C75/D75*100</f>
        <v>89.0258646318502</v>
      </c>
      <c r="F75" s="203" t="n">
        <v>53700</v>
      </c>
      <c r="G75" s="203" t="n">
        <v>33455</v>
      </c>
      <c r="H75" s="214" t="n">
        <f aca="false">F75/G75*100</f>
        <v>160.51412344941</v>
      </c>
      <c r="I75" s="203" t="n">
        <v>155849</v>
      </c>
      <c r="J75" s="203" t="n">
        <v>154681</v>
      </c>
      <c r="K75" s="214" t="n">
        <f aca="false">I75/J75*100</f>
        <v>100.755102436628</v>
      </c>
      <c r="L75" s="203" t="n">
        <v>25674</v>
      </c>
      <c r="M75" s="203" t="n">
        <v>28963</v>
      </c>
      <c r="N75" s="214" t="n">
        <f aca="false">L75/M75*100</f>
        <v>88.6441321686289</v>
      </c>
      <c r="O75" s="203" t="n">
        <v>137</v>
      </c>
      <c r="P75" s="204" t="n">
        <v>200</v>
      </c>
      <c r="Q75" s="203" t="n">
        <v>140</v>
      </c>
      <c r="R75" s="202" t="n">
        <f aca="false">O75*P75</f>
        <v>27400</v>
      </c>
    </row>
    <row r="76" customFormat="false" ht="15" hidden="false" customHeight="false" outlineLevel="0" collapsed="false">
      <c r="A76" s="198" t="n">
        <v>8</v>
      </c>
      <c r="B76" s="199" t="s">
        <v>75</v>
      </c>
      <c r="C76" s="203" t="n">
        <v>26269</v>
      </c>
      <c r="D76" s="203" t="n">
        <v>944</v>
      </c>
      <c r="E76" s="214" t="n">
        <f aca="false">C76/D76*100</f>
        <v>2782.73305084746</v>
      </c>
      <c r="F76" s="203" t="n">
        <v>10885</v>
      </c>
      <c r="G76" s="203" t="n">
        <v>144</v>
      </c>
      <c r="H76" s="214" t="n">
        <f aca="false">F76/G76*100</f>
        <v>7559.02777777778</v>
      </c>
      <c r="I76" s="203" t="n">
        <v>26269</v>
      </c>
      <c r="J76" s="203" t="n">
        <v>1038</v>
      </c>
      <c r="K76" s="214" t="n">
        <f aca="false">I76/J76*100</f>
        <v>2530.73217726397</v>
      </c>
      <c r="L76" s="203" t="n">
        <v>1254</v>
      </c>
      <c r="M76" s="203" t="n">
        <v>0</v>
      </c>
      <c r="N76" s="214" t="n">
        <v>0</v>
      </c>
      <c r="O76" s="203"/>
      <c r="P76" s="219" t="n">
        <v>40</v>
      </c>
      <c r="Q76" s="203" t="n">
        <v>33</v>
      </c>
      <c r="R76" s="202" t="n">
        <f aca="false">O76*P76</f>
        <v>0</v>
      </c>
    </row>
    <row r="77" customFormat="false" ht="15" hidden="false" customHeight="false" outlineLevel="0" collapsed="false">
      <c r="A77" s="215" t="s">
        <v>76</v>
      </c>
      <c r="B77" s="215" t="s">
        <v>77</v>
      </c>
      <c r="C77" s="216" t="n">
        <f aca="false">SUM(C69:C76)</f>
        <v>359778</v>
      </c>
      <c r="D77" s="216" t="n">
        <f aca="false">SUM(D69:D76)</f>
        <v>308672</v>
      </c>
      <c r="E77" s="217" t="n">
        <f aca="false">C77/D77*100</f>
        <v>116.556733360979</v>
      </c>
      <c r="F77" s="216" t="n">
        <f aca="false">SUM(F69:F76)</f>
        <v>149384</v>
      </c>
      <c r="G77" s="216" t="n">
        <f aca="false">SUM(G69:G76)</f>
        <v>65713</v>
      </c>
      <c r="H77" s="217" t="n">
        <f aca="false">F77/G77*100</f>
        <v>227.327925981161</v>
      </c>
      <c r="I77" s="216" t="n">
        <f aca="false">SUM(I69:I76)</f>
        <v>376153</v>
      </c>
      <c r="J77" s="216" t="n">
        <f aca="false">SUM(J69:J76)</f>
        <v>338819</v>
      </c>
      <c r="K77" s="217" t="n">
        <f aca="false">I77/J77*100</f>
        <v>111.018862578545</v>
      </c>
      <c r="L77" s="216" t="n">
        <f aca="false">SUM(L69:L76)</f>
        <v>193742</v>
      </c>
      <c r="M77" s="216" t="n">
        <f aca="false">SUM(M69:M76)</f>
        <v>164307</v>
      </c>
      <c r="N77" s="237" t="n">
        <f aca="false">L77/M77*100</f>
        <v>117.914635408108</v>
      </c>
      <c r="O77" s="216" t="n">
        <f aca="false">SUM(O69:O76)</f>
        <v>369</v>
      </c>
      <c r="P77" s="217" t="n">
        <f aca="false">R77/O77</f>
        <v>120.715447154472</v>
      </c>
      <c r="Q77" s="216" t="n">
        <f aca="false">SUM(Q69:Q76)</f>
        <v>520</v>
      </c>
      <c r="R77" s="232" t="n">
        <f aca="false">SUM(R69:R76)</f>
        <v>44544</v>
      </c>
    </row>
    <row r="78" customFormat="false" ht="15" hidden="false" customHeight="false" outlineLevel="0" collapsed="false">
      <c r="A78" s="238" t="s">
        <v>78</v>
      </c>
      <c r="B78" s="238" t="s">
        <v>78</v>
      </c>
      <c r="C78" s="239" t="n">
        <f aca="false">C54+C66+C77</f>
        <v>1188578</v>
      </c>
      <c r="D78" s="239" t="n">
        <f aca="false">D54+D66+D77</f>
        <v>1422545</v>
      </c>
      <c r="E78" s="240" t="n">
        <f aca="false">C78/D78*100</f>
        <v>83.5529280268814</v>
      </c>
      <c r="F78" s="239" t="n">
        <f aca="false">F54+F66+F77</f>
        <v>511305</v>
      </c>
      <c r="G78" s="239" t="n">
        <f aca="false">G54+G66+G77</f>
        <v>589793</v>
      </c>
      <c r="H78" s="240" t="n">
        <f aca="false">F78/G78*100</f>
        <v>86.6922801728742</v>
      </c>
      <c r="I78" s="239" t="n">
        <f aca="false">I54+I66+I77</f>
        <v>1252001</v>
      </c>
      <c r="J78" s="239" t="n">
        <f aca="false">J54+J66+J77</f>
        <v>1377548</v>
      </c>
      <c r="K78" s="240" t="n">
        <f aca="false">I78/J78*100</f>
        <v>90.8861977949226</v>
      </c>
      <c r="L78" s="239" t="n">
        <f aca="false">L54+L66+L77</f>
        <v>657116</v>
      </c>
      <c r="M78" s="239" t="n">
        <f aca="false">M54+M66+M77</f>
        <v>839047</v>
      </c>
      <c r="N78" s="240" t="n">
        <f aca="false">L78/M78*100</f>
        <v>78.3169476799274</v>
      </c>
      <c r="O78" s="239" t="n">
        <f aca="false">O54+O66+O77</f>
        <v>1725</v>
      </c>
      <c r="P78" s="240" t="n">
        <f aca="false">R78/O78</f>
        <v>96.9507246376812</v>
      </c>
      <c r="Q78" s="239" t="n">
        <f aca="false">Q54+Q66+Q77</f>
        <v>1869</v>
      </c>
      <c r="R78" s="241" t="n">
        <f aca="false">R54+R66+R77</f>
        <v>167240</v>
      </c>
    </row>
    <row r="79" customFormat="false" ht="15" hidden="false" customHeight="false" outlineLevel="0" collapsed="false">
      <c r="A79" s="203"/>
      <c r="B79" s="218"/>
      <c r="C79" s="203"/>
      <c r="D79" s="203"/>
      <c r="E79" s="203"/>
      <c r="F79" s="203"/>
      <c r="G79" s="203"/>
      <c r="H79" s="203"/>
      <c r="I79" s="203"/>
      <c r="J79" s="203"/>
      <c r="K79" s="192"/>
      <c r="L79" s="203"/>
      <c r="M79" s="203"/>
      <c r="N79" s="203"/>
      <c r="O79" s="203"/>
      <c r="P79" s="219"/>
      <c r="Q79" s="203"/>
      <c r="R79" s="197"/>
    </row>
    <row r="80" customFormat="false" ht="15" hidden="false" customHeight="false" outlineLevel="0" collapsed="false">
      <c r="A80" s="190" t="s">
        <v>79</v>
      </c>
      <c r="B80" s="190"/>
      <c r="C80" s="195" t="n">
        <v>3</v>
      </c>
      <c r="D80" s="195" t="n">
        <v>4</v>
      </c>
      <c r="E80" s="196" t="n">
        <v>5</v>
      </c>
      <c r="F80" s="195" t="n">
        <v>6</v>
      </c>
      <c r="G80" s="195" t="n">
        <v>7</v>
      </c>
      <c r="H80" s="195" t="n">
        <v>8</v>
      </c>
      <c r="I80" s="195" t="n">
        <v>9</v>
      </c>
      <c r="J80" s="195" t="n">
        <v>10</v>
      </c>
      <c r="K80" s="195" t="n">
        <v>11</v>
      </c>
      <c r="L80" s="195" t="n">
        <v>12</v>
      </c>
      <c r="M80" s="195" t="n">
        <v>13</v>
      </c>
      <c r="N80" s="195" t="n">
        <v>14</v>
      </c>
      <c r="O80" s="195" t="n">
        <v>15</v>
      </c>
      <c r="P80" s="196" t="n">
        <v>16</v>
      </c>
      <c r="Q80" s="195" t="n">
        <v>15</v>
      </c>
      <c r="R80" s="197"/>
    </row>
    <row r="81" customFormat="false" ht="15" hidden="false" customHeight="false" outlineLevel="0" collapsed="false">
      <c r="A81" s="242" t="n">
        <v>1</v>
      </c>
      <c r="B81" s="243" t="s">
        <v>80</v>
      </c>
      <c r="C81" s="208" t="n">
        <v>973</v>
      </c>
      <c r="D81" s="208" t="n">
        <v>9870</v>
      </c>
      <c r="E81" s="214" t="n">
        <f aca="false">C81/D81*100</f>
        <v>9.85815602836879</v>
      </c>
      <c r="F81" s="208" t="n">
        <v>378</v>
      </c>
      <c r="G81" s="208" t="n">
        <v>9662</v>
      </c>
      <c r="H81" s="214" t="n">
        <f aca="false">F81/G81*100</f>
        <v>3.91223349203064</v>
      </c>
      <c r="I81" s="208" t="n">
        <v>973</v>
      </c>
      <c r="J81" s="208" t="n">
        <v>333</v>
      </c>
      <c r="K81" s="214" t="n">
        <f aca="false">I81/J81*100</f>
        <v>292.192192192192</v>
      </c>
      <c r="L81" s="203" t="n">
        <v>0</v>
      </c>
      <c r="M81" s="208" t="n">
        <v>0</v>
      </c>
      <c r="N81" s="214" t="n">
        <v>0</v>
      </c>
      <c r="O81" s="203" t="n">
        <v>2524</v>
      </c>
      <c r="P81" s="208" t="n">
        <v>113</v>
      </c>
      <c r="Q81" s="203" t="n">
        <v>2685</v>
      </c>
      <c r="R81" s="202" t="n">
        <f aca="false">O81*P81</f>
        <v>285212</v>
      </c>
    </row>
    <row r="82" customFormat="false" ht="15" hidden="false" customHeight="false" outlineLevel="0" collapsed="false">
      <c r="A82" s="244" t="n">
        <v>2</v>
      </c>
      <c r="B82" s="243" t="s">
        <v>81</v>
      </c>
      <c r="C82" s="208" t="n">
        <v>197325</v>
      </c>
      <c r="D82" s="208" t="n">
        <v>98697</v>
      </c>
      <c r="E82" s="214" t="n">
        <f aca="false">C82/D82*100</f>
        <v>199.930089060458</v>
      </c>
      <c r="F82" s="208" t="n">
        <v>53408</v>
      </c>
      <c r="G82" s="208" t="n">
        <v>25336</v>
      </c>
      <c r="H82" s="214" t="n">
        <f aca="false">F82/G82*100</f>
        <v>210.79886327755</v>
      </c>
      <c r="I82" s="208" t="n">
        <v>232320</v>
      </c>
      <c r="J82" s="208" t="n">
        <v>123361</v>
      </c>
      <c r="K82" s="214" t="n">
        <f aca="false">I82/J82*100</f>
        <v>188.325321617043</v>
      </c>
      <c r="L82" s="208" t="n">
        <v>229122</v>
      </c>
      <c r="M82" s="208" t="n">
        <v>122609</v>
      </c>
      <c r="N82" s="214" t="n">
        <f aca="false">L82/M82*100</f>
        <v>186.872089324601</v>
      </c>
      <c r="O82" s="203" t="n">
        <v>808</v>
      </c>
      <c r="P82" s="208" t="n">
        <v>124</v>
      </c>
      <c r="Q82" s="203" t="n">
        <v>814</v>
      </c>
      <c r="R82" s="202" t="n">
        <f aca="false">O82*P82</f>
        <v>100192</v>
      </c>
    </row>
    <row r="83" customFormat="false" ht="15" hidden="false" customHeight="false" outlineLevel="0" collapsed="false">
      <c r="A83" s="242" t="n">
        <v>3</v>
      </c>
      <c r="B83" s="243" t="s">
        <v>82</v>
      </c>
      <c r="C83" s="208" t="n">
        <v>205741</v>
      </c>
      <c r="D83" s="208" t="n">
        <v>107710</v>
      </c>
      <c r="E83" s="214" t="n">
        <f aca="false">C83/D83*100</f>
        <v>191.013833441649</v>
      </c>
      <c r="F83" s="208" t="n">
        <v>20700</v>
      </c>
      <c r="G83" s="208" t="n">
        <v>40715</v>
      </c>
      <c r="H83" s="214" t="n">
        <f aca="false">F83/G83*100</f>
        <v>50.8412133120472</v>
      </c>
      <c r="I83" s="208" t="n">
        <v>286390</v>
      </c>
      <c r="J83" s="208" t="n">
        <v>233314</v>
      </c>
      <c r="K83" s="214" t="n">
        <f aca="false">I83/J83*100</f>
        <v>122.748742038626</v>
      </c>
      <c r="L83" s="208" t="n">
        <v>82797</v>
      </c>
      <c r="M83" s="208" t="n">
        <v>45161</v>
      </c>
      <c r="N83" s="214" t="n">
        <f aca="false">L83/M83*100</f>
        <v>183.33739288324</v>
      </c>
      <c r="O83" s="203" t="n">
        <v>26</v>
      </c>
      <c r="P83" s="208" t="n">
        <v>306</v>
      </c>
      <c r="Q83" s="203" t="n">
        <v>24</v>
      </c>
      <c r="R83" s="202" t="n">
        <f aca="false">O83*P83</f>
        <v>7956</v>
      </c>
    </row>
    <row r="84" customFormat="false" ht="15" hidden="false" customHeight="false" outlineLevel="0" collapsed="false">
      <c r="A84" s="244" t="n">
        <v>4</v>
      </c>
      <c r="B84" s="243" t="s">
        <v>83</v>
      </c>
      <c r="C84" s="208" t="n">
        <v>212638</v>
      </c>
      <c r="D84" s="208" t="n">
        <v>218004</v>
      </c>
      <c r="E84" s="214" t="n">
        <f aca="false">C84/D84*100</f>
        <v>97.5385772738115</v>
      </c>
      <c r="F84" s="208" t="n">
        <v>85646</v>
      </c>
      <c r="G84" s="208" t="n">
        <v>87241</v>
      </c>
      <c r="H84" s="214" t="n">
        <f aca="false">F84/G84*100</f>
        <v>98.1717311814399</v>
      </c>
      <c r="I84" s="208" t="n">
        <v>198369</v>
      </c>
      <c r="J84" s="208" t="n">
        <v>169584</v>
      </c>
      <c r="K84" s="214" t="n">
        <f aca="false">I84/J84*100</f>
        <v>116.973889046136</v>
      </c>
      <c r="L84" s="203" t="n">
        <v>119301</v>
      </c>
      <c r="M84" s="208" t="n">
        <v>169584</v>
      </c>
      <c r="N84" s="214" t="n">
        <f aca="false">L84/M84*100</f>
        <v>70.3492074724031</v>
      </c>
      <c r="O84" s="203" t="n">
        <v>174</v>
      </c>
      <c r="P84" s="208" t="n">
        <v>40</v>
      </c>
      <c r="Q84" s="203" t="n">
        <v>196</v>
      </c>
      <c r="R84" s="202" t="n">
        <f aca="false">O84*P84</f>
        <v>6960</v>
      </c>
    </row>
    <row r="85" customFormat="false" ht="15" hidden="false" customHeight="false" outlineLevel="0" collapsed="false">
      <c r="A85" s="242" t="n">
        <v>5</v>
      </c>
      <c r="B85" s="243" t="s">
        <v>84</v>
      </c>
      <c r="C85" s="219" t="n">
        <v>90407</v>
      </c>
      <c r="D85" s="219" t="n">
        <v>53194</v>
      </c>
      <c r="E85" s="214" t="n">
        <f aca="false">C85/D85*100</f>
        <v>169.957138023085</v>
      </c>
      <c r="F85" s="219" t="n">
        <v>30629</v>
      </c>
      <c r="G85" s="219" t="n">
        <v>20053</v>
      </c>
      <c r="H85" s="214" t="n">
        <f aca="false">F85/G85*100</f>
        <v>152.740238368324</v>
      </c>
      <c r="I85" s="219" t="n">
        <v>90524</v>
      </c>
      <c r="J85" s="219" t="n">
        <v>55063</v>
      </c>
      <c r="K85" s="214" t="n">
        <f aca="false">I85/J85*100</f>
        <v>164.400777291466</v>
      </c>
      <c r="L85" s="203" t="n">
        <v>52487</v>
      </c>
      <c r="M85" s="219" t="n">
        <v>17268</v>
      </c>
      <c r="N85" s="214" t="n">
        <f aca="false">L85/M85*100</f>
        <v>303.955293027565</v>
      </c>
      <c r="O85" s="203" t="n">
        <v>98</v>
      </c>
      <c r="P85" s="219" t="n">
        <v>60</v>
      </c>
      <c r="Q85" s="203" t="n">
        <v>99</v>
      </c>
      <c r="R85" s="202" t="n">
        <f aca="false">O85*P85</f>
        <v>5880</v>
      </c>
    </row>
    <row r="86" customFormat="false" ht="15" hidden="false" customHeight="false" outlineLevel="0" collapsed="false">
      <c r="A86" s="244" t="n">
        <v>6</v>
      </c>
      <c r="B86" s="243" t="s">
        <v>85</v>
      </c>
      <c r="C86" s="200" t="n">
        <v>0</v>
      </c>
      <c r="D86" s="200" t="n">
        <v>0</v>
      </c>
      <c r="E86" s="214" t="n">
        <v>0</v>
      </c>
      <c r="F86" s="200" t="n">
        <v>0</v>
      </c>
      <c r="G86" s="200" t="n">
        <v>0</v>
      </c>
      <c r="H86" s="214" t="n">
        <v>0</v>
      </c>
      <c r="I86" s="200" t="n">
        <v>0</v>
      </c>
      <c r="J86" s="200" t="n">
        <v>0</v>
      </c>
      <c r="K86" s="214" t="n">
        <v>0</v>
      </c>
      <c r="L86" s="200" t="n">
        <v>0</v>
      </c>
      <c r="M86" s="200" t="n">
        <v>0</v>
      </c>
      <c r="N86" s="214" t="n">
        <v>0</v>
      </c>
      <c r="O86" s="203" t="n">
        <v>0</v>
      </c>
      <c r="P86" s="204" t="n">
        <v>0</v>
      </c>
      <c r="Q86" s="203" t="n">
        <v>0</v>
      </c>
      <c r="R86" s="202" t="n">
        <f aca="false">O86*P86</f>
        <v>0</v>
      </c>
    </row>
    <row r="87" customFormat="false" ht="15" hidden="false" customHeight="false" outlineLevel="0" collapsed="false">
      <c r="A87" s="242" t="n">
        <v>7</v>
      </c>
      <c r="B87" s="243" t="s">
        <v>86</v>
      </c>
      <c r="C87" s="208" t="n">
        <v>50</v>
      </c>
      <c r="D87" s="219" t="n">
        <v>305</v>
      </c>
      <c r="E87" s="214" t="n">
        <f aca="false">C87/D87*100</f>
        <v>16.3934426229508</v>
      </c>
      <c r="F87" s="208" t="n">
        <v>50</v>
      </c>
      <c r="G87" s="219" t="n">
        <v>305</v>
      </c>
      <c r="H87" s="214" t="n">
        <f aca="false">F87/G87*100</f>
        <v>16.3934426229508</v>
      </c>
      <c r="I87" s="208" t="n">
        <v>50</v>
      </c>
      <c r="J87" s="219" t="n">
        <v>305</v>
      </c>
      <c r="K87" s="214" t="n">
        <f aca="false">I87/J87*100</f>
        <v>16.3934426229508</v>
      </c>
      <c r="L87" s="203" t="n">
        <v>0</v>
      </c>
      <c r="M87" s="219" t="n">
        <v>0</v>
      </c>
      <c r="N87" s="214" t="n">
        <v>0</v>
      </c>
      <c r="O87" s="203" t="n">
        <v>8</v>
      </c>
      <c r="P87" s="208" t="n">
        <v>75</v>
      </c>
      <c r="Q87" s="203" t="n">
        <v>8</v>
      </c>
      <c r="R87" s="202" t="n">
        <f aca="false">O87*P87</f>
        <v>600</v>
      </c>
    </row>
    <row r="88" customFormat="false" ht="15" hidden="false" customHeight="false" outlineLevel="0" collapsed="false">
      <c r="A88" s="244" t="n">
        <v>8</v>
      </c>
      <c r="B88" s="245" t="s">
        <v>87</v>
      </c>
      <c r="C88" s="219" t="n">
        <v>101479</v>
      </c>
      <c r="D88" s="219" t="n">
        <v>114601</v>
      </c>
      <c r="E88" s="214" t="n">
        <f aca="false">C88/D88*100</f>
        <v>88.5498381340477</v>
      </c>
      <c r="F88" s="219" t="n">
        <v>47483</v>
      </c>
      <c r="G88" s="219" t="n">
        <v>64446</v>
      </c>
      <c r="H88" s="214" t="n">
        <f aca="false">F88/G88*100</f>
        <v>73.6787387890637</v>
      </c>
      <c r="I88" s="219" t="n">
        <v>140972</v>
      </c>
      <c r="J88" s="219" t="n">
        <v>152813</v>
      </c>
      <c r="K88" s="214" t="n">
        <f aca="false">I88/J88*100</f>
        <v>92.2513136971331</v>
      </c>
      <c r="L88" s="203" t="n">
        <v>28115</v>
      </c>
      <c r="M88" s="219" t="n">
        <v>25648</v>
      </c>
      <c r="N88" s="214" t="n">
        <f aca="false">L88/M88*100</f>
        <v>109.618683718029</v>
      </c>
      <c r="O88" s="203" t="n">
        <v>68</v>
      </c>
      <c r="P88" s="208" t="n">
        <v>85</v>
      </c>
      <c r="Q88" s="203" t="n">
        <v>76</v>
      </c>
      <c r="R88" s="202" t="n">
        <f aca="false">O88*P88</f>
        <v>5780</v>
      </c>
    </row>
    <row r="89" customFormat="false" ht="15" hidden="false" customHeight="false" outlineLevel="0" collapsed="false">
      <c r="A89" s="242" t="n">
        <v>9</v>
      </c>
      <c r="B89" s="245" t="s">
        <v>88</v>
      </c>
      <c r="C89" s="208" t="n">
        <v>325376</v>
      </c>
      <c r="D89" s="208" t="n">
        <v>337846</v>
      </c>
      <c r="E89" s="214" t="n">
        <f aca="false">C89/D89*100</f>
        <v>96.3089691753047</v>
      </c>
      <c r="F89" s="208" t="n">
        <v>141721</v>
      </c>
      <c r="G89" s="208" t="n">
        <v>152378</v>
      </c>
      <c r="H89" s="214" t="n">
        <f aca="false">F89/G89*100</f>
        <v>93.0062082452848</v>
      </c>
      <c r="I89" s="208" t="n">
        <v>329359</v>
      </c>
      <c r="J89" s="208" t="n">
        <v>324672</v>
      </c>
      <c r="K89" s="214" t="n">
        <f aca="false">I89/J89*100</f>
        <v>101.443610782574</v>
      </c>
      <c r="L89" s="203" t="n">
        <v>5074</v>
      </c>
      <c r="M89" s="208" t="n">
        <v>0</v>
      </c>
      <c r="N89" s="214" t="n">
        <v>0</v>
      </c>
      <c r="O89" s="203" t="n">
        <v>127</v>
      </c>
      <c r="P89" s="208" t="n">
        <v>145</v>
      </c>
      <c r="Q89" s="203" t="n">
        <v>163</v>
      </c>
      <c r="R89" s="202" t="n">
        <f aca="false">O89*P89</f>
        <v>18415</v>
      </c>
    </row>
    <row r="90" customFormat="false" ht="15" hidden="false" customHeight="false" outlineLevel="0" collapsed="false">
      <c r="A90" s="244" t="n">
        <v>10</v>
      </c>
      <c r="B90" s="243" t="s">
        <v>89</v>
      </c>
      <c r="C90" s="208" t="n">
        <v>322134</v>
      </c>
      <c r="D90" s="208" t="n">
        <v>310132</v>
      </c>
      <c r="E90" s="214" t="n">
        <f aca="false">C90/D90*100</f>
        <v>103.869965047141</v>
      </c>
      <c r="F90" s="208" t="n">
        <v>151418</v>
      </c>
      <c r="G90" s="208" t="n">
        <v>140644</v>
      </c>
      <c r="H90" s="214" t="n">
        <f aca="false">F90/G90*100</f>
        <v>107.660476095674</v>
      </c>
      <c r="I90" s="208" t="n">
        <v>320134</v>
      </c>
      <c r="J90" s="208" t="n">
        <v>267318</v>
      </c>
      <c r="K90" s="214" t="n">
        <f aca="false">I90/J90*100</f>
        <v>119.757741715859</v>
      </c>
      <c r="L90" s="203" t="n">
        <f aca="false">43615+132445</f>
        <v>176060</v>
      </c>
      <c r="M90" s="208" t="n">
        <f aca="false">46525+64895</f>
        <v>111420</v>
      </c>
      <c r="N90" s="214" t="n">
        <f aca="false">L90/M90*100</f>
        <v>158.014719080955</v>
      </c>
      <c r="O90" s="203" t="n">
        <v>101</v>
      </c>
      <c r="P90" s="208" t="n">
        <v>165</v>
      </c>
      <c r="Q90" s="203" t="n">
        <v>125</v>
      </c>
      <c r="R90" s="202" t="n">
        <f aca="false">O90*P90</f>
        <v>16665</v>
      </c>
    </row>
    <row r="91" customFormat="false" ht="15" hidden="false" customHeight="false" outlineLevel="0" collapsed="false">
      <c r="A91" s="242" t="n">
        <v>11</v>
      </c>
      <c r="B91" s="243" t="s">
        <v>90</v>
      </c>
      <c r="C91" s="242" t="n">
        <v>90410</v>
      </c>
      <c r="D91" s="246" t="n">
        <v>64348</v>
      </c>
      <c r="E91" s="214" t="n">
        <f aca="false">C91/D91*100</f>
        <v>140.501647292845</v>
      </c>
      <c r="F91" s="208" t="n">
        <v>34804</v>
      </c>
      <c r="G91" s="208" t="n">
        <v>21893</v>
      </c>
      <c r="H91" s="214" t="n">
        <f aca="false">F91/G91*100</f>
        <v>158.973187776915</v>
      </c>
      <c r="I91" s="247" t="n">
        <v>863451</v>
      </c>
      <c r="J91" s="248" t="n">
        <v>699769</v>
      </c>
      <c r="K91" s="214" t="n">
        <f aca="false">I91/J91*100</f>
        <v>123.390861841551</v>
      </c>
      <c r="L91" s="247" t="n">
        <f aca="false">40099+16802</f>
        <v>56901</v>
      </c>
      <c r="M91" s="248" t="n">
        <v>15614</v>
      </c>
      <c r="N91" s="214" t="n">
        <f aca="false">L91/M91*100</f>
        <v>364.422953759447</v>
      </c>
      <c r="O91" s="203" t="n">
        <v>51</v>
      </c>
      <c r="P91" s="208" t="n">
        <v>250</v>
      </c>
      <c r="Q91" s="203" t="n">
        <v>51</v>
      </c>
      <c r="R91" s="202" t="n">
        <f aca="false">O91*P91</f>
        <v>12750</v>
      </c>
    </row>
    <row r="92" customFormat="false" ht="15" hidden="false" customHeight="false" outlineLevel="0" collapsed="false">
      <c r="A92" s="215" t="s">
        <v>91</v>
      </c>
      <c r="B92" s="215" t="s">
        <v>92</v>
      </c>
      <c r="C92" s="237" t="n">
        <f aca="false">SUM(C81:C91)</f>
        <v>1546533</v>
      </c>
      <c r="D92" s="237" t="n">
        <f aca="false">SUM(D81:D91)</f>
        <v>1314707</v>
      </c>
      <c r="E92" s="217" t="n">
        <f aca="false">C92/D92*100</f>
        <v>117.633282548887</v>
      </c>
      <c r="F92" s="237" t="n">
        <f aca="false">SUM(F81:F91)</f>
        <v>566237</v>
      </c>
      <c r="G92" s="237" t="n">
        <f aca="false">SUM(G81:G91)</f>
        <v>562673</v>
      </c>
      <c r="H92" s="217" t="n">
        <f aca="false">F92/G92*100</f>
        <v>100.633405192714</v>
      </c>
      <c r="I92" s="237" t="n">
        <f aca="false">SUM(I81:I91)</f>
        <v>2462542</v>
      </c>
      <c r="J92" s="237" t="n">
        <f aca="false">SUM(J81:J91)</f>
        <v>2026532</v>
      </c>
      <c r="K92" s="217" t="n">
        <f aca="false">I92/J92*100</f>
        <v>121.515080936299</v>
      </c>
      <c r="L92" s="237" t="n">
        <f aca="false">SUM(L81:L91)</f>
        <v>749857</v>
      </c>
      <c r="M92" s="237" t="n">
        <f aca="false">SUM(M81:M91)</f>
        <v>507304</v>
      </c>
      <c r="N92" s="217" t="n">
        <f aca="false">L92/M92*100</f>
        <v>147.812159967199</v>
      </c>
      <c r="O92" s="216" t="n">
        <f aca="false">SUM(O81:O91)</f>
        <v>3985</v>
      </c>
      <c r="P92" s="217" t="n">
        <f aca="false">R92/O92</f>
        <v>115.535759096612</v>
      </c>
      <c r="Q92" s="216" t="n">
        <f aca="false">SUM(Q81:Q91)</f>
        <v>4241</v>
      </c>
      <c r="R92" s="232" t="n">
        <f aca="false">SUM(R81:R91)</f>
        <v>460410</v>
      </c>
    </row>
    <row r="93" customFormat="false" ht="15" hidden="false" customHeight="false" outlineLevel="0" collapsed="false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192"/>
      <c r="L93" s="203"/>
      <c r="M93" s="203"/>
      <c r="N93" s="203"/>
      <c r="O93" s="203"/>
      <c r="P93" s="219"/>
      <c r="Q93" s="203"/>
      <c r="R93" s="197"/>
    </row>
    <row r="94" customFormat="false" ht="15" hidden="false" customHeight="false" outlineLevel="0" collapsed="false">
      <c r="A94" s="190" t="s">
        <v>93</v>
      </c>
      <c r="B94" s="190"/>
      <c r="C94" s="195" t="n">
        <v>3</v>
      </c>
      <c r="D94" s="195" t="n">
        <v>4</v>
      </c>
      <c r="E94" s="196" t="n">
        <v>5</v>
      </c>
      <c r="F94" s="195" t="n">
        <v>6</v>
      </c>
      <c r="G94" s="195" t="n">
        <v>7</v>
      </c>
      <c r="H94" s="195" t="n">
        <v>8</v>
      </c>
      <c r="I94" s="195" t="n">
        <v>9</v>
      </c>
      <c r="J94" s="195" t="n">
        <v>10</v>
      </c>
      <c r="K94" s="195" t="n">
        <v>11</v>
      </c>
      <c r="L94" s="195" t="n">
        <v>12</v>
      </c>
      <c r="M94" s="195" t="n">
        <v>13</v>
      </c>
      <c r="N94" s="195" t="n">
        <v>14</v>
      </c>
      <c r="O94" s="195" t="n">
        <v>15</v>
      </c>
      <c r="P94" s="196" t="n">
        <v>16</v>
      </c>
      <c r="Q94" s="195" t="n">
        <v>15</v>
      </c>
      <c r="R94" s="197"/>
    </row>
    <row r="95" customFormat="false" ht="15" hidden="false" customHeight="false" outlineLevel="0" collapsed="false">
      <c r="A95" s="249" t="n">
        <v>1</v>
      </c>
      <c r="B95" s="245" t="s">
        <v>94</v>
      </c>
      <c r="C95" s="250" t="n">
        <v>26760</v>
      </c>
      <c r="D95" s="250" t="n">
        <v>30143</v>
      </c>
      <c r="E95" s="214" t="n">
        <f aca="false">C95/D95*100</f>
        <v>88.7768304415619</v>
      </c>
      <c r="F95" s="250" t="n">
        <v>26760</v>
      </c>
      <c r="G95" s="250" t="n">
        <v>16787</v>
      </c>
      <c r="H95" s="214" t="n">
        <f aca="false">F95/G95*100</f>
        <v>159.409066539584</v>
      </c>
      <c r="I95" s="250" t="n">
        <v>18133</v>
      </c>
      <c r="J95" s="251" t="n">
        <v>18550</v>
      </c>
      <c r="K95" s="214" t="n">
        <f aca="false">I95/J95*100</f>
        <v>97.7520215633423</v>
      </c>
      <c r="L95" s="250" t="n">
        <v>18113</v>
      </c>
      <c r="M95" s="250" t="n">
        <v>18505</v>
      </c>
      <c r="N95" s="214" t="n">
        <f aca="false">L95/M95*100</f>
        <v>97.8816536071332</v>
      </c>
      <c r="O95" s="252" t="n">
        <v>189</v>
      </c>
      <c r="P95" s="219" t="n">
        <v>80</v>
      </c>
      <c r="Q95" s="252" t="n">
        <v>30</v>
      </c>
      <c r="R95" s="202" t="n">
        <f aca="false">O95*P95</f>
        <v>15120</v>
      </c>
    </row>
    <row r="96" customFormat="false" ht="15" hidden="false" customHeight="false" outlineLevel="0" collapsed="false">
      <c r="A96" s="249" t="n">
        <v>2</v>
      </c>
      <c r="B96" s="245" t="s">
        <v>95</v>
      </c>
      <c r="C96" s="200" t="n">
        <v>0</v>
      </c>
      <c r="D96" s="200" t="n">
        <v>0</v>
      </c>
      <c r="E96" s="214" t="n">
        <v>0</v>
      </c>
      <c r="F96" s="200" t="n">
        <v>0</v>
      </c>
      <c r="G96" s="200" t="n">
        <v>0</v>
      </c>
      <c r="H96" s="214" t="n">
        <v>0</v>
      </c>
      <c r="I96" s="200" t="n">
        <v>0</v>
      </c>
      <c r="J96" s="200" t="n">
        <v>0</v>
      </c>
      <c r="K96" s="214" t="n">
        <v>0</v>
      </c>
      <c r="L96" s="200" t="n">
        <v>0</v>
      </c>
      <c r="M96" s="200" t="n">
        <v>0</v>
      </c>
      <c r="N96" s="214" t="n">
        <v>0</v>
      </c>
      <c r="O96" s="203" t="n">
        <v>0</v>
      </c>
      <c r="P96" s="204" t="n">
        <v>0</v>
      </c>
      <c r="Q96" s="203" t="n">
        <v>0</v>
      </c>
      <c r="R96" s="202" t="n">
        <f aca="false">O96*P96</f>
        <v>0</v>
      </c>
    </row>
    <row r="97" customFormat="false" ht="15" hidden="false" customHeight="false" outlineLevel="0" collapsed="false">
      <c r="A97" s="249" t="n">
        <v>3</v>
      </c>
      <c r="B97" s="243" t="s">
        <v>96</v>
      </c>
      <c r="C97" s="200" t="n">
        <v>0</v>
      </c>
      <c r="D97" s="200" t="n">
        <v>0</v>
      </c>
      <c r="E97" s="214" t="n">
        <v>0</v>
      </c>
      <c r="F97" s="200" t="n">
        <v>0</v>
      </c>
      <c r="G97" s="200" t="n">
        <v>0</v>
      </c>
      <c r="H97" s="214" t="n">
        <v>0</v>
      </c>
      <c r="I97" s="200" t="n">
        <v>0</v>
      </c>
      <c r="J97" s="200" t="n">
        <v>0</v>
      </c>
      <c r="K97" s="214" t="n">
        <v>0</v>
      </c>
      <c r="L97" s="200" t="n">
        <v>0</v>
      </c>
      <c r="M97" s="200" t="n">
        <v>0</v>
      </c>
      <c r="N97" s="214" t="n">
        <v>0</v>
      </c>
      <c r="O97" s="203" t="n">
        <v>0</v>
      </c>
      <c r="P97" s="204" t="n">
        <v>0</v>
      </c>
      <c r="Q97" s="203" t="n">
        <v>0</v>
      </c>
      <c r="R97" s="202" t="n">
        <f aca="false">O97*P97</f>
        <v>0</v>
      </c>
    </row>
    <row r="98" customFormat="false" ht="15" hidden="false" customHeight="false" outlineLevel="0" collapsed="false">
      <c r="A98" s="249" t="n">
        <v>4</v>
      </c>
      <c r="B98" s="243" t="s">
        <v>97</v>
      </c>
      <c r="C98" s="200" t="n">
        <v>0</v>
      </c>
      <c r="D98" s="200" t="n">
        <v>0</v>
      </c>
      <c r="E98" s="214" t="n">
        <v>0</v>
      </c>
      <c r="F98" s="200" t="n">
        <v>0</v>
      </c>
      <c r="G98" s="200" t="n">
        <v>0</v>
      </c>
      <c r="H98" s="214" t="n">
        <v>0</v>
      </c>
      <c r="I98" s="200" t="n">
        <v>0</v>
      </c>
      <c r="J98" s="200" t="n">
        <v>0</v>
      </c>
      <c r="K98" s="214" t="n">
        <v>0</v>
      </c>
      <c r="L98" s="200" t="n">
        <v>0</v>
      </c>
      <c r="M98" s="200" t="n">
        <v>0</v>
      </c>
      <c r="N98" s="214" t="n">
        <v>0</v>
      </c>
      <c r="O98" s="203" t="n">
        <v>0</v>
      </c>
      <c r="P98" s="250" t="n">
        <v>0</v>
      </c>
      <c r="Q98" s="203" t="n">
        <v>0</v>
      </c>
      <c r="R98" s="202" t="n">
        <f aca="false">O98*P98</f>
        <v>0</v>
      </c>
    </row>
    <row r="99" customFormat="false" ht="15" hidden="false" customHeight="false" outlineLevel="0" collapsed="false">
      <c r="A99" s="249" t="n">
        <v>5</v>
      </c>
      <c r="B99" s="245" t="s">
        <v>98</v>
      </c>
      <c r="C99" s="250" t="n">
        <v>213498</v>
      </c>
      <c r="D99" s="250" t="n">
        <v>127473</v>
      </c>
      <c r="E99" s="214" t="n">
        <f aca="false">C99/D99*100</f>
        <v>167.484879150879</v>
      </c>
      <c r="F99" s="250" t="n">
        <v>96838</v>
      </c>
      <c r="G99" s="250" t="n">
        <v>60666</v>
      </c>
      <c r="H99" s="214" t="n">
        <f aca="false">F99/G99*100</f>
        <v>159.624831042099</v>
      </c>
      <c r="I99" s="250" t="n">
        <v>52502</v>
      </c>
      <c r="J99" s="250" t="n">
        <v>85764</v>
      </c>
      <c r="K99" s="214" t="n">
        <f aca="false">I99/J99*100</f>
        <v>61.2168275733408</v>
      </c>
      <c r="L99" s="250" t="n">
        <v>52502</v>
      </c>
      <c r="M99" s="250" t="n">
        <v>85764</v>
      </c>
      <c r="N99" s="214" t="n">
        <f aca="false">L99/M99*100</f>
        <v>61.2168275733408</v>
      </c>
      <c r="O99" s="252" t="n">
        <v>471</v>
      </c>
      <c r="P99" s="250" t="n">
        <v>52</v>
      </c>
      <c r="Q99" s="252" t="n">
        <v>430</v>
      </c>
      <c r="R99" s="202" t="n">
        <f aca="false">O99*P99</f>
        <v>24492</v>
      </c>
    </row>
    <row r="100" customFormat="false" ht="15" hidden="false" customHeight="false" outlineLevel="0" collapsed="false">
      <c r="A100" s="249" t="n">
        <v>6</v>
      </c>
      <c r="B100" s="245" t="s">
        <v>99</v>
      </c>
      <c r="C100" s="200" t="n">
        <v>0</v>
      </c>
      <c r="D100" s="200" t="n">
        <v>0</v>
      </c>
      <c r="E100" s="214" t="n">
        <v>0</v>
      </c>
      <c r="F100" s="200" t="n">
        <v>0</v>
      </c>
      <c r="G100" s="200" t="n">
        <v>0</v>
      </c>
      <c r="H100" s="214" t="n">
        <v>0</v>
      </c>
      <c r="I100" s="200" t="n">
        <v>0</v>
      </c>
      <c r="J100" s="200" t="n">
        <v>0</v>
      </c>
      <c r="K100" s="214" t="n">
        <v>0</v>
      </c>
      <c r="L100" s="200" t="n">
        <v>0</v>
      </c>
      <c r="M100" s="200" t="n">
        <v>0</v>
      </c>
      <c r="N100" s="214" t="n">
        <v>0</v>
      </c>
      <c r="O100" s="203" t="n">
        <v>0</v>
      </c>
      <c r="P100" s="204" t="n">
        <v>0</v>
      </c>
      <c r="Q100" s="203" t="n">
        <v>0</v>
      </c>
      <c r="R100" s="202" t="n">
        <f aca="false">O100*P100</f>
        <v>0</v>
      </c>
    </row>
    <row r="101" customFormat="false" ht="15" hidden="false" customHeight="false" outlineLevel="0" collapsed="false">
      <c r="A101" s="249" t="n">
        <v>7</v>
      </c>
      <c r="B101" s="243" t="s">
        <v>100</v>
      </c>
      <c r="C101" s="200" t="n">
        <v>0</v>
      </c>
      <c r="D101" s="200" t="n">
        <v>0</v>
      </c>
      <c r="E101" s="214" t="n">
        <v>0</v>
      </c>
      <c r="F101" s="200" t="n">
        <v>0</v>
      </c>
      <c r="G101" s="200" t="n">
        <v>0</v>
      </c>
      <c r="H101" s="214" t="n">
        <v>0</v>
      </c>
      <c r="I101" s="200" t="n">
        <v>0</v>
      </c>
      <c r="J101" s="200" t="n">
        <v>0</v>
      </c>
      <c r="K101" s="214" t="n">
        <v>0</v>
      </c>
      <c r="L101" s="200" t="n">
        <v>0</v>
      </c>
      <c r="M101" s="200" t="n">
        <v>0</v>
      </c>
      <c r="N101" s="214" t="n">
        <v>0</v>
      </c>
      <c r="O101" s="203" t="n">
        <v>0</v>
      </c>
      <c r="P101" s="204" t="n">
        <v>0</v>
      </c>
      <c r="Q101" s="203" t="n">
        <v>0</v>
      </c>
      <c r="R101" s="202" t="n">
        <f aca="false">O101*P101</f>
        <v>0</v>
      </c>
    </row>
    <row r="102" customFormat="false" ht="15" hidden="false" customHeight="false" outlineLevel="0" collapsed="false">
      <c r="A102" s="249" t="n">
        <v>8</v>
      </c>
      <c r="B102" s="245" t="s">
        <v>101</v>
      </c>
      <c r="C102" s="208" t="n">
        <v>129847</v>
      </c>
      <c r="D102" s="208" t="n">
        <v>60457</v>
      </c>
      <c r="E102" s="214" t="n">
        <f aca="false">C102/D102*100</f>
        <v>214.775791058107</v>
      </c>
      <c r="F102" s="208" t="n">
        <v>37630</v>
      </c>
      <c r="G102" s="208" t="n">
        <v>21152</v>
      </c>
      <c r="H102" s="214" t="n">
        <f aca="false">F102/G102*100</f>
        <v>177.902798789713</v>
      </c>
      <c r="I102" s="208" t="n">
        <v>137158</v>
      </c>
      <c r="J102" s="208" t="n">
        <v>28390</v>
      </c>
      <c r="K102" s="214" t="n">
        <f aca="false">I102/J102*100</f>
        <v>483.120817189151</v>
      </c>
      <c r="L102" s="208" t="n">
        <v>67551</v>
      </c>
      <c r="M102" s="208" t="n">
        <v>0</v>
      </c>
      <c r="N102" s="214" t="n">
        <v>0</v>
      </c>
      <c r="O102" s="208" t="n">
        <v>153</v>
      </c>
      <c r="P102" s="208" t="n">
        <v>106</v>
      </c>
      <c r="Q102" s="208" t="n">
        <v>157</v>
      </c>
      <c r="R102" s="202" t="n">
        <f aca="false">O102*P102</f>
        <v>16218</v>
      </c>
    </row>
    <row r="103" customFormat="false" ht="15" hidden="false" customHeight="false" outlineLevel="0" collapsed="false">
      <c r="A103" s="249" t="n">
        <v>9</v>
      </c>
      <c r="B103" s="245" t="s">
        <v>102</v>
      </c>
      <c r="C103" s="200" t="n">
        <v>0</v>
      </c>
      <c r="D103" s="200" t="n">
        <v>0</v>
      </c>
      <c r="E103" s="214" t="n">
        <v>0</v>
      </c>
      <c r="F103" s="200" t="n">
        <v>0</v>
      </c>
      <c r="G103" s="200" t="n">
        <v>0</v>
      </c>
      <c r="H103" s="214" t="n">
        <v>0</v>
      </c>
      <c r="I103" s="200" t="n">
        <v>0</v>
      </c>
      <c r="J103" s="200" t="n">
        <v>0</v>
      </c>
      <c r="K103" s="214" t="n">
        <v>0</v>
      </c>
      <c r="L103" s="200" t="n">
        <v>0</v>
      </c>
      <c r="M103" s="200" t="n">
        <v>0</v>
      </c>
      <c r="N103" s="214" t="n">
        <v>0</v>
      </c>
      <c r="O103" s="203" t="n">
        <v>0</v>
      </c>
      <c r="P103" s="204" t="n">
        <v>0</v>
      </c>
      <c r="Q103" s="203" t="n">
        <v>0</v>
      </c>
      <c r="R103" s="202" t="n">
        <f aca="false">O103*P103</f>
        <v>0</v>
      </c>
    </row>
    <row r="104" customFormat="false" ht="15" hidden="false" customHeight="false" outlineLevel="0" collapsed="false">
      <c r="A104" s="249" t="n">
        <v>10</v>
      </c>
      <c r="B104" s="243" t="s">
        <v>103</v>
      </c>
      <c r="C104" s="203" t="n">
        <v>34883</v>
      </c>
      <c r="D104" s="203" t="n">
        <v>23009</v>
      </c>
      <c r="E104" s="214" t="n">
        <f aca="false">C104/D104*100</f>
        <v>151.605893346082</v>
      </c>
      <c r="F104" s="203" t="n">
        <v>10661</v>
      </c>
      <c r="G104" s="203" t="n">
        <v>0</v>
      </c>
      <c r="H104" s="214" t="n">
        <v>0</v>
      </c>
      <c r="I104" s="203" t="n">
        <v>34883</v>
      </c>
      <c r="J104" s="203" t="n">
        <v>23009</v>
      </c>
      <c r="K104" s="214" t="n">
        <f aca="false">I104/J104*100</f>
        <v>151.605893346082</v>
      </c>
      <c r="L104" s="203" t="n">
        <v>34883</v>
      </c>
      <c r="M104" s="203" t="n">
        <v>23009</v>
      </c>
      <c r="N104" s="214" t="n">
        <f aca="false">L104/M104*100</f>
        <v>151.605893346082</v>
      </c>
      <c r="O104" s="252" t="n">
        <v>77</v>
      </c>
      <c r="P104" s="250" t="n">
        <v>44</v>
      </c>
      <c r="Q104" s="252" t="n">
        <v>76</v>
      </c>
      <c r="R104" s="202" t="n">
        <f aca="false">O104*P104</f>
        <v>3388</v>
      </c>
    </row>
    <row r="105" customFormat="false" ht="15" hidden="false" customHeight="false" outlineLevel="0" collapsed="false">
      <c r="A105" s="249" t="n">
        <v>11</v>
      </c>
      <c r="B105" s="245" t="s">
        <v>104</v>
      </c>
      <c r="C105" s="200" t="n">
        <v>0</v>
      </c>
      <c r="D105" s="200" t="n">
        <v>0</v>
      </c>
      <c r="E105" s="214" t="n">
        <v>0</v>
      </c>
      <c r="F105" s="200" t="n">
        <v>0</v>
      </c>
      <c r="G105" s="200" t="n">
        <v>0</v>
      </c>
      <c r="H105" s="214" t="n">
        <v>0</v>
      </c>
      <c r="I105" s="200" t="n">
        <v>0</v>
      </c>
      <c r="J105" s="200" t="n">
        <v>0</v>
      </c>
      <c r="K105" s="214" t="n">
        <v>0</v>
      </c>
      <c r="L105" s="200" t="n">
        <v>0</v>
      </c>
      <c r="M105" s="200" t="n">
        <v>0</v>
      </c>
      <c r="N105" s="214" t="n">
        <v>0</v>
      </c>
      <c r="O105" s="203" t="n">
        <v>0</v>
      </c>
      <c r="P105" s="204" t="n">
        <v>0</v>
      </c>
      <c r="Q105" s="203" t="n">
        <v>0</v>
      </c>
      <c r="R105" s="202" t="n">
        <f aca="false">O105*P105</f>
        <v>0</v>
      </c>
    </row>
    <row r="106" customFormat="false" ht="15" hidden="false" customHeight="false" outlineLevel="0" collapsed="false">
      <c r="A106" s="249" t="n">
        <v>12</v>
      </c>
      <c r="B106" s="245" t="s">
        <v>105</v>
      </c>
      <c r="C106" s="251" t="n">
        <v>12730</v>
      </c>
      <c r="D106" s="250" t="n">
        <v>13666</v>
      </c>
      <c r="E106" s="214" t="n">
        <f aca="false">C106/D106*100</f>
        <v>93.1508854090444</v>
      </c>
      <c r="F106" s="251" t="n">
        <v>8500</v>
      </c>
      <c r="G106" s="250" t="n">
        <v>9396</v>
      </c>
      <c r="H106" s="214" t="n">
        <f aca="false">F106/G106*100</f>
        <v>90.4640272456364</v>
      </c>
      <c r="I106" s="251" t="n">
        <v>0</v>
      </c>
      <c r="J106" s="251" t="n">
        <v>2650</v>
      </c>
      <c r="K106" s="214" t="n">
        <v>0</v>
      </c>
      <c r="L106" s="250" t="n">
        <v>0</v>
      </c>
      <c r="M106" s="250" t="n">
        <v>0</v>
      </c>
      <c r="N106" s="214" t="n">
        <v>0</v>
      </c>
      <c r="O106" s="252" t="n">
        <v>20</v>
      </c>
      <c r="P106" s="250" t="n">
        <v>53</v>
      </c>
      <c r="Q106" s="252" t="n">
        <v>10</v>
      </c>
      <c r="R106" s="202" t="n">
        <f aca="false">O106*P106</f>
        <v>1060</v>
      </c>
    </row>
    <row r="107" customFormat="false" ht="15" hidden="false" customHeight="false" outlineLevel="0" collapsed="false">
      <c r="A107" s="249" t="n">
        <v>13</v>
      </c>
      <c r="B107" s="245" t="s">
        <v>106</v>
      </c>
      <c r="C107" s="251" t="n">
        <v>2699</v>
      </c>
      <c r="D107" s="250" t="n">
        <v>23936</v>
      </c>
      <c r="E107" s="214" t="n">
        <f aca="false">C107/D107*100</f>
        <v>11.2759024064171</v>
      </c>
      <c r="F107" s="251" t="n">
        <v>2699</v>
      </c>
      <c r="G107" s="251" t="n">
        <v>659</v>
      </c>
      <c r="H107" s="214" t="n">
        <f aca="false">F107/G107*100</f>
        <v>409.559939301973</v>
      </c>
      <c r="I107" s="251" t="n">
        <v>3612</v>
      </c>
      <c r="J107" s="251" t="n">
        <v>35241</v>
      </c>
      <c r="K107" s="214" t="n">
        <f aca="false">I107/J107*100</f>
        <v>10.2494253852047</v>
      </c>
      <c r="L107" s="250" t="n">
        <v>0</v>
      </c>
      <c r="M107" s="250" t="n">
        <v>33227</v>
      </c>
      <c r="N107" s="214" t="n">
        <f aca="false">L107/M107*100</f>
        <v>0</v>
      </c>
      <c r="O107" s="252" t="n">
        <v>61</v>
      </c>
      <c r="P107" s="250" t="n">
        <v>57</v>
      </c>
      <c r="Q107" s="252" t="n">
        <v>37</v>
      </c>
      <c r="R107" s="202" t="n">
        <f aca="false">O107*P107</f>
        <v>3477</v>
      </c>
    </row>
    <row r="108" customFormat="false" ht="15" hidden="false" customHeight="false" outlineLevel="0" collapsed="false">
      <c r="A108" s="249" t="n">
        <v>14</v>
      </c>
      <c r="B108" s="245" t="s">
        <v>107</v>
      </c>
      <c r="C108" s="200" t="n">
        <v>0</v>
      </c>
      <c r="D108" s="200" t="n">
        <v>0</v>
      </c>
      <c r="E108" s="214" t="n">
        <v>0</v>
      </c>
      <c r="F108" s="200" t="n">
        <v>0</v>
      </c>
      <c r="G108" s="200" t="n">
        <v>0</v>
      </c>
      <c r="H108" s="214" t="n">
        <v>0</v>
      </c>
      <c r="I108" s="200" t="n">
        <v>0</v>
      </c>
      <c r="J108" s="200" t="n">
        <v>0</v>
      </c>
      <c r="K108" s="214" t="n">
        <v>0</v>
      </c>
      <c r="L108" s="200" t="n">
        <v>0</v>
      </c>
      <c r="M108" s="200" t="n">
        <v>0</v>
      </c>
      <c r="N108" s="214" t="n">
        <v>0</v>
      </c>
      <c r="O108" s="203" t="n">
        <v>0</v>
      </c>
      <c r="P108" s="204" t="n">
        <v>0</v>
      </c>
      <c r="Q108" s="203" t="n">
        <v>0</v>
      </c>
      <c r="R108" s="202" t="n">
        <f aca="false">O108*P108</f>
        <v>0</v>
      </c>
    </row>
    <row r="109" customFormat="false" ht="15" hidden="false" customHeight="false" outlineLevel="0" collapsed="false">
      <c r="A109" s="249" t="n">
        <v>15</v>
      </c>
      <c r="B109" s="245" t="s">
        <v>108</v>
      </c>
      <c r="C109" s="208" t="n">
        <v>51359</v>
      </c>
      <c r="D109" s="208" t="n">
        <v>16613</v>
      </c>
      <c r="E109" s="214" t="n">
        <f aca="false">C109/D109*100</f>
        <v>309.149461265274</v>
      </c>
      <c r="F109" s="208" t="n">
        <v>24510</v>
      </c>
      <c r="G109" s="208" t="n">
        <v>0</v>
      </c>
      <c r="H109" s="214" t="n">
        <v>0</v>
      </c>
      <c r="I109" s="208" t="n">
        <v>51359</v>
      </c>
      <c r="J109" s="208" t="n">
        <v>16613</v>
      </c>
      <c r="K109" s="214" t="n">
        <f aca="false">I109/J109*100</f>
        <v>309.149461265274</v>
      </c>
      <c r="L109" s="208" t="n">
        <v>51359</v>
      </c>
      <c r="M109" s="208" t="n">
        <v>16613</v>
      </c>
      <c r="N109" s="214" t="n">
        <f aca="false">L109/M109*100</f>
        <v>309.149461265274</v>
      </c>
      <c r="O109" s="203" t="n">
        <v>87</v>
      </c>
      <c r="P109" s="204" t="n">
        <v>80</v>
      </c>
      <c r="Q109" s="203" t="n">
        <v>78</v>
      </c>
      <c r="R109" s="202" t="n">
        <f aca="false">O109*P109</f>
        <v>6960</v>
      </c>
    </row>
    <row r="110" customFormat="false" ht="15" hidden="false" customHeight="false" outlineLevel="0" collapsed="false">
      <c r="A110" s="249" t="n">
        <v>16</v>
      </c>
      <c r="B110" s="245" t="s">
        <v>109</v>
      </c>
      <c r="C110" s="208" t="n">
        <v>27858</v>
      </c>
      <c r="D110" s="208" t="n">
        <v>103306</v>
      </c>
      <c r="E110" s="214" t="n">
        <f aca="false">C110/D110*100</f>
        <v>26.9664879097051</v>
      </c>
      <c r="F110" s="208" t="n">
        <v>27419</v>
      </c>
      <c r="G110" s="208" t="n">
        <v>93516</v>
      </c>
      <c r="H110" s="214" t="n">
        <f aca="false">F110/G110*100</f>
        <v>29.3201163437273</v>
      </c>
      <c r="I110" s="208" t="n">
        <v>30634</v>
      </c>
      <c r="J110" s="208" t="n">
        <v>94733</v>
      </c>
      <c r="K110" s="214" t="n">
        <f aca="false">I110/J110*100</f>
        <v>32.3372003420139</v>
      </c>
      <c r="L110" s="208" t="n">
        <v>0</v>
      </c>
      <c r="M110" s="208" t="n">
        <v>0</v>
      </c>
      <c r="N110" s="214" t="n">
        <v>0</v>
      </c>
      <c r="O110" s="252" t="n">
        <v>38</v>
      </c>
      <c r="P110" s="204" t="n">
        <v>65</v>
      </c>
      <c r="Q110" s="252" t="n">
        <v>38</v>
      </c>
      <c r="R110" s="202" t="n">
        <f aca="false">O110*P110</f>
        <v>2470</v>
      </c>
    </row>
    <row r="111" customFormat="false" ht="15" hidden="false" customHeight="false" outlineLevel="0" collapsed="false">
      <c r="A111" s="249" t="n">
        <v>17</v>
      </c>
      <c r="B111" s="245" t="s">
        <v>110</v>
      </c>
      <c r="C111" s="251" t="n">
        <v>144068</v>
      </c>
      <c r="D111" s="250" t="n">
        <v>148131</v>
      </c>
      <c r="E111" s="214" t="n">
        <f aca="false">C111/D111*100</f>
        <v>97.2571575159825</v>
      </c>
      <c r="F111" s="251" t="n">
        <v>54418</v>
      </c>
      <c r="G111" s="251" t="n">
        <v>65015</v>
      </c>
      <c r="H111" s="214" t="n">
        <f aca="false">F111/G111*100</f>
        <v>83.7006844574329</v>
      </c>
      <c r="I111" s="251" t="n">
        <v>59025</v>
      </c>
      <c r="J111" s="251" t="n">
        <v>76674</v>
      </c>
      <c r="K111" s="214" t="n">
        <f aca="false">I111/J111*100</f>
        <v>76.9817669614211</v>
      </c>
      <c r="L111" s="250" t="n">
        <v>0</v>
      </c>
      <c r="M111" s="250" t="n">
        <v>0</v>
      </c>
      <c r="N111" s="214" t="n">
        <v>0</v>
      </c>
      <c r="O111" s="252" t="n">
        <v>176</v>
      </c>
      <c r="P111" s="250" t="n">
        <v>55</v>
      </c>
      <c r="Q111" s="252" t="n">
        <v>180</v>
      </c>
      <c r="R111" s="202" t="n">
        <f aca="false">O111*P111</f>
        <v>9680</v>
      </c>
    </row>
    <row r="112" customFormat="false" ht="15" hidden="false" customHeight="false" outlineLevel="0" collapsed="false">
      <c r="A112" s="249" t="n">
        <v>18</v>
      </c>
      <c r="B112" s="243" t="s">
        <v>111</v>
      </c>
      <c r="C112" s="208" t="n">
        <v>151346</v>
      </c>
      <c r="D112" s="208" t="n">
        <v>94217</v>
      </c>
      <c r="E112" s="214" t="n">
        <f aca="false">C112/D112*100</f>
        <v>160.63555409321</v>
      </c>
      <c r="F112" s="208" t="n">
        <v>43574</v>
      </c>
      <c r="G112" s="208" t="n">
        <v>20814</v>
      </c>
      <c r="H112" s="214" t="n">
        <f aca="false">F112/G112*100</f>
        <v>209.349476314019</v>
      </c>
      <c r="I112" s="208" t="n">
        <v>151346</v>
      </c>
      <c r="J112" s="208" t="n">
        <v>94217</v>
      </c>
      <c r="K112" s="214" t="n">
        <f aca="false">I112/J112*100</f>
        <v>160.63555409321</v>
      </c>
      <c r="L112" s="208" t="n">
        <v>151346</v>
      </c>
      <c r="M112" s="208" t="n">
        <v>94217</v>
      </c>
      <c r="N112" s="214" t="n">
        <f aca="false">L112/M112*100</f>
        <v>160.63555409321</v>
      </c>
      <c r="O112" s="252" t="n">
        <v>370</v>
      </c>
      <c r="P112" s="250" t="n">
        <v>68</v>
      </c>
      <c r="Q112" s="252" t="n">
        <v>385</v>
      </c>
      <c r="R112" s="202" t="n">
        <f aca="false">O112*P112</f>
        <v>25160</v>
      </c>
    </row>
    <row r="113" customFormat="false" ht="15" hidden="false" customHeight="false" outlineLevel="0" collapsed="false">
      <c r="A113" s="249" t="n">
        <v>19</v>
      </c>
      <c r="B113" s="245" t="s">
        <v>112</v>
      </c>
      <c r="C113" s="200" t="n">
        <v>0</v>
      </c>
      <c r="D113" s="200" t="n">
        <v>0</v>
      </c>
      <c r="E113" s="214" t="n">
        <v>0</v>
      </c>
      <c r="F113" s="200" t="n">
        <v>0</v>
      </c>
      <c r="G113" s="200" t="n">
        <v>0</v>
      </c>
      <c r="H113" s="214" t="n">
        <v>0</v>
      </c>
      <c r="I113" s="200" t="n">
        <v>0</v>
      </c>
      <c r="J113" s="200" t="n">
        <v>0</v>
      </c>
      <c r="K113" s="214" t="n">
        <v>0</v>
      </c>
      <c r="L113" s="200" t="n">
        <v>0</v>
      </c>
      <c r="M113" s="200" t="n">
        <v>0</v>
      </c>
      <c r="N113" s="214" t="n">
        <v>0</v>
      </c>
      <c r="O113" s="203" t="n">
        <v>0</v>
      </c>
      <c r="P113" s="204" t="n">
        <v>0</v>
      </c>
      <c r="Q113" s="203" t="n">
        <v>0</v>
      </c>
      <c r="R113" s="202" t="n">
        <f aca="false">O113*P113</f>
        <v>0</v>
      </c>
    </row>
    <row r="114" customFormat="false" ht="15" hidden="false" customHeight="false" outlineLevel="0" collapsed="false">
      <c r="A114" s="249" t="n">
        <v>20</v>
      </c>
      <c r="B114" s="245" t="s">
        <v>113</v>
      </c>
      <c r="C114" s="200" t="n">
        <v>0</v>
      </c>
      <c r="D114" s="200" t="n">
        <v>0</v>
      </c>
      <c r="E114" s="214" t="n">
        <v>0</v>
      </c>
      <c r="F114" s="200" t="n">
        <v>0</v>
      </c>
      <c r="G114" s="200" t="n">
        <v>0</v>
      </c>
      <c r="H114" s="214" t="n">
        <v>0</v>
      </c>
      <c r="I114" s="200" t="n">
        <v>0</v>
      </c>
      <c r="J114" s="200" t="n">
        <v>0</v>
      </c>
      <c r="K114" s="214" t="n">
        <v>0</v>
      </c>
      <c r="L114" s="200" t="n">
        <v>0</v>
      </c>
      <c r="M114" s="200" t="n">
        <v>0</v>
      </c>
      <c r="N114" s="214" t="n">
        <v>0</v>
      </c>
      <c r="O114" s="203" t="n">
        <v>0</v>
      </c>
      <c r="P114" s="204" t="n">
        <v>0</v>
      </c>
      <c r="Q114" s="203" t="n">
        <v>0</v>
      </c>
      <c r="R114" s="202" t="n">
        <f aca="false">O114*P114</f>
        <v>0</v>
      </c>
    </row>
    <row r="115" customFormat="false" ht="15" hidden="false" customHeight="false" outlineLevel="0" collapsed="false">
      <c r="A115" s="249" t="n">
        <v>21</v>
      </c>
      <c r="B115" s="245" t="s">
        <v>114</v>
      </c>
      <c r="C115" s="250" t="n">
        <v>13988</v>
      </c>
      <c r="D115" s="250" t="n">
        <v>5690</v>
      </c>
      <c r="E115" s="214" t="n">
        <f aca="false">C115/D115*100</f>
        <v>245.834797891037</v>
      </c>
      <c r="F115" s="250" t="n">
        <v>5519</v>
      </c>
      <c r="G115" s="250" t="n">
        <v>1353</v>
      </c>
      <c r="H115" s="214" t="n">
        <f aca="false">F115/G115*100</f>
        <v>407.908351810791</v>
      </c>
      <c r="I115" s="250" t="n">
        <v>13988</v>
      </c>
      <c r="J115" s="250" t="n">
        <v>5690</v>
      </c>
      <c r="K115" s="214" t="n">
        <f aca="false">I115/J115*100</f>
        <v>245.834797891037</v>
      </c>
      <c r="L115" s="250" t="n">
        <v>13134</v>
      </c>
      <c r="M115" s="250" t="n">
        <v>5690</v>
      </c>
      <c r="N115" s="214" t="n">
        <f aca="false">L115/M115*100</f>
        <v>230.826010544815</v>
      </c>
      <c r="O115" s="252" t="n">
        <v>12</v>
      </c>
      <c r="P115" s="250" t="n">
        <v>60</v>
      </c>
      <c r="Q115" s="252" t="n">
        <v>14</v>
      </c>
      <c r="R115" s="202" t="n">
        <f aca="false">O115*P115</f>
        <v>720</v>
      </c>
    </row>
    <row r="116" customFormat="false" ht="15" hidden="false" customHeight="false" outlineLevel="0" collapsed="false">
      <c r="A116" s="249" t="n">
        <v>22</v>
      </c>
      <c r="B116" s="243" t="s">
        <v>115</v>
      </c>
      <c r="C116" s="251" t="n">
        <v>4490</v>
      </c>
      <c r="D116" s="251" t="n">
        <v>3640</v>
      </c>
      <c r="E116" s="214" t="n">
        <f aca="false">C116/D116*100</f>
        <v>123.351648351648</v>
      </c>
      <c r="F116" s="251" t="n">
        <v>2240</v>
      </c>
      <c r="G116" s="251" t="n">
        <v>189</v>
      </c>
      <c r="H116" s="214" t="n">
        <f aca="false">F116/G116*100</f>
        <v>1185.18518518519</v>
      </c>
      <c r="I116" s="251" t="n">
        <v>8681</v>
      </c>
      <c r="J116" s="251" t="n">
        <v>9255</v>
      </c>
      <c r="K116" s="214" t="n">
        <f aca="false">I116/J116*100</f>
        <v>93.7979470556456</v>
      </c>
      <c r="L116" s="250" t="n">
        <v>0</v>
      </c>
      <c r="M116" s="251" t="n">
        <v>0</v>
      </c>
      <c r="N116" s="214" t="n">
        <v>0</v>
      </c>
      <c r="O116" s="252" t="n">
        <v>12</v>
      </c>
      <c r="P116" s="250" t="n">
        <v>79</v>
      </c>
      <c r="Q116" s="252" t="n">
        <v>12</v>
      </c>
      <c r="R116" s="202" t="n">
        <f aca="false">O116*P116</f>
        <v>948</v>
      </c>
    </row>
    <row r="117" customFormat="false" ht="15" hidden="false" customHeight="false" outlineLevel="0" collapsed="false">
      <c r="A117" s="249" t="n">
        <v>23</v>
      </c>
      <c r="B117" s="243" t="s">
        <v>116</v>
      </c>
      <c r="C117" s="251" t="n">
        <v>24819</v>
      </c>
      <c r="D117" s="250" t="n">
        <v>18316</v>
      </c>
      <c r="E117" s="214" t="n">
        <f aca="false">C117/D117*100</f>
        <v>135.504476960035</v>
      </c>
      <c r="F117" s="251" t="n">
        <v>7870</v>
      </c>
      <c r="G117" s="251" t="n">
        <v>4956</v>
      </c>
      <c r="H117" s="214" t="n">
        <f aca="false">F117/G117*100</f>
        <v>158.797417271994</v>
      </c>
      <c r="I117" s="251" t="n">
        <v>25234</v>
      </c>
      <c r="J117" s="251" t="n">
        <v>19067</v>
      </c>
      <c r="K117" s="214" t="n">
        <f aca="false">I117/J117*100</f>
        <v>132.343840142655</v>
      </c>
      <c r="L117" s="250" t="n">
        <v>0</v>
      </c>
      <c r="M117" s="250" t="n">
        <v>0</v>
      </c>
      <c r="N117" s="214" t="n">
        <v>0</v>
      </c>
      <c r="O117" s="252" t="n">
        <v>24</v>
      </c>
      <c r="P117" s="250" t="n">
        <v>57</v>
      </c>
      <c r="Q117" s="252" t="n">
        <v>21</v>
      </c>
      <c r="R117" s="202" t="n">
        <f aca="false">O117*P117</f>
        <v>1368</v>
      </c>
    </row>
    <row r="118" customFormat="false" ht="15" hidden="false" customHeight="false" outlineLevel="0" collapsed="false">
      <c r="A118" s="249" t="n">
        <v>24</v>
      </c>
      <c r="B118" s="245" t="s">
        <v>117</v>
      </c>
      <c r="C118" s="250" t="n">
        <v>16993</v>
      </c>
      <c r="D118" s="250" t="n">
        <v>8474</v>
      </c>
      <c r="E118" s="214" t="n">
        <f aca="false">C118/D118*100</f>
        <v>200.531036110456</v>
      </c>
      <c r="F118" s="250" t="n">
        <v>5139</v>
      </c>
      <c r="G118" s="251" t="n">
        <v>2302</v>
      </c>
      <c r="H118" s="214" t="n">
        <f aca="false">F118/G118*100</f>
        <v>223.240660295395</v>
      </c>
      <c r="I118" s="250" t="n">
        <v>26654</v>
      </c>
      <c r="J118" s="250" t="n">
        <v>23372</v>
      </c>
      <c r="K118" s="214" t="n">
        <f aca="false">I118/J118*100</f>
        <v>114.042443950026</v>
      </c>
      <c r="L118" s="254" t="n">
        <v>0</v>
      </c>
      <c r="M118" s="250" t="n">
        <v>0</v>
      </c>
      <c r="N118" s="214" t="n">
        <v>0</v>
      </c>
      <c r="O118" s="252" t="n">
        <v>56</v>
      </c>
      <c r="P118" s="250" t="n">
        <v>57</v>
      </c>
      <c r="Q118" s="252" t="n">
        <v>56</v>
      </c>
      <c r="R118" s="202" t="n">
        <f aca="false">O118*P118</f>
        <v>3192</v>
      </c>
    </row>
    <row r="119" customFormat="false" ht="15" hidden="false" customHeight="false" outlineLevel="0" collapsed="false">
      <c r="A119" s="249" t="n">
        <v>25</v>
      </c>
      <c r="B119" s="245" t="s">
        <v>118</v>
      </c>
      <c r="C119" s="250" t="n">
        <v>3158</v>
      </c>
      <c r="D119" s="250" t="n">
        <v>8019</v>
      </c>
      <c r="E119" s="214" t="n">
        <f aca="false">C119/D119*100</f>
        <v>39.3814690110986</v>
      </c>
      <c r="F119" s="250" t="n">
        <v>1061</v>
      </c>
      <c r="G119" s="250" t="n">
        <v>4796</v>
      </c>
      <c r="H119" s="214" t="n">
        <f aca="false">F119/G119*100</f>
        <v>22.1226021684737</v>
      </c>
      <c r="I119" s="250" t="n">
        <v>3208</v>
      </c>
      <c r="J119" s="250" t="n">
        <v>8183</v>
      </c>
      <c r="K119" s="214" t="n">
        <f aca="false">I119/J119*100</f>
        <v>39.2032262006599</v>
      </c>
      <c r="L119" s="250" t="n">
        <v>0</v>
      </c>
      <c r="M119" s="250" t="n">
        <v>0</v>
      </c>
      <c r="N119" s="214" t="n">
        <v>0</v>
      </c>
      <c r="O119" s="252" t="n">
        <v>22</v>
      </c>
      <c r="P119" s="250" t="n">
        <v>42</v>
      </c>
      <c r="Q119" s="252" t="n">
        <v>15</v>
      </c>
      <c r="R119" s="202" t="n">
        <f aca="false">O119*P119</f>
        <v>924</v>
      </c>
    </row>
    <row r="120" customFormat="false" ht="15" hidden="false" customHeight="false" outlineLevel="0" collapsed="false">
      <c r="A120" s="215" t="s">
        <v>119</v>
      </c>
      <c r="B120" s="215" t="s">
        <v>119</v>
      </c>
      <c r="C120" s="216" t="n">
        <f aca="false">SUM(C95:C119)</f>
        <v>858496</v>
      </c>
      <c r="D120" s="216" t="n">
        <f aca="false">SUM(D95:D119)</f>
        <v>685090</v>
      </c>
      <c r="E120" s="217" t="n">
        <f aca="false">C120/D120*100</f>
        <v>125.311418937658</v>
      </c>
      <c r="F120" s="216" t="n">
        <f aca="false">SUM(F95:F119)</f>
        <v>354838</v>
      </c>
      <c r="G120" s="216" t="n">
        <f aca="false">SUM(G95:G119)</f>
        <v>301601</v>
      </c>
      <c r="H120" s="217" t="n">
        <f aca="false">F120/G120*100</f>
        <v>117.651466672856</v>
      </c>
      <c r="I120" s="216" t="n">
        <f aca="false">SUM(I95:I119)</f>
        <v>616417</v>
      </c>
      <c r="J120" s="216" t="n">
        <f aca="false">SUM(J95:J119)</f>
        <v>541408</v>
      </c>
      <c r="K120" s="217" t="n">
        <f aca="false">I120/J120*100</f>
        <v>113.854431408476</v>
      </c>
      <c r="L120" s="216" t="n">
        <f aca="false">SUM(L95:L119)</f>
        <v>388888</v>
      </c>
      <c r="M120" s="216" t="n">
        <f aca="false">SUM(M95:M119)</f>
        <v>277025</v>
      </c>
      <c r="N120" s="217" t="n">
        <f aca="false">L120/M120*100</f>
        <v>140.380110098367</v>
      </c>
      <c r="O120" s="216" t="n">
        <f aca="false">SUM(O95:O119)</f>
        <v>1768</v>
      </c>
      <c r="P120" s="217" t="n">
        <f aca="false">R120/O120</f>
        <v>65.1453619909502</v>
      </c>
      <c r="Q120" s="216" t="n">
        <f aca="false">SUM(Q95:Q119)</f>
        <v>1539</v>
      </c>
      <c r="R120" s="232" t="n">
        <f aca="false">SUM(R95:R119)</f>
        <v>115177</v>
      </c>
    </row>
    <row r="121" customFormat="false" ht="15" hidden="false" customHeight="false" outlineLevel="0" collapsed="false">
      <c r="A121" s="249"/>
      <c r="B121" s="245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51"/>
      <c r="O121" s="203"/>
      <c r="P121" s="204"/>
      <c r="Q121" s="203"/>
      <c r="R121" s="202"/>
    </row>
    <row r="122" customFormat="false" ht="15" hidden="false" customHeight="false" outlineLevel="0" collapsed="false">
      <c r="A122" s="255"/>
      <c r="B122" s="255"/>
      <c r="C122" s="256"/>
      <c r="D122" s="256"/>
      <c r="E122" s="257"/>
      <c r="F122" s="256"/>
      <c r="G122" s="256"/>
      <c r="H122" s="257"/>
      <c r="I122" s="256"/>
      <c r="J122" s="256"/>
      <c r="K122" s="257"/>
      <c r="L122" s="256"/>
      <c r="M122" s="256"/>
      <c r="N122" s="257"/>
      <c r="O122" s="256"/>
      <c r="P122" s="257"/>
      <c r="Q122" s="256"/>
      <c r="R122" s="202" t="n">
        <f aca="false">O122*P122</f>
        <v>0</v>
      </c>
    </row>
    <row r="123" customFormat="false" ht="15" hidden="false" customHeight="false" outlineLevel="0" collapsed="false">
      <c r="A123" s="195"/>
      <c r="B123" s="195" t="s">
        <v>120</v>
      </c>
      <c r="C123" s="195" t="n">
        <v>3</v>
      </c>
      <c r="D123" s="195" t="n">
        <v>4</v>
      </c>
      <c r="E123" s="196" t="n">
        <v>5</v>
      </c>
      <c r="F123" s="195" t="n">
        <v>6</v>
      </c>
      <c r="G123" s="195" t="n">
        <v>7</v>
      </c>
      <c r="H123" s="195" t="n">
        <v>8</v>
      </c>
      <c r="I123" s="195" t="n">
        <v>9</v>
      </c>
      <c r="J123" s="195" t="n">
        <v>10</v>
      </c>
      <c r="K123" s="195" t="n">
        <v>11</v>
      </c>
      <c r="L123" s="195" t="n">
        <v>12</v>
      </c>
      <c r="M123" s="195" t="n">
        <v>13</v>
      </c>
      <c r="N123" s="195" t="n">
        <v>14</v>
      </c>
      <c r="O123" s="195" t="n">
        <v>15</v>
      </c>
      <c r="P123" s="196" t="n">
        <v>16</v>
      </c>
      <c r="Q123" s="195" t="n">
        <v>15</v>
      </c>
      <c r="R123" s="202" t="n">
        <f aca="false">O123*P123</f>
        <v>240</v>
      </c>
    </row>
    <row r="124" customFormat="false" ht="15" hidden="false" customHeight="false" outlineLevel="0" collapsed="false">
      <c r="A124" s="210" t="n">
        <v>1</v>
      </c>
      <c r="B124" s="258" t="s">
        <v>121</v>
      </c>
      <c r="C124" s="200" t="n">
        <v>0</v>
      </c>
      <c r="D124" s="200" t="n">
        <v>0</v>
      </c>
      <c r="E124" s="214" t="n">
        <v>0</v>
      </c>
      <c r="F124" s="200" t="n">
        <v>0</v>
      </c>
      <c r="G124" s="200" t="n">
        <v>0</v>
      </c>
      <c r="H124" s="214" t="n">
        <v>0</v>
      </c>
      <c r="I124" s="200" t="n">
        <v>0</v>
      </c>
      <c r="J124" s="200" t="n">
        <v>0</v>
      </c>
      <c r="K124" s="214" t="n">
        <v>0</v>
      </c>
      <c r="L124" s="200" t="n">
        <v>0</v>
      </c>
      <c r="M124" s="200" t="n">
        <v>0</v>
      </c>
      <c r="N124" s="214" t="n">
        <v>0</v>
      </c>
      <c r="O124" s="203" t="n">
        <v>0</v>
      </c>
      <c r="P124" s="204" t="n">
        <v>0</v>
      </c>
      <c r="Q124" s="203" t="n">
        <v>0</v>
      </c>
      <c r="R124" s="202" t="n">
        <f aca="false">O124*P124</f>
        <v>0</v>
      </c>
    </row>
    <row r="125" s="211" customFormat="true" ht="15" hidden="false" customHeight="false" outlineLevel="0" collapsed="false">
      <c r="A125" s="210" t="n">
        <v>2</v>
      </c>
      <c r="B125" s="258" t="s">
        <v>122</v>
      </c>
      <c r="C125" s="203" t="n">
        <v>30419</v>
      </c>
      <c r="D125" s="203" t="n">
        <v>72330</v>
      </c>
      <c r="E125" s="214" t="n">
        <f aca="false">C125/D125*100</f>
        <v>42.0558551085304</v>
      </c>
      <c r="F125" s="203" t="n">
        <v>19447</v>
      </c>
      <c r="G125" s="203" t="n">
        <v>20093</v>
      </c>
      <c r="H125" s="214" t="n">
        <f aca="false">F125/G125*100</f>
        <v>96.784949982581</v>
      </c>
      <c r="I125" s="203" t="n">
        <v>18451</v>
      </c>
      <c r="J125" s="203" t="n">
        <v>81245</v>
      </c>
      <c r="K125" s="214" t="n">
        <f aca="false">I125/J125*100</f>
        <v>22.710320635116</v>
      </c>
      <c r="L125" s="203" t="n">
        <v>0</v>
      </c>
      <c r="M125" s="203" t="n">
        <v>0</v>
      </c>
      <c r="N125" s="192" t="n">
        <v>0</v>
      </c>
      <c r="O125" s="219" t="n">
        <v>74</v>
      </c>
      <c r="P125" s="204" t="n">
        <v>80</v>
      </c>
      <c r="Q125" s="219" t="n">
        <v>79</v>
      </c>
      <c r="R125" s="202" t="n">
        <f aca="false">O125*P125</f>
        <v>5920</v>
      </c>
    </row>
    <row r="126" customFormat="false" ht="15" hidden="false" customHeight="false" outlineLevel="0" collapsed="false">
      <c r="A126" s="210" t="n">
        <v>3</v>
      </c>
      <c r="B126" s="258" t="s">
        <v>123</v>
      </c>
      <c r="C126" s="200" t="n">
        <v>0</v>
      </c>
      <c r="D126" s="200" t="n">
        <v>0</v>
      </c>
      <c r="E126" s="214" t="n">
        <v>0</v>
      </c>
      <c r="F126" s="200" t="n">
        <v>0</v>
      </c>
      <c r="G126" s="200" t="n">
        <v>0</v>
      </c>
      <c r="H126" s="214" t="n">
        <v>0</v>
      </c>
      <c r="I126" s="200" t="n">
        <v>0</v>
      </c>
      <c r="J126" s="200" t="n">
        <v>0</v>
      </c>
      <c r="K126" s="214" t="n">
        <v>0</v>
      </c>
      <c r="L126" s="200" t="n">
        <v>0</v>
      </c>
      <c r="M126" s="200" t="n">
        <v>0</v>
      </c>
      <c r="N126" s="214" t="n">
        <v>0</v>
      </c>
      <c r="O126" s="203" t="n">
        <v>0</v>
      </c>
      <c r="P126" s="204" t="n">
        <v>0</v>
      </c>
      <c r="Q126" s="203" t="n">
        <v>0</v>
      </c>
      <c r="R126" s="202" t="n">
        <f aca="false">O126*P126</f>
        <v>0</v>
      </c>
    </row>
    <row r="127" customFormat="false" ht="15" hidden="false" customHeight="false" outlineLevel="0" collapsed="false">
      <c r="A127" s="210" t="n">
        <v>4</v>
      </c>
      <c r="B127" s="258" t="s">
        <v>124</v>
      </c>
      <c r="C127" s="200" t="n">
        <v>0</v>
      </c>
      <c r="D127" s="200" t="n">
        <v>0</v>
      </c>
      <c r="E127" s="214" t="n">
        <v>0</v>
      </c>
      <c r="F127" s="200" t="n">
        <v>0</v>
      </c>
      <c r="G127" s="200" t="n">
        <v>0</v>
      </c>
      <c r="H127" s="214" t="n">
        <v>0</v>
      </c>
      <c r="I127" s="200" t="n">
        <v>0</v>
      </c>
      <c r="J127" s="200" t="n">
        <v>0</v>
      </c>
      <c r="K127" s="214" t="n">
        <v>0</v>
      </c>
      <c r="L127" s="200" t="n">
        <v>0</v>
      </c>
      <c r="M127" s="200" t="n">
        <v>0</v>
      </c>
      <c r="N127" s="214" t="n">
        <v>0</v>
      </c>
      <c r="O127" s="203" t="n">
        <v>0</v>
      </c>
      <c r="P127" s="204" t="n">
        <v>0</v>
      </c>
      <c r="Q127" s="203" t="n">
        <v>0</v>
      </c>
      <c r="R127" s="202" t="n">
        <f aca="false">O127*P127</f>
        <v>0</v>
      </c>
    </row>
    <row r="128" customFormat="false" ht="15" hidden="false" customHeight="false" outlineLevel="0" collapsed="false">
      <c r="A128" s="210" t="n">
        <v>5</v>
      </c>
      <c r="B128" s="259" t="s">
        <v>125</v>
      </c>
      <c r="C128" s="251" t="n">
        <v>1050</v>
      </c>
      <c r="D128" s="251" t="n">
        <v>0</v>
      </c>
      <c r="E128" s="260" t="n">
        <v>0</v>
      </c>
      <c r="F128" s="251" t="n">
        <v>1050</v>
      </c>
      <c r="G128" s="251" t="n">
        <v>0</v>
      </c>
      <c r="H128" s="192" t="n">
        <v>0</v>
      </c>
      <c r="I128" s="251" t="n">
        <v>1441</v>
      </c>
      <c r="J128" s="251" t="n">
        <v>1492</v>
      </c>
      <c r="K128" s="260" t="n">
        <f aca="false">I128/J128*100</f>
        <v>96.5817694369973</v>
      </c>
      <c r="L128" s="251" t="n">
        <v>0</v>
      </c>
      <c r="M128" s="251" t="n">
        <v>0</v>
      </c>
      <c r="N128" s="251" t="n">
        <v>0</v>
      </c>
      <c r="O128" s="219" t="n">
        <v>8</v>
      </c>
      <c r="P128" s="261" t="n">
        <v>70</v>
      </c>
      <c r="Q128" s="219" t="n">
        <v>8</v>
      </c>
      <c r="R128" s="202" t="n">
        <f aca="false">O128*P128</f>
        <v>560</v>
      </c>
    </row>
    <row r="129" customFormat="false" ht="15" hidden="false" customHeight="false" outlineLevel="0" collapsed="false">
      <c r="A129" s="210" t="n">
        <v>6</v>
      </c>
      <c r="B129" s="259" t="s">
        <v>126</v>
      </c>
      <c r="C129" s="200" t="n">
        <v>0</v>
      </c>
      <c r="D129" s="200" t="n">
        <v>0</v>
      </c>
      <c r="E129" s="214" t="n">
        <v>0</v>
      </c>
      <c r="F129" s="200" t="n">
        <v>0</v>
      </c>
      <c r="G129" s="200" t="n">
        <v>0</v>
      </c>
      <c r="H129" s="214" t="n">
        <v>0</v>
      </c>
      <c r="I129" s="200" t="n">
        <v>0</v>
      </c>
      <c r="J129" s="200" t="n">
        <v>0</v>
      </c>
      <c r="K129" s="214" t="n">
        <v>0</v>
      </c>
      <c r="L129" s="200" t="n">
        <v>0</v>
      </c>
      <c r="M129" s="200" t="n">
        <v>0</v>
      </c>
      <c r="N129" s="214" t="n">
        <v>0</v>
      </c>
      <c r="O129" s="203" t="n">
        <v>0</v>
      </c>
      <c r="P129" s="204" t="n">
        <v>0</v>
      </c>
      <c r="Q129" s="203" t="n">
        <v>0</v>
      </c>
      <c r="R129" s="202" t="n">
        <f aca="false">O129*P129</f>
        <v>0</v>
      </c>
    </row>
    <row r="130" customFormat="false" ht="15" hidden="false" customHeight="false" outlineLevel="0" collapsed="false">
      <c r="A130" s="210" t="n">
        <v>7</v>
      </c>
      <c r="B130" s="258" t="s">
        <v>127</v>
      </c>
      <c r="C130" s="208" t="n">
        <v>5726</v>
      </c>
      <c r="D130" s="208" t="n">
        <v>6250</v>
      </c>
      <c r="E130" s="214" t="n">
        <f aca="false">C130/D130*100</f>
        <v>91.616</v>
      </c>
      <c r="F130" s="208" t="n">
        <v>2264</v>
      </c>
      <c r="G130" s="208" t="n">
        <v>3537</v>
      </c>
      <c r="H130" s="214" t="n">
        <f aca="false">F130/G130*100</f>
        <v>64.0090472151541</v>
      </c>
      <c r="I130" s="208" t="n">
        <v>5726</v>
      </c>
      <c r="J130" s="208" t="n">
        <v>6250</v>
      </c>
      <c r="K130" s="260" t="n">
        <f aca="false">I130/J130*100</f>
        <v>91.616</v>
      </c>
      <c r="L130" s="208" t="n">
        <v>0</v>
      </c>
      <c r="M130" s="208" t="n">
        <v>0</v>
      </c>
      <c r="N130" s="192" t="n">
        <v>0</v>
      </c>
      <c r="O130" s="219" t="n">
        <v>14</v>
      </c>
      <c r="P130" s="250" t="n">
        <v>65</v>
      </c>
      <c r="Q130" s="219" t="n">
        <v>14</v>
      </c>
      <c r="R130" s="202" t="n">
        <f aca="false">O130*P130</f>
        <v>910</v>
      </c>
    </row>
    <row r="131" customFormat="false" ht="15" hidden="false" customHeight="false" outlineLevel="0" collapsed="false">
      <c r="A131" s="215" t="s">
        <v>128</v>
      </c>
      <c r="B131" s="215" t="s">
        <v>128</v>
      </c>
      <c r="C131" s="216" t="n">
        <f aca="false">SUM(C124:C130)</f>
        <v>37195</v>
      </c>
      <c r="D131" s="216" t="n">
        <f aca="false">SUM(D124:D130)</f>
        <v>78580</v>
      </c>
      <c r="E131" s="217" t="n">
        <f aca="false">C131/D131*100</f>
        <v>47.333927207941</v>
      </c>
      <c r="F131" s="216" t="n">
        <f aca="false">SUM(F124:F130)</f>
        <v>22761</v>
      </c>
      <c r="G131" s="216" t="n">
        <f aca="false">SUM(G124:G130)</f>
        <v>23630</v>
      </c>
      <c r="H131" s="217" t="n">
        <f aca="false">F131/G131*100</f>
        <v>96.322471434617</v>
      </c>
      <c r="I131" s="216" t="n">
        <f aca="false">SUM(I124:I130)</f>
        <v>25618</v>
      </c>
      <c r="J131" s="216" t="n">
        <f aca="false">SUM(J124:J130)</f>
        <v>88987</v>
      </c>
      <c r="K131" s="217" t="n">
        <f aca="false">I131/J131*100</f>
        <v>28.7884747210267</v>
      </c>
      <c r="L131" s="216" t="n">
        <f aca="false">SUM(L124:L130)</f>
        <v>0</v>
      </c>
      <c r="M131" s="216" t="n">
        <f aca="false">SUM(M124:M130)</f>
        <v>0</v>
      </c>
      <c r="N131" s="237" t="n">
        <v>0</v>
      </c>
      <c r="O131" s="216" t="n">
        <f aca="false">SUM(O124:O130)</f>
        <v>96</v>
      </c>
      <c r="P131" s="237" t="n">
        <f aca="false">R131/O131</f>
        <v>76.9791666666667</v>
      </c>
      <c r="Q131" s="216" t="n">
        <f aca="false">SUM(Q124:Q130)</f>
        <v>101</v>
      </c>
      <c r="R131" s="232" t="n">
        <f aca="false">SUM(R124:R130)</f>
        <v>7390</v>
      </c>
    </row>
    <row r="132" customFormat="false" ht="15" hidden="false" customHeight="false" outlineLevel="0" collapsed="false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192"/>
      <c r="L132" s="203"/>
      <c r="M132" s="203"/>
      <c r="N132" s="203"/>
      <c r="O132" s="203"/>
      <c r="P132" s="219"/>
      <c r="Q132" s="203"/>
      <c r="R132" s="197"/>
    </row>
    <row r="133" customFormat="false" ht="15" hidden="false" customHeight="false" outlineLevel="0" collapsed="false">
      <c r="A133" s="190" t="s">
        <v>129</v>
      </c>
      <c r="B133" s="190"/>
      <c r="C133" s="195" t="n">
        <v>3</v>
      </c>
      <c r="D133" s="195" t="n">
        <v>4</v>
      </c>
      <c r="E133" s="196" t="n">
        <v>5</v>
      </c>
      <c r="F133" s="195" t="n">
        <v>6</v>
      </c>
      <c r="G133" s="195" t="n">
        <v>7</v>
      </c>
      <c r="H133" s="195" t="n">
        <v>8</v>
      </c>
      <c r="I133" s="195" t="n">
        <v>9</v>
      </c>
      <c r="J133" s="195" t="n">
        <v>10</v>
      </c>
      <c r="K133" s="195" t="n">
        <v>11</v>
      </c>
      <c r="L133" s="195" t="n">
        <v>12</v>
      </c>
      <c r="M133" s="195" t="n">
        <v>13</v>
      </c>
      <c r="N133" s="195" t="n">
        <v>14</v>
      </c>
      <c r="O133" s="195" t="n">
        <v>15</v>
      </c>
      <c r="P133" s="196" t="n">
        <v>16</v>
      </c>
      <c r="Q133" s="195" t="n">
        <v>15</v>
      </c>
      <c r="R133" s="189"/>
    </row>
    <row r="134" customFormat="false" ht="15" hidden="false" customHeight="false" outlineLevel="0" collapsed="false">
      <c r="A134" s="262" t="n">
        <v>1</v>
      </c>
      <c r="B134" s="243" t="s">
        <v>130</v>
      </c>
      <c r="C134" s="219" t="n">
        <v>31076091</v>
      </c>
      <c r="D134" s="219" t="n">
        <v>25338912</v>
      </c>
      <c r="E134" s="214" t="n">
        <f aca="false">C134/D134*100</f>
        <v>122.641773253721</v>
      </c>
      <c r="F134" s="219" t="n">
        <v>10179730</v>
      </c>
      <c r="G134" s="219" t="n">
        <v>8431456</v>
      </c>
      <c r="H134" s="214" t="n">
        <f aca="false">F134/G134*100</f>
        <v>120.735137561057</v>
      </c>
      <c r="I134" s="262" t="n">
        <v>31774768</v>
      </c>
      <c r="J134" s="262" t="n">
        <v>25893976</v>
      </c>
      <c r="K134" s="214" t="n">
        <f aca="false">I134/J134*100</f>
        <v>122.711042908204</v>
      </c>
      <c r="L134" s="262" t="n">
        <v>17213560</v>
      </c>
      <c r="M134" s="262" t="n">
        <v>11395986</v>
      </c>
      <c r="N134" s="214" t="n">
        <f aca="false">L134/M134*100</f>
        <v>151.049325613422</v>
      </c>
      <c r="O134" s="203" t="n">
        <v>2965</v>
      </c>
      <c r="P134" s="219" t="n">
        <v>145</v>
      </c>
      <c r="Q134" s="203" t="n">
        <v>2940</v>
      </c>
      <c r="R134" s="202" t="n">
        <f aca="false">O134*P134</f>
        <v>429925</v>
      </c>
    </row>
    <row r="135" customFormat="false" ht="15" hidden="false" customHeight="false" outlineLevel="0" collapsed="false">
      <c r="A135" s="262" t="n">
        <v>2</v>
      </c>
      <c r="B135" s="243" t="s">
        <v>131</v>
      </c>
      <c r="C135" s="219" t="n">
        <v>5685944</v>
      </c>
      <c r="D135" s="219" t="n">
        <v>6326190</v>
      </c>
      <c r="E135" s="214" t="n">
        <f aca="false">C135/D135*100</f>
        <v>89.8794377026299</v>
      </c>
      <c r="F135" s="219" t="n">
        <v>1840315</v>
      </c>
      <c r="G135" s="219" t="n">
        <v>2234454</v>
      </c>
      <c r="H135" s="214" t="n">
        <f aca="false">F135/G135*100</f>
        <v>82.3608362490344</v>
      </c>
      <c r="I135" s="262" t="n">
        <v>4606232</v>
      </c>
      <c r="J135" s="262" t="n">
        <v>4523895</v>
      </c>
      <c r="K135" s="214" t="n">
        <f aca="false">I135/J135*100</f>
        <v>101.820046663329</v>
      </c>
      <c r="L135" s="262" t="n">
        <v>4606232</v>
      </c>
      <c r="M135" s="262" t="n">
        <v>4523895</v>
      </c>
      <c r="N135" s="214" t="n">
        <f aca="false">L135/M135*100</f>
        <v>101.820046663329</v>
      </c>
      <c r="O135" s="203" t="n">
        <v>986</v>
      </c>
      <c r="P135" s="219" t="n">
        <v>120</v>
      </c>
      <c r="Q135" s="203" t="n">
        <v>989</v>
      </c>
      <c r="R135" s="202" t="n">
        <f aca="false">O135*P135</f>
        <v>118320</v>
      </c>
    </row>
    <row r="136" customFormat="false" ht="15" hidden="false" customHeight="false" outlineLevel="0" collapsed="false">
      <c r="A136" s="262" t="n">
        <v>3</v>
      </c>
      <c r="B136" s="243" t="s">
        <v>132</v>
      </c>
      <c r="C136" s="219" t="n">
        <v>5344904</v>
      </c>
      <c r="D136" s="219" t="n">
        <v>6517484</v>
      </c>
      <c r="E136" s="214" t="n">
        <f aca="false">C136/D136*100</f>
        <v>82.008701517334</v>
      </c>
      <c r="F136" s="219" t="n">
        <v>1985095</v>
      </c>
      <c r="G136" s="219" t="n">
        <v>2300994</v>
      </c>
      <c r="H136" s="214" t="n">
        <f aca="false">F136/G136*100</f>
        <v>86.2711941013319</v>
      </c>
      <c r="I136" s="262" t="n">
        <v>4320886</v>
      </c>
      <c r="J136" s="262" t="n">
        <v>5013722</v>
      </c>
      <c r="K136" s="214" t="n">
        <f aca="false">I136/J136*100</f>
        <v>86.1812043029111</v>
      </c>
      <c r="L136" s="262" t="n">
        <v>4320886</v>
      </c>
      <c r="M136" s="262" t="n">
        <v>5013722</v>
      </c>
      <c r="N136" s="214" t="n">
        <f aca="false">L136/M136*100</f>
        <v>86.1812043029111</v>
      </c>
      <c r="O136" s="203" t="n">
        <v>1206</v>
      </c>
      <c r="P136" s="236" t="n">
        <v>306</v>
      </c>
      <c r="Q136" s="203" t="n">
        <v>1210</v>
      </c>
      <c r="R136" s="202" t="n">
        <f aca="false">O136*P136</f>
        <v>369036</v>
      </c>
    </row>
    <row r="137" customFormat="false" ht="15" hidden="false" customHeight="false" outlineLevel="0" collapsed="false">
      <c r="A137" s="262" t="n">
        <v>4</v>
      </c>
      <c r="B137" s="243" t="s">
        <v>133</v>
      </c>
      <c r="C137" s="236" t="n">
        <v>1049244</v>
      </c>
      <c r="D137" s="236" t="n">
        <v>1223734</v>
      </c>
      <c r="E137" s="214" t="n">
        <f aca="false">C137/D137*100</f>
        <v>85.7411823157647</v>
      </c>
      <c r="F137" s="203" t="n">
        <v>442564</v>
      </c>
      <c r="G137" s="203" t="n">
        <v>310311</v>
      </c>
      <c r="H137" s="214" t="n">
        <f aca="false">F137/G137*100</f>
        <v>142.619501081173</v>
      </c>
      <c r="I137" s="203" t="n">
        <v>1015773</v>
      </c>
      <c r="J137" s="203" t="n">
        <v>972102</v>
      </c>
      <c r="K137" s="214" t="n">
        <f aca="false">I137/J137*100</f>
        <v>104.492429806749</v>
      </c>
      <c r="L137" s="203" t="n">
        <v>1015773</v>
      </c>
      <c r="M137" s="203" t="n">
        <v>972102</v>
      </c>
      <c r="N137" s="214" t="n">
        <f aca="false">L137/M137*100</f>
        <v>104.492429806749</v>
      </c>
      <c r="O137" s="203" t="n">
        <v>538</v>
      </c>
      <c r="P137" s="219" t="n">
        <v>150</v>
      </c>
      <c r="Q137" s="203" t="n">
        <v>552</v>
      </c>
      <c r="R137" s="202" t="n">
        <f aca="false">O137*P137</f>
        <v>80700</v>
      </c>
    </row>
    <row r="138" customFormat="false" ht="15" hidden="false" customHeight="false" outlineLevel="0" collapsed="false">
      <c r="A138" s="262" t="n">
        <v>5</v>
      </c>
      <c r="B138" s="243" t="s">
        <v>134</v>
      </c>
      <c r="C138" s="203" t="n">
        <v>711878</v>
      </c>
      <c r="D138" s="203" t="n">
        <v>711667</v>
      </c>
      <c r="E138" s="214" t="n">
        <f aca="false">C138/D138*100</f>
        <v>100.029648698057</v>
      </c>
      <c r="F138" s="203" t="n">
        <v>292467</v>
      </c>
      <c r="G138" s="203" t="n">
        <v>413058</v>
      </c>
      <c r="H138" s="214" t="n">
        <f aca="false">F138/G138*100</f>
        <v>70.8053106343419</v>
      </c>
      <c r="I138" s="203" t="n">
        <v>1034211</v>
      </c>
      <c r="J138" s="203" t="n">
        <v>491016</v>
      </c>
      <c r="K138" s="214" t="n">
        <f aca="false">I138/J138*100</f>
        <v>210.626741287453</v>
      </c>
      <c r="L138" s="203" t="n">
        <v>1034211</v>
      </c>
      <c r="M138" s="203" t="n">
        <v>491016</v>
      </c>
      <c r="N138" s="214" t="n">
        <f aca="false">L138/M138*100</f>
        <v>210.626741287453</v>
      </c>
      <c r="O138" s="203" t="n">
        <v>429</v>
      </c>
      <c r="P138" s="204" t="n">
        <v>103</v>
      </c>
      <c r="Q138" s="203" t="n">
        <v>419</v>
      </c>
      <c r="R138" s="202" t="n">
        <f aca="false">O138*P138</f>
        <v>44187</v>
      </c>
    </row>
    <row r="139" customFormat="false" ht="15" hidden="false" customHeight="false" outlineLevel="0" collapsed="false">
      <c r="A139" s="215" t="s">
        <v>135</v>
      </c>
      <c r="B139" s="215" t="s">
        <v>136</v>
      </c>
      <c r="C139" s="237" t="n">
        <f aca="false">SUM(C134:C138)</f>
        <v>43868061</v>
      </c>
      <c r="D139" s="237" t="n">
        <f aca="false">SUM(D134:D138)</f>
        <v>40117987</v>
      </c>
      <c r="E139" s="217" t="n">
        <f aca="false">C139/D139*100</f>
        <v>109.347612580861</v>
      </c>
      <c r="F139" s="237" t="n">
        <f aca="false">SUM(F134:F138)</f>
        <v>14740171</v>
      </c>
      <c r="G139" s="237" t="n">
        <f aca="false">SUM(G134:G138)</f>
        <v>13690273</v>
      </c>
      <c r="H139" s="217" t="n">
        <f aca="false">F139/G139*100</f>
        <v>107.668933994231</v>
      </c>
      <c r="I139" s="237" t="n">
        <f aca="false">SUM(I134:I138)</f>
        <v>42751870</v>
      </c>
      <c r="J139" s="237" t="n">
        <f aca="false">SUM(J134:J138)</f>
        <v>36894711</v>
      </c>
      <c r="K139" s="217" t="n">
        <f aca="false">I139/J139*100</f>
        <v>115.875335085292</v>
      </c>
      <c r="L139" s="237" t="n">
        <f aca="false">SUM(L134:L138)</f>
        <v>28190662</v>
      </c>
      <c r="M139" s="237" t="n">
        <f aca="false">SUM(M134:M138)</f>
        <v>22396721</v>
      </c>
      <c r="N139" s="217" t="n">
        <f aca="false">L139/M139*100</f>
        <v>125.86959492865</v>
      </c>
      <c r="O139" s="237" t="n">
        <f aca="false">SUM(O134:O138)</f>
        <v>6124</v>
      </c>
      <c r="P139" s="237" t="n">
        <f aca="false">R139/O139</f>
        <v>170.177661659046</v>
      </c>
      <c r="Q139" s="237" t="n">
        <f aca="false">SUM(Q134:Q138)</f>
        <v>6110</v>
      </c>
      <c r="R139" s="237" t="n">
        <f aca="false">SUM(R134:R138)</f>
        <v>1042168</v>
      </c>
    </row>
    <row r="140" customFormat="false" ht="15" hidden="false" customHeight="false" outlineLevel="0" collapsed="false">
      <c r="A140" s="263"/>
      <c r="B140" s="263"/>
      <c r="C140" s="264"/>
      <c r="D140" s="264"/>
      <c r="E140" s="265"/>
      <c r="F140" s="266"/>
      <c r="G140" s="266"/>
      <c r="H140" s="265"/>
      <c r="I140" s="266"/>
      <c r="J140" s="266"/>
      <c r="K140" s="265"/>
      <c r="L140" s="266"/>
      <c r="M140" s="266"/>
      <c r="N140" s="265"/>
      <c r="O140" s="266"/>
      <c r="P140" s="264"/>
      <c r="Q140" s="266"/>
      <c r="R140" s="267"/>
    </row>
    <row r="141" customFormat="false" ht="15" hidden="false" customHeight="false" outlineLevel="0" collapsed="false">
      <c r="A141" s="263"/>
      <c r="B141" s="263" t="s">
        <v>137</v>
      </c>
      <c r="C141" s="195" t="n">
        <v>3</v>
      </c>
      <c r="D141" s="195" t="n">
        <v>4</v>
      </c>
      <c r="E141" s="196" t="n">
        <v>5</v>
      </c>
      <c r="F141" s="195" t="n">
        <v>6</v>
      </c>
      <c r="G141" s="195" t="n">
        <v>7</v>
      </c>
      <c r="H141" s="195" t="n">
        <v>8</v>
      </c>
      <c r="I141" s="195" t="n">
        <v>9</v>
      </c>
      <c r="J141" s="195" t="n">
        <v>10</v>
      </c>
      <c r="K141" s="195" t="n">
        <v>11</v>
      </c>
      <c r="L141" s="195" t="n">
        <v>12</v>
      </c>
      <c r="M141" s="195" t="n">
        <v>13</v>
      </c>
      <c r="N141" s="195" t="n">
        <v>14</v>
      </c>
      <c r="O141" s="195" t="n">
        <v>15</v>
      </c>
      <c r="P141" s="196" t="n">
        <v>16</v>
      </c>
      <c r="Q141" s="195" t="n">
        <v>15</v>
      </c>
      <c r="R141" s="267"/>
    </row>
    <row r="142" customFormat="false" ht="15" hidden="false" customHeight="false" outlineLevel="0" collapsed="false">
      <c r="A142" s="262" t="n">
        <v>6</v>
      </c>
      <c r="B142" s="243" t="s">
        <v>138</v>
      </c>
      <c r="C142" s="219" t="n">
        <v>5297825</v>
      </c>
      <c r="D142" s="219" t="n">
        <v>4689468</v>
      </c>
      <c r="E142" s="214" t="n">
        <f aca="false">C142/D142*100</f>
        <v>112.972836151137</v>
      </c>
      <c r="F142" s="219" t="n">
        <v>1745996</v>
      </c>
      <c r="G142" s="219" t="n">
        <v>2057341</v>
      </c>
      <c r="H142" s="214" t="n">
        <f aca="false">F142/G142*100</f>
        <v>84.8666312487818</v>
      </c>
      <c r="I142" s="262" t="n">
        <v>5385564</v>
      </c>
      <c r="J142" s="262" t="n">
        <v>4830019</v>
      </c>
      <c r="K142" s="214" t="n">
        <f aca="false">I142/J142*100</f>
        <v>111.501921628052</v>
      </c>
      <c r="L142" s="262" t="n">
        <v>5385564</v>
      </c>
      <c r="M142" s="262" t="n">
        <v>4830019</v>
      </c>
      <c r="N142" s="214" t="n">
        <f aca="false">L142/M142*100</f>
        <v>111.501921628052</v>
      </c>
      <c r="O142" s="203" t="n">
        <v>488</v>
      </c>
      <c r="P142" s="236" t="n">
        <v>150</v>
      </c>
      <c r="Q142" s="203" t="n">
        <v>178</v>
      </c>
      <c r="R142" s="202" t="n">
        <f aca="false">O142*P142</f>
        <v>73200</v>
      </c>
    </row>
    <row r="143" customFormat="false" ht="15" hidden="false" customHeight="false" outlineLevel="0" collapsed="false">
      <c r="A143" s="262" t="n">
        <v>10</v>
      </c>
      <c r="B143" s="243" t="s">
        <v>139</v>
      </c>
      <c r="C143" s="236" t="n">
        <v>11523206</v>
      </c>
      <c r="D143" s="236" t="n">
        <v>10478736</v>
      </c>
      <c r="E143" s="214" t="n">
        <f aca="false">C143/D143*100</f>
        <v>109.967518983206</v>
      </c>
      <c r="F143" s="236" t="n">
        <v>3676455</v>
      </c>
      <c r="G143" s="236" t="n">
        <v>3838210</v>
      </c>
      <c r="H143" s="214" t="n">
        <f aca="false">F143/G143*100</f>
        <v>95.7856657139656</v>
      </c>
      <c r="I143" s="203" t="n">
        <v>11169039</v>
      </c>
      <c r="J143" s="203" t="n">
        <v>9480032</v>
      </c>
      <c r="K143" s="214" t="n">
        <f aca="false">I143/J143*100</f>
        <v>117.816469395884</v>
      </c>
      <c r="L143" s="203" t="n">
        <v>11152044</v>
      </c>
      <c r="M143" s="203" t="n">
        <v>9479717</v>
      </c>
      <c r="N143" s="214" t="n">
        <f aca="false">L143/M143*100</f>
        <v>117.641106796754</v>
      </c>
      <c r="O143" s="203" t="n">
        <v>657</v>
      </c>
      <c r="P143" s="219" t="n">
        <v>134</v>
      </c>
      <c r="Q143" s="203" t="n">
        <v>654</v>
      </c>
      <c r="R143" s="202" t="n">
        <f aca="false">O143*P143</f>
        <v>88038</v>
      </c>
    </row>
    <row r="144" customFormat="false" ht="15" hidden="false" customHeight="false" outlineLevel="0" collapsed="false">
      <c r="A144" s="262" t="n">
        <v>11</v>
      </c>
      <c r="B144" s="243" t="s">
        <v>140</v>
      </c>
      <c r="C144" s="219" t="n">
        <v>7626795</v>
      </c>
      <c r="D144" s="219" t="n">
        <v>6930480</v>
      </c>
      <c r="E144" s="214" t="n">
        <f aca="false">C144/D144*100</f>
        <v>110.047139592063</v>
      </c>
      <c r="F144" s="203" t="n">
        <v>2653108</v>
      </c>
      <c r="G144" s="203" t="n">
        <v>2180433</v>
      </c>
      <c r="H144" s="214" t="n">
        <f aca="false">F144/G144*100</f>
        <v>121.678033674963</v>
      </c>
      <c r="I144" s="203" t="n">
        <v>7832336</v>
      </c>
      <c r="J144" s="203" t="n">
        <v>7331698</v>
      </c>
      <c r="K144" s="214" t="n">
        <f aca="false">I144/J144*100</f>
        <v>106.828404552397</v>
      </c>
      <c r="L144" s="203" t="n">
        <v>7832336</v>
      </c>
      <c r="M144" s="203" t="n">
        <v>7331698</v>
      </c>
      <c r="N144" s="214" t="n">
        <f aca="false">L144/M144*100</f>
        <v>106.828404552397</v>
      </c>
      <c r="O144" s="203" t="n">
        <v>557</v>
      </c>
      <c r="P144" s="219" t="n">
        <v>180</v>
      </c>
      <c r="Q144" s="203" t="n">
        <v>565</v>
      </c>
      <c r="R144" s="202" t="n">
        <f aca="false">O144*P144</f>
        <v>100260</v>
      </c>
    </row>
    <row r="145" customFormat="false" ht="15" hidden="false" customHeight="false" outlineLevel="0" collapsed="false">
      <c r="A145" s="262" t="n">
        <v>14</v>
      </c>
      <c r="B145" s="243" t="s">
        <v>141</v>
      </c>
      <c r="C145" s="236" t="n">
        <v>1120908</v>
      </c>
      <c r="D145" s="236" t="n">
        <v>938031</v>
      </c>
      <c r="E145" s="214" t="n">
        <f aca="false">C145/D145*100</f>
        <v>119.495837557607</v>
      </c>
      <c r="F145" s="262" t="n">
        <v>410515</v>
      </c>
      <c r="G145" s="262" t="n">
        <v>330155</v>
      </c>
      <c r="H145" s="214" t="n">
        <f aca="false">F145/G145*100</f>
        <v>124.340082688434</v>
      </c>
      <c r="I145" s="262" t="n">
        <v>1275350</v>
      </c>
      <c r="J145" s="262" t="n">
        <v>927221</v>
      </c>
      <c r="K145" s="214" t="n">
        <f aca="false">I145/J145*100</f>
        <v>137.545417974787</v>
      </c>
      <c r="L145" s="262" t="n">
        <v>0</v>
      </c>
      <c r="M145" s="262" t="n">
        <v>0</v>
      </c>
      <c r="N145" s="214" t="n">
        <v>0</v>
      </c>
      <c r="O145" s="203" t="n">
        <v>308</v>
      </c>
      <c r="P145" s="236" t="n">
        <v>58</v>
      </c>
      <c r="Q145" s="203" t="n">
        <v>322</v>
      </c>
      <c r="R145" s="202" t="n">
        <f aca="false">O145*P145</f>
        <v>17864</v>
      </c>
    </row>
    <row r="146" customFormat="false" ht="15" hidden="false" customHeight="false" outlineLevel="0" collapsed="false">
      <c r="A146" s="262" t="n">
        <v>9</v>
      </c>
      <c r="B146" s="243" t="s">
        <v>142</v>
      </c>
      <c r="C146" s="236" t="n">
        <v>7228977</v>
      </c>
      <c r="D146" s="236" t="n">
        <v>5428339</v>
      </c>
      <c r="E146" s="214" t="n">
        <f aca="false">C146/D146*100</f>
        <v>133.171067613869</v>
      </c>
      <c r="F146" s="236" t="n">
        <v>2178820</v>
      </c>
      <c r="G146" s="236" t="n">
        <v>2168121</v>
      </c>
      <c r="H146" s="214" t="n">
        <f aca="false">F146/G146*100</f>
        <v>100.493468768579</v>
      </c>
      <c r="I146" s="203" t="n">
        <v>6932932</v>
      </c>
      <c r="J146" s="203" t="n">
        <v>5910964</v>
      </c>
      <c r="K146" s="214" t="n">
        <f aca="false">I146/J146*100</f>
        <v>117.289362614964</v>
      </c>
      <c r="L146" s="203" t="n">
        <v>6932932</v>
      </c>
      <c r="M146" s="203" t="n">
        <v>5910964</v>
      </c>
      <c r="N146" s="214" t="n">
        <f aca="false">L146/M146*100</f>
        <v>117.289362614964</v>
      </c>
      <c r="O146" s="203" t="n">
        <v>962</v>
      </c>
      <c r="P146" s="219" t="n">
        <v>100</v>
      </c>
      <c r="Q146" s="203" t="n">
        <v>965</v>
      </c>
      <c r="R146" s="202" t="n">
        <f aca="false">O146*P146</f>
        <v>96200</v>
      </c>
    </row>
    <row r="147" customFormat="false" ht="15" hidden="false" customHeight="false" outlineLevel="0" collapsed="false">
      <c r="A147" s="262" t="n">
        <v>15</v>
      </c>
      <c r="B147" s="243" t="s">
        <v>143</v>
      </c>
      <c r="C147" s="219" t="n">
        <v>8833725</v>
      </c>
      <c r="D147" s="219" t="n">
        <v>7475124</v>
      </c>
      <c r="E147" s="214" t="n">
        <f aca="false">C147/D147*100</f>
        <v>118.174962716338</v>
      </c>
      <c r="F147" s="219" t="n">
        <v>3063704</v>
      </c>
      <c r="G147" s="219" t="n">
        <v>2946685</v>
      </c>
      <c r="H147" s="214" t="n">
        <f aca="false">F147/G147*100</f>
        <v>103.97120832393</v>
      </c>
      <c r="I147" s="203" t="n">
        <v>8911970</v>
      </c>
      <c r="J147" s="203" t="n">
        <v>7354078</v>
      </c>
      <c r="K147" s="214" t="n">
        <f aca="false">I147/J147*100</f>
        <v>121.184055975474</v>
      </c>
      <c r="L147" s="203" t="n">
        <v>8909338</v>
      </c>
      <c r="M147" s="203" t="n">
        <v>7324287</v>
      </c>
      <c r="N147" s="214" t="n">
        <f aca="false">L147/M147*100</f>
        <v>121.641027993578</v>
      </c>
      <c r="O147" s="203" t="n">
        <v>642</v>
      </c>
      <c r="P147" s="219" t="n">
        <v>130</v>
      </c>
      <c r="Q147" s="203" t="n">
        <v>642</v>
      </c>
      <c r="R147" s="202" t="n">
        <f aca="false">O147*P147</f>
        <v>83460</v>
      </c>
    </row>
    <row r="148" customFormat="false" ht="15" hidden="false" customHeight="false" outlineLevel="0" collapsed="false">
      <c r="A148" s="262" t="n">
        <v>13</v>
      </c>
      <c r="B148" s="243" t="s">
        <v>144</v>
      </c>
      <c r="C148" s="200" t="n">
        <v>0</v>
      </c>
      <c r="D148" s="200" t="n">
        <v>0</v>
      </c>
      <c r="E148" s="214" t="n">
        <v>0</v>
      </c>
      <c r="F148" s="200" t="n">
        <v>0</v>
      </c>
      <c r="G148" s="200" t="n">
        <v>0</v>
      </c>
      <c r="H148" s="214" t="n">
        <v>0</v>
      </c>
      <c r="I148" s="200" t="n">
        <v>0</v>
      </c>
      <c r="J148" s="200" t="n">
        <v>0</v>
      </c>
      <c r="K148" s="214" t="n">
        <v>0</v>
      </c>
      <c r="L148" s="200" t="n">
        <v>0</v>
      </c>
      <c r="M148" s="200" t="n">
        <v>0</v>
      </c>
      <c r="N148" s="214" t="n">
        <v>0</v>
      </c>
      <c r="O148" s="203" t="n">
        <v>0</v>
      </c>
      <c r="P148" s="204" t="n">
        <v>0</v>
      </c>
      <c r="Q148" s="203" t="n">
        <v>0</v>
      </c>
      <c r="R148" s="202" t="n">
        <f aca="false">O148*P148</f>
        <v>0</v>
      </c>
    </row>
    <row r="149" customFormat="false" ht="15" hidden="false" customHeight="false" outlineLevel="0" collapsed="false">
      <c r="A149" s="215" t="s">
        <v>145</v>
      </c>
      <c r="B149" s="215" t="s">
        <v>136</v>
      </c>
      <c r="C149" s="237" t="n">
        <f aca="false">SUM(C142:C148)</f>
        <v>41631436</v>
      </c>
      <c r="D149" s="237" t="n">
        <f aca="false">SUM(D142:D148)</f>
        <v>35940178</v>
      </c>
      <c r="E149" s="217" t="n">
        <f aca="false">C149/D149*100</f>
        <v>115.835363976216</v>
      </c>
      <c r="F149" s="237" t="n">
        <f aca="false">SUM(F142:F148)</f>
        <v>13728598</v>
      </c>
      <c r="G149" s="237" t="n">
        <f aca="false">SUM(G142:G148)</f>
        <v>13520945</v>
      </c>
      <c r="H149" s="217" t="n">
        <f aca="false">F149/G149*100</f>
        <v>101.535787624312</v>
      </c>
      <c r="I149" s="237" t="n">
        <f aca="false">SUM(I142:I148)</f>
        <v>41507191</v>
      </c>
      <c r="J149" s="237" t="n">
        <f aca="false">SUM(J142:J148)</f>
        <v>35834012</v>
      </c>
      <c r="K149" s="217" t="n">
        <f aca="false">I149/J149*100</f>
        <v>115.831827594409</v>
      </c>
      <c r="L149" s="237" t="n">
        <f aca="false">SUM(L142:L148)</f>
        <v>40212214</v>
      </c>
      <c r="M149" s="237" t="n">
        <f aca="false">SUM(M142:M148)</f>
        <v>34876685</v>
      </c>
      <c r="N149" s="217" t="n">
        <f aca="false">L149/M149*100</f>
        <v>115.298268743145</v>
      </c>
      <c r="O149" s="216" t="n">
        <f aca="false">SUM(O142:O148)</f>
        <v>3614</v>
      </c>
      <c r="P149" s="237" t="n">
        <f aca="false">R149/O149</f>
        <v>127.012174875484</v>
      </c>
      <c r="Q149" s="216" t="n">
        <f aca="false">SUM(Q142:Q148)</f>
        <v>3326</v>
      </c>
      <c r="R149" s="232" t="n">
        <f aca="false">SUM(R142:R148)</f>
        <v>459022</v>
      </c>
    </row>
    <row r="150" customFormat="false" ht="15" hidden="false" customHeight="false" outlineLevel="0" collapsed="false">
      <c r="A150" s="268" t="s">
        <v>146</v>
      </c>
      <c r="B150" s="268" t="s">
        <v>78</v>
      </c>
      <c r="C150" s="269" t="n">
        <f aca="false">C139+C149</f>
        <v>85499497</v>
      </c>
      <c r="D150" s="269" t="n">
        <f aca="false">D139+D149</f>
        <v>76058165</v>
      </c>
      <c r="E150" s="240" t="n">
        <f aca="false">C150/D150*100</f>
        <v>112.413305001508</v>
      </c>
      <c r="F150" s="269" t="n">
        <f aca="false">F139+F149</f>
        <v>28468769</v>
      </c>
      <c r="G150" s="269" t="n">
        <f aca="false">G139+G149</f>
        <v>27211218</v>
      </c>
      <c r="H150" s="240" t="n">
        <f aca="false">F150/G150*100</f>
        <v>104.621443259173</v>
      </c>
      <c r="I150" s="269" t="n">
        <f aca="false">I139+I149</f>
        <v>84259061</v>
      </c>
      <c r="J150" s="269" t="n">
        <f aca="false">J139+J149</f>
        <v>72728723</v>
      </c>
      <c r="K150" s="240" t="n">
        <f aca="false">I150/J150*100</f>
        <v>115.853898603444</v>
      </c>
      <c r="L150" s="269" t="n">
        <f aca="false">L139+L149</f>
        <v>68402876</v>
      </c>
      <c r="M150" s="269" t="n">
        <f aca="false">M139+M149</f>
        <v>57273406</v>
      </c>
      <c r="N150" s="240" t="n">
        <f aca="false">L150/M150*100</f>
        <v>119.43217764978</v>
      </c>
      <c r="O150" s="269" t="n">
        <f aca="false">O139+O149</f>
        <v>9738</v>
      </c>
      <c r="P150" s="240" t="n">
        <f aca="false">R150/O150</f>
        <v>154.157937974944</v>
      </c>
      <c r="Q150" s="269" t="n">
        <f aca="false">Q139+Q149</f>
        <v>9436</v>
      </c>
      <c r="R150" s="269" t="n">
        <f aca="false">R139+R149</f>
        <v>1501190</v>
      </c>
    </row>
    <row r="151" customFormat="false" ht="15" hidden="false" customHeight="false" outlineLevel="0" collapsed="false">
      <c r="A151" s="263"/>
      <c r="B151" s="263"/>
      <c r="C151" s="264"/>
      <c r="D151" s="264"/>
      <c r="E151" s="265"/>
      <c r="F151" s="266"/>
      <c r="G151" s="266"/>
      <c r="H151" s="265"/>
      <c r="I151" s="266"/>
      <c r="J151" s="266"/>
      <c r="K151" s="265"/>
      <c r="L151" s="266"/>
      <c r="M151" s="266"/>
      <c r="N151" s="265"/>
      <c r="O151" s="266"/>
      <c r="P151" s="264"/>
      <c r="Q151" s="266"/>
      <c r="R151" s="267"/>
    </row>
    <row r="152" customFormat="false" ht="15" hidden="false" customHeight="false" outlineLevel="0" collapsed="false">
      <c r="A152" s="179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189"/>
    </row>
    <row r="153" customFormat="false" ht="15" hidden="false" customHeight="false" outlineLevel="0" collapsed="false">
      <c r="A153" s="270"/>
      <c r="B153" s="270" t="s">
        <v>147</v>
      </c>
      <c r="C153" s="195" t="n">
        <v>3</v>
      </c>
      <c r="D153" s="195" t="n">
        <v>4</v>
      </c>
      <c r="E153" s="196" t="n">
        <v>5</v>
      </c>
      <c r="F153" s="195" t="n">
        <v>6</v>
      </c>
      <c r="G153" s="195" t="n">
        <v>7</v>
      </c>
      <c r="H153" s="195" t="n">
        <v>8</v>
      </c>
      <c r="I153" s="195" t="n">
        <v>9</v>
      </c>
      <c r="J153" s="195" t="n">
        <v>10</v>
      </c>
      <c r="K153" s="195" t="n">
        <v>11</v>
      </c>
      <c r="L153" s="195" t="n">
        <v>12</v>
      </c>
      <c r="M153" s="195" t="n">
        <v>13</v>
      </c>
      <c r="N153" s="195" t="n">
        <v>14</v>
      </c>
      <c r="O153" s="195" t="n">
        <v>15</v>
      </c>
      <c r="P153" s="196" t="n">
        <v>16</v>
      </c>
      <c r="Q153" s="195" t="n">
        <v>15</v>
      </c>
      <c r="R153" s="271"/>
    </row>
    <row r="154" customFormat="false" ht="15" hidden="false" customHeight="false" outlineLevel="0" collapsed="false">
      <c r="A154" s="262" t="n">
        <v>1</v>
      </c>
      <c r="B154" s="272" t="s">
        <v>148</v>
      </c>
      <c r="C154" s="262" t="n">
        <v>5531</v>
      </c>
      <c r="D154" s="262" t="n">
        <v>8152</v>
      </c>
      <c r="E154" s="214" t="n">
        <f aca="false">C154/D154*100</f>
        <v>67.8483807654563</v>
      </c>
      <c r="F154" s="192" t="n">
        <v>2970</v>
      </c>
      <c r="G154" s="262" t="n">
        <v>5819</v>
      </c>
      <c r="H154" s="214" t="n">
        <f aca="false">F154/G154*100</f>
        <v>51.0396975425331</v>
      </c>
      <c r="I154" s="262" t="n">
        <v>5531</v>
      </c>
      <c r="J154" s="262" t="n">
        <v>8152</v>
      </c>
      <c r="K154" s="214" t="n">
        <f aca="false">I154/J154*100</f>
        <v>67.8483807654563</v>
      </c>
      <c r="L154" s="262" t="n">
        <v>0</v>
      </c>
      <c r="M154" s="262" t="n">
        <v>0</v>
      </c>
      <c r="N154" s="214" t="n">
        <v>0</v>
      </c>
      <c r="O154" s="262" t="n">
        <v>49</v>
      </c>
      <c r="P154" s="236" t="n">
        <v>93</v>
      </c>
      <c r="Q154" s="262" t="n">
        <v>48</v>
      </c>
      <c r="R154" s="202" t="n">
        <f aca="false">O154*P154</f>
        <v>4557</v>
      </c>
    </row>
    <row r="155" customFormat="false" ht="15" hidden="false" customHeight="false" outlineLevel="0" collapsed="false">
      <c r="A155" s="262" t="n">
        <v>2</v>
      </c>
      <c r="B155" s="272" t="s">
        <v>149</v>
      </c>
      <c r="C155" s="208" t="n">
        <v>2564401</v>
      </c>
      <c r="D155" s="208" t="n">
        <v>1364586</v>
      </c>
      <c r="E155" s="214" t="n">
        <f aca="false">C155/D155*100</f>
        <v>187.925202222506</v>
      </c>
      <c r="F155" s="208" t="n">
        <v>950802</v>
      </c>
      <c r="G155" s="208" t="n">
        <v>404335</v>
      </c>
      <c r="H155" s="214" t="n">
        <f aca="false">F155/G155*100</f>
        <v>235.152039769003</v>
      </c>
      <c r="I155" s="208" t="n">
        <v>1964572</v>
      </c>
      <c r="J155" s="208" t="n">
        <v>1529747</v>
      </c>
      <c r="K155" s="214" t="n">
        <f aca="false">I155/J155*100</f>
        <v>128.424634923291</v>
      </c>
      <c r="L155" s="208" t="n">
        <v>980739</v>
      </c>
      <c r="M155" s="208" t="n">
        <v>740307</v>
      </c>
      <c r="N155" s="214" t="n">
        <f aca="false">L155/M155*100</f>
        <v>132.477337104742</v>
      </c>
      <c r="O155" s="262" t="n">
        <v>550</v>
      </c>
      <c r="P155" s="236" t="n">
        <v>110</v>
      </c>
      <c r="Q155" s="262" t="n">
        <v>551</v>
      </c>
      <c r="R155" s="202" t="n">
        <f aca="false">O155*P155</f>
        <v>60500</v>
      </c>
    </row>
    <row r="156" customFormat="false" ht="15" hidden="false" customHeight="false" outlineLevel="0" collapsed="false">
      <c r="A156" s="262" t="n">
        <v>3</v>
      </c>
      <c r="B156" s="272" t="s">
        <v>150</v>
      </c>
      <c r="C156" s="200" t="n">
        <v>0</v>
      </c>
      <c r="D156" s="200" t="n">
        <v>0</v>
      </c>
      <c r="E156" s="214" t="n">
        <v>0</v>
      </c>
      <c r="F156" s="200" t="n">
        <v>0</v>
      </c>
      <c r="G156" s="200" t="n">
        <v>0</v>
      </c>
      <c r="H156" s="214" t="n">
        <v>0</v>
      </c>
      <c r="I156" s="200" t="n">
        <v>0</v>
      </c>
      <c r="J156" s="200" t="n">
        <v>0</v>
      </c>
      <c r="K156" s="214" t="n">
        <v>0</v>
      </c>
      <c r="L156" s="200" t="n">
        <v>0</v>
      </c>
      <c r="M156" s="200" t="n">
        <v>0</v>
      </c>
      <c r="N156" s="214" t="n">
        <v>0</v>
      </c>
      <c r="O156" s="203" t="n">
        <v>0</v>
      </c>
      <c r="P156" s="204" t="n">
        <v>0</v>
      </c>
      <c r="Q156" s="203" t="n">
        <v>0</v>
      </c>
      <c r="R156" s="202" t="n">
        <f aca="false">O156*P156</f>
        <v>0</v>
      </c>
    </row>
    <row r="157" customFormat="false" ht="15" hidden="false" customHeight="false" outlineLevel="0" collapsed="false">
      <c r="A157" s="262" t="n">
        <v>4</v>
      </c>
      <c r="B157" s="272" t="s">
        <v>151</v>
      </c>
      <c r="C157" s="262" t="n">
        <v>554554</v>
      </c>
      <c r="D157" s="262" t="n">
        <v>649139</v>
      </c>
      <c r="E157" s="214" t="n">
        <f aca="false">C157/D157*100</f>
        <v>85.4291607806649</v>
      </c>
      <c r="F157" s="262" t="n">
        <v>119220</v>
      </c>
      <c r="G157" s="273" t="n">
        <v>378897</v>
      </c>
      <c r="H157" s="214" t="n">
        <f aca="false">F157/G157*100</f>
        <v>31.465015558318</v>
      </c>
      <c r="I157" s="273" t="n">
        <v>534055</v>
      </c>
      <c r="J157" s="273" t="n">
        <v>635793</v>
      </c>
      <c r="K157" s="214" t="n">
        <f aca="false">I157/J157*100</f>
        <v>83.998251003078</v>
      </c>
      <c r="L157" s="273" t="n">
        <v>357782</v>
      </c>
      <c r="M157" s="273" t="n">
        <v>302960</v>
      </c>
      <c r="N157" s="214" t="n">
        <f aca="false">L157/M157*100</f>
        <v>118.09545814629</v>
      </c>
      <c r="O157" s="262" t="n">
        <v>310</v>
      </c>
      <c r="P157" s="236" t="n">
        <v>80</v>
      </c>
      <c r="Q157" s="262" t="n">
        <v>296</v>
      </c>
      <c r="R157" s="202" t="n">
        <f aca="false">O157*P157</f>
        <v>24800</v>
      </c>
    </row>
    <row r="158" customFormat="false" ht="15" hidden="false" customHeight="false" outlineLevel="0" collapsed="false">
      <c r="A158" s="262" t="n">
        <v>5</v>
      </c>
      <c r="B158" s="272" t="s">
        <v>152</v>
      </c>
      <c r="C158" s="262" t="n">
        <v>0</v>
      </c>
      <c r="D158" s="262" t="n">
        <v>0</v>
      </c>
      <c r="E158" s="214" t="n">
        <v>0</v>
      </c>
      <c r="F158" s="262" t="n">
        <v>0</v>
      </c>
      <c r="G158" s="262" t="n">
        <v>0</v>
      </c>
      <c r="H158" s="214" t="n">
        <v>0</v>
      </c>
      <c r="I158" s="262" t="n">
        <v>0</v>
      </c>
      <c r="J158" s="262" t="n">
        <v>0</v>
      </c>
      <c r="K158" s="214" t="n">
        <v>0</v>
      </c>
      <c r="L158" s="262" t="n">
        <v>0</v>
      </c>
      <c r="M158" s="262" t="n">
        <v>0</v>
      </c>
      <c r="N158" s="214" t="n">
        <v>0</v>
      </c>
      <c r="O158" s="262" t="n">
        <v>0</v>
      </c>
      <c r="P158" s="236" t="n">
        <v>0</v>
      </c>
      <c r="Q158" s="262" t="n">
        <v>0</v>
      </c>
      <c r="R158" s="202" t="n">
        <f aca="false">O158*P158</f>
        <v>0</v>
      </c>
    </row>
    <row r="159" customFormat="false" ht="15" hidden="false" customHeight="false" outlineLevel="0" collapsed="false">
      <c r="A159" s="215" t="s">
        <v>153</v>
      </c>
      <c r="B159" s="215" t="s">
        <v>154</v>
      </c>
      <c r="C159" s="216" t="n">
        <f aca="false">SUM(C154:C158)</f>
        <v>3124486</v>
      </c>
      <c r="D159" s="216" t="n">
        <f aca="false">SUM(D154:D158)</f>
        <v>2021877</v>
      </c>
      <c r="E159" s="217" t="n">
        <f aca="false">C159/D159*100</f>
        <v>154.53393060013</v>
      </c>
      <c r="F159" s="216" t="n">
        <f aca="false">SUM(F154:F158)</f>
        <v>1072992</v>
      </c>
      <c r="G159" s="216" t="n">
        <f aca="false">SUM(G154:G158)</f>
        <v>789051</v>
      </c>
      <c r="H159" s="217" t="n">
        <f aca="false">F159/G159*100</f>
        <v>135.985126436694</v>
      </c>
      <c r="I159" s="216" t="n">
        <f aca="false">SUM(I154:I158)</f>
        <v>2504158</v>
      </c>
      <c r="J159" s="216" t="n">
        <f aca="false">SUM(J154:J158)</f>
        <v>2173692</v>
      </c>
      <c r="K159" s="217" t="n">
        <f aca="false">I159/J159*100</f>
        <v>115.202981839193</v>
      </c>
      <c r="L159" s="216" t="n">
        <f aca="false">SUM(L154:L158)</f>
        <v>1338521</v>
      </c>
      <c r="M159" s="216" t="n">
        <f aca="false">SUM(M154:M158)</f>
        <v>1043267</v>
      </c>
      <c r="N159" s="217" t="n">
        <f aca="false">L159/M159*100</f>
        <v>128.300904754008</v>
      </c>
      <c r="O159" s="216" t="n">
        <f aca="false">SUM(O154:O158)</f>
        <v>909</v>
      </c>
      <c r="P159" s="217" t="n">
        <f aca="false">R159/O159</f>
        <v>98.8525852585259</v>
      </c>
      <c r="Q159" s="216" t="n">
        <f aca="false">SUM(Q154:Q158)</f>
        <v>895</v>
      </c>
      <c r="R159" s="232" t="n">
        <f aca="false">SUM(R154:R158)</f>
        <v>89857</v>
      </c>
    </row>
    <row r="160" customFormat="false" ht="15" hidden="false" customHeight="false" outlineLevel="0" collapsed="false">
      <c r="A160" s="274"/>
      <c r="B160" s="256"/>
      <c r="C160" s="275"/>
      <c r="D160" s="275"/>
      <c r="E160" s="276"/>
      <c r="F160" s="275"/>
      <c r="G160" s="275"/>
      <c r="H160" s="276"/>
      <c r="I160" s="275"/>
      <c r="J160" s="275"/>
      <c r="K160" s="276"/>
      <c r="L160" s="275"/>
      <c r="M160" s="277"/>
      <c r="N160" s="278"/>
      <c r="O160" s="277"/>
      <c r="P160" s="275"/>
      <c r="Q160" s="277"/>
      <c r="R160" s="279"/>
    </row>
    <row r="161" customFormat="false" ht="15" hidden="false" customHeight="false" outlineLevel="0" collapsed="false">
      <c r="A161" s="280" t="s">
        <v>22</v>
      </c>
      <c r="B161" s="280"/>
      <c r="C161" s="195" t="n">
        <v>3</v>
      </c>
      <c r="D161" s="195" t="n">
        <v>4</v>
      </c>
      <c r="E161" s="196" t="n">
        <v>5</v>
      </c>
      <c r="F161" s="195" t="n">
        <v>6</v>
      </c>
      <c r="G161" s="195" t="n">
        <v>7</v>
      </c>
      <c r="H161" s="195" t="n">
        <v>8</v>
      </c>
      <c r="I161" s="195" t="n">
        <v>9</v>
      </c>
      <c r="J161" s="195" t="n">
        <v>10</v>
      </c>
      <c r="K161" s="195" t="n">
        <v>11</v>
      </c>
      <c r="L161" s="195" t="n">
        <v>12</v>
      </c>
      <c r="M161" s="195" t="n">
        <v>13</v>
      </c>
      <c r="N161" s="195" t="n">
        <v>14</v>
      </c>
      <c r="O161" s="195" t="n">
        <v>15</v>
      </c>
      <c r="P161" s="196" t="n">
        <v>16</v>
      </c>
      <c r="Q161" s="195" t="n">
        <v>15</v>
      </c>
      <c r="R161" s="202"/>
    </row>
    <row r="162" customFormat="false" ht="15" hidden="false" customHeight="false" outlineLevel="0" collapsed="false">
      <c r="A162" s="203" t="n">
        <v>1</v>
      </c>
      <c r="B162" s="243" t="s">
        <v>155</v>
      </c>
      <c r="C162" s="203" t="n">
        <v>301664</v>
      </c>
      <c r="D162" s="203" t="n">
        <v>185171</v>
      </c>
      <c r="E162" s="214" t="n">
        <f aca="false">C162/D162*100</f>
        <v>162.911038985586</v>
      </c>
      <c r="F162" s="203" t="n">
        <v>103834</v>
      </c>
      <c r="G162" s="203" t="n">
        <v>46488</v>
      </c>
      <c r="H162" s="214" t="n">
        <f aca="false">F162/G162*100</f>
        <v>223.356565135089</v>
      </c>
      <c r="I162" s="203" t="n">
        <v>293422</v>
      </c>
      <c r="J162" s="203" t="n">
        <v>171740</v>
      </c>
      <c r="K162" s="214" t="n">
        <f aca="false">I162/J162*100</f>
        <v>170.852451379993</v>
      </c>
      <c r="L162" s="203" t="n">
        <f aca="false">78069+37792</f>
        <v>115861</v>
      </c>
      <c r="M162" s="203" t="n">
        <f aca="false">60823+19384</f>
        <v>80207</v>
      </c>
      <c r="N162" s="214" t="n">
        <f aca="false">L162/M162*100</f>
        <v>144.452479210044</v>
      </c>
      <c r="O162" s="203" t="n">
        <v>60</v>
      </c>
      <c r="P162" s="203" t="n">
        <v>71</v>
      </c>
      <c r="Q162" s="203" t="n">
        <v>52</v>
      </c>
      <c r="R162" s="202" t="n">
        <f aca="false">O162*P162</f>
        <v>4260</v>
      </c>
    </row>
    <row r="163" customFormat="false" ht="15" hidden="false" customHeight="false" outlineLevel="0" collapsed="false">
      <c r="A163" s="203" t="n">
        <v>2</v>
      </c>
      <c r="B163" s="281" t="s">
        <v>156</v>
      </c>
      <c r="C163" s="203" t="n">
        <v>244264</v>
      </c>
      <c r="D163" s="203" t="n">
        <v>99663</v>
      </c>
      <c r="E163" s="214" t="n">
        <f aca="false">C163/D163*100</f>
        <v>245.089953142089</v>
      </c>
      <c r="F163" s="203" t="n">
        <v>75281</v>
      </c>
      <c r="G163" s="203" t="n">
        <v>25808</v>
      </c>
      <c r="H163" s="214" t="n">
        <f aca="false">F163/G163*100</f>
        <v>291.696373217607</v>
      </c>
      <c r="I163" s="203" t="n">
        <v>273892</v>
      </c>
      <c r="J163" s="203" t="n">
        <v>193381</v>
      </c>
      <c r="K163" s="214" t="n">
        <f aca="false">I163/J163*100</f>
        <v>141.633355913973</v>
      </c>
      <c r="L163" s="203" t="n">
        <v>0</v>
      </c>
      <c r="M163" s="203" t="n">
        <v>0</v>
      </c>
      <c r="N163" s="214" t="n">
        <v>0</v>
      </c>
      <c r="O163" s="203" t="n">
        <v>29</v>
      </c>
      <c r="P163" s="203" t="n">
        <v>85</v>
      </c>
      <c r="Q163" s="203" t="n">
        <v>29</v>
      </c>
      <c r="R163" s="202" t="n">
        <f aca="false">O163*P163</f>
        <v>2465</v>
      </c>
    </row>
    <row r="164" customFormat="false" ht="15" hidden="false" customHeight="false" outlineLevel="0" collapsed="false">
      <c r="A164" s="203" t="n">
        <v>3</v>
      </c>
      <c r="B164" s="281" t="s">
        <v>157</v>
      </c>
      <c r="C164" s="203" t="n">
        <v>1024003</v>
      </c>
      <c r="D164" s="203" t="n">
        <v>502274</v>
      </c>
      <c r="E164" s="214" t="n">
        <f aca="false">C164/D164*100</f>
        <v>203.873383850249</v>
      </c>
      <c r="F164" s="203" t="n">
        <v>238592</v>
      </c>
      <c r="G164" s="203" t="n">
        <v>153191</v>
      </c>
      <c r="H164" s="214" t="n">
        <f aca="false">F164/G164*100</f>
        <v>155.748053084058</v>
      </c>
      <c r="I164" s="203" t="n">
        <v>588114</v>
      </c>
      <c r="J164" s="203" t="n">
        <v>434859</v>
      </c>
      <c r="K164" s="214" t="n">
        <f aca="false">I164/J164*100</f>
        <v>135.242457900147</v>
      </c>
      <c r="L164" s="203" t="n">
        <v>0</v>
      </c>
      <c r="M164" s="203" t="n">
        <v>0</v>
      </c>
      <c r="N164" s="214" t="n">
        <v>0</v>
      </c>
      <c r="O164" s="203" t="n">
        <v>474</v>
      </c>
      <c r="P164" s="203" t="n">
        <v>100</v>
      </c>
      <c r="Q164" s="203" t="n">
        <v>508</v>
      </c>
      <c r="R164" s="202" t="n">
        <f aca="false">O164*P164</f>
        <v>47400</v>
      </c>
    </row>
    <row r="165" customFormat="false" ht="15" hidden="false" customHeight="false" outlineLevel="0" collapsed="false">
      <c r="A165" s="215" t="s">
        <v>158</v>
      </c>
      <c r="B165" s="215" t="s">
        <v>119</v>
      </c>
      <c r="C165" s="216" t="n">
        <f aca="false">SUM(C162:C164)</f>
        <v>1569931</v>
      </c>
      <c r="D165" s="216" t="n">
        <f aca="false">SUM(D162:D164)</f>
        <v>787108</v>
      </c>
      <c r="E165" s="217" t="n">
        <f aca="false">C165/D165*100</f>
        <v>199.45560202666</v>
      </c>
      <c r="F165" s="216" t="n">
        <f aca="false">SUM(F162:F164)</f>
        <v>417707</v>
      </c>
      <c r="G165" s="216" t="n">
        <f aca="false">SUM(G162:G164)</f>
        <v>225487</v>
      </c>
      <c r="H165" s="217" t="n">
        <f aca="false">F165/G165*100</f>
        <v>185.246599582238</v>
      </c>
      <c r="I165" s="216" t="n">
        <f aca="false">SUM(I162:I164)</f>
        <v>1155428</v>
      </c>
      <c r="J165" s="216" t="n">
        <f aca="false">SUM(J162:J164)</f>
        <v>799980</v>
      </c>
      <c r="K165" s="217" t="n">
        <f aca="false">I165/J165*100</f>
        <v>144.43211080277</v>
      </c>
      <c r="L165" s="216" t="n">
        <f aca="false">SUM(L162:L164)</f>
        <v>115861</v>
      </c>
      <c r="M165" s="216" t="n">
        <f aca="false">SUM(M162:M164)</f>
        <v>80207</v>
      </c>
      <c r="N165" s="217" t="n">
        <v>0</v>
      </c>
      <c r="O165" s="216" t="n">
        <f aca="false">SUM(O162:O164)</f>
        <v>563</v>
      </c>
      <c r="P165" s="237" t="n">
        <f aca="false">R165/O165</f>
        <v>96.1367673179396</v>
      </c>
      <c r="Q165" s="216" t="n">
        <f aca="false">SUM(Q162:Q164)</f>
        <v>589</v>
      </c>
      <c r="R165" s="232" t="n">
        <f aca="false">SUM(R162:R164)</f>
        <v>54125</v>
      </c>
    </row>
    <row r="166" customFormat="false" ht="15" hidden="false" customHeight="false" outlineLevel="0" collapsed="false">
      <c r="A166" s="274"/>
      <c r="B166" s="256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5"/>
      <c r="P166" s="275"/>
      <c r="Q166" s="275"/>
      <c r="R166" s="279"/>
    </row>
    <row r="167" customFormat="false" ht="15" hidden="false" customHeight="false" outlineLevel="0" collapsed="false">
      <c r="A167" s="195" t="s">
        <v>159</v>
      </c>
      <c r="B167" s="195"/>
      <c r="C167" s="195" t="n">
        <v>3</v>
      </c>
      <c r="D167" s="195" t="n">
        <v>4</v>
      </c>
      <c r="E167" s="196" t="n">
        <v>5</v>
      </c>
      <c r="F167" s="195" t="n">
        <v>6</v>
      </c>
      <c r="G167" s="195" t="n">
        <v>7</v>
      </c>
      <c r="H167" s="195" t="n">
        <v>8</v>
      </c>
      <c r="I167" s="195" t="n">
        <v>9</v>
      </c>
      <c r="J167" s="195" t="n">
        <v>10</v>
      </c>
      <c r="K167" s="195" t="n">
        <v>11</v>
      </c>
      <c r="L167" s="195" t="n">
        <v>12</v>
      </c>
      <c r="M167" s="184" t="n">
        <v>13</v>
      </c>
      <c r="N167" s="184" t="n">
        <v>14</v>
      </c>
      <c r="O167" s="184" t="n">
        <v>15</v>
      </c>
      <c r="P167" s="196" t="n">
        <v>16</v>
      </c>
      <c r="Q167" s="184" t="n">
        <v>15</v>
      </c>
      <c r="R167" s="179"/>
    </row>
    <row r="168" customFormat="false" ht="15" hidden="false" customHeight="false" outlineLevel="0" collapsed="false">
      <c r="A168" s="274" t="n">
        <v>1</v>
      </c>
      <c r="B168" s="282" t="s">
        <v>160</v>
      </c>
      <c r="C168" s="262" t="n">
        <v>807</v>
      </c>
      <c r="D168" s="262" t="n">
        <v>0</v>
      </c>
      <c r="E168" s="283" t="n">
        <v>0</v>
      </c>
      <c r="F168" s="262" t="n">
        <v>372</v>
      </c>
      <c r="G168" s="262" t="n">
        <v>0</v>
      </c>
      <c r="H168" s="283" t="n">
        <v>0</v>
      </c>
      <c r="I168" s="262" t="n">
        <v>15157</v>
      </c>
      <c r="J168" s="262" t="n">
        <v>12474</v>
      </c>
      <c r="K168" s="283" t="n">
        <f aca="false">I168/J168*100</f>
        <v>121.508738175405</v>
      </c>
      <c r="L168" s="262" t="n">
        <v>0</v>
      </c>
      <c r="M168" s="262" t="n">
        <v>0</v>
      </c>
      <c r="N168" s="262" t="n">
        <v>0</v>
      </c>
      <c r="O168" s="262" t="n">
        <v>78</v>
      </c>
      <c r="P168" s="262" t="n">
        <v>125</v>
      </c>
      <c r="Q168" s="262" t="n">
        <v>73</v>
      </c>
      <c r="R168" s="202" t="n">
        <f aca="false">O168*P168</f>
        <v>9750</v>
      </c>
    </row>
    <row r="169" s="211" customFormat="true" ht="15" hidden="false" customHeight="false" outlineLevel="0" collapsed="false">
      <c r="A169" s="284" t="n">
        <v>2</v>
      </c>
      <c r="B169" s="282" t="s">
        <v>161</v>
      </c>
      <c r="C169" s="262" t="n">
        <v>406925</v>
      </c>
      <c r="D169" s="262" t="n">
        <v>308751</v>
      </c>
      <c r="E169" s="283" t="n">
        <f aca="false">C169/D169*100</f>
        <v>131.797143976862</v>
      </c>
      <c r="F169" s="262" t="n">
        <v>346404</v>
      </c>
      <c r="G169" s="262" t="n">
        <v>43004</v>
      </c>
      <c r="H169" s="283" t="n">
        <f aca="false">F169/G169*100</f>
        <v>805.515765975258</v>
      </c>
      <c r="I169" s="262" t="n">
        <v>570705</v>
      </c>
      <c r="J169" s="262" t="n">
        <v>308751</v>
      </c>
      <c r="K169" s="283" t="n">
        <f aca="false">I169/J169*100</f>
        <v>184.843126014167</v>
      </c>
      <c r="L169" s="262" t="n">
        <f aca="false">469694+107411</f>
        <v>577105</v>
      </c>
      <c r="M169" s="262" t="n">
        <f aca="false">132179+176572</f>
        <v>308751</v>
      </c>
      <c r="N169" s="262" t="n">
        <f aca="false">L169/M169*100</f>
        <v>186.915993794352</v>
      </c>
      <c r="O169" s="262" t="n">
        <v>128</v>
      </c>
      <c r="P169" s="262" t="n">
        <v>155</v>
      </c>
      <c r="Q169" s="262" t="n">
        <v>127</v>
      </c>
      <c r="R169" s="202" t="n">
        <f aca="false">O169*P169</f>
        <v>19840</v>
      </c>
    </row>
    <row r="170" customFormat="false" ht="15" hidden="false" customHeight="false" outlineLevel="0" collapsed="false">
      <c r="A170" s="274" t="n">
        <v>3</v>
      </c>
      <c r="B170" s="282" t="s">
        <v>162</v>
      </c>
      <c r="C170" s="200" t="n">
        <v>0</v>
      </c>
      <c r="D170" s="200" t="n">
        <v>0</v>
      </c>
      <c r="E170" s="214" t="n">
        <v>0</v>
      </c>
      <c r="F170" s="200" t="n">
        <v>0</v>
      </c>
      <c r="G170" s="200" t="n">
        <v>0</v>
      </c>
      <c r="H170" s="214" t="n">
        <v>0</v>
      </c>
      <c r="I170" s="200" t="n">
        <v>0</v>
      </c>
      <c r="J170" s="200" t="n">
        <v>0</v>
      </c>
      <c r="K170" s="214" t="n">
        <v>0</v>
      </c>
      <c r="L170" s="200" t="n">
        <v>0</v>
      </c>
      <c r="M170" s="200" t="n">
        <v>0</v>
      </c>
      <c r="N170" s="214" t="n">
        <v>0</v>
      </c>
      <c r="O170" s="203" t="n">
        <v>0</v>
      </c>
      <c r="P170" s="204" t="n">
        <v>0</v>
      </c>
      <c r="Q170" s="203" t="n">
        <v>0</v>
      </c>
      <c r="R170" s="202" t="n">
        <f aca="false">O170*P170</f>
        <v>0</v>
      </c>
    </row>
    <row r="171" customFormat="false" ht="15" hidden="false" customHeight="false" outlineLevel="0" collapsed="false">
      <c r="A171" s="284" t="n">
        <v>4</v>
      </c>
      <c r="B171" s="282" t="s">
        <v>163</v>
      </c>
      <c r="C171" s="262" t="n">
        <v>1535674</v>
      </c>
      <c r="D171" s="262" t="n">
        <v>637139</v>
      </c>
      <c r="E171" s="285" t="n">
        <f aca="false">C171/D171*100</f>
        <v>241.02652639377</v>
      </c>
      <c r="F171" s="262" t="n">
        <v>686015</v>
      </c>
      <c r="G171" s="262" t="n">
        <v>373887</v>
      </c>
      <c r="H171" s="285" t="n">
        <f aca="false">F171/G171*100</f>
        <v>183.481907635195</v>
      </c>
      <c r="I171" s="262" t="n">
        <v>1535674</v>
      </c>
      <c r="J171" s="262" t="n">
        <v>637139</v>
      </c>
      <c r="K171" s="283" t="n">
        <f aca="false">I171/J171*100</f>
        <v>241.02652639377</v>
      </c>
      <c r="L171" s="262" t="n">
        <v>1535674</v>
      </c>
      <c r="M171" s="262" t="n">
        <v>637139</v>
      </c>
      <c r="N171" s="262" t="n">
        <f aca="false">L171/M171*100</f>
        <v>241.02652639377</v>
      </c>
      <c r="O171" s="262" t="n">
        <v>91</v>
      </c>
      <c r="P171" s="286" t="n">
        <v>165</v>
      </c>
      <c r="Q171" s="262" t="n">
        <v>91</v>
      </c>
      <c r="R171" s="202" t="n">
        <f aca="false">O171*P171</f>
        <v>15015</v>
      </c>
    </row>
    <row r="172" customFormat="false" ht="15" hidden="false" customHeight="false" outlineLevel="0" collapsed="false">
      <c r="A172" s="274" t="n">
        <v>5</v>
      </c>
      <c r="B172" s="282" t="s">
        <v>164</v>
      </c>
      <c r="C172" s="262" t="n">
        <v>236149</v>
      </c>
      <c r="D172" s="262" t="n">
        <v>162985</v>
      </c>
      <c r="E172" s="285" t="n">
        <f aca="false">C172/D172*100</f>
        <v>144.890020554039</v>
      </c>
      <c r="F172" s="262" t="n">
        <v>163352</v>
      </c>
      <c r="G172" s="262" t="n">
        <v>70883</v>
      </c>
      <c r="H172" s="285" t="n">
        <f aca="false">F172/G172*100</f>
        <v>230.453000014108</v>
      </c>
      <c r="I172" s="262" t="n">
        <v>176638</v>
      </c>
      <c r="J172" s="262" t="n">
        <v>358920</v>
      </c>
      <c r="K172" s="283" t="n">
        <f aca="false">I172/J172*100</f>
        <v>49.2137523682158</v>
      </c>
      <c r="L172" s="262" t="n">
        <v>207199</v>
      </c>
      <c r="M172" s="262" t="n">
        <v>362999</v>
      </c>
      <c r="N172" s="262" t="n">
        <f aca="false">L172/M172*100</f>
        <v>57.0797715696187</v>
      </c>
      <c r="O172" s="262" t="n">
        <v>41</v>
      </c>
      <c r="P172" s="262" t="n">
        <v>73</v>
      </c>
      <c r="Q172" s="262" t="n">
        <v>37</v>
      </c>
      <c r="R172" s="202" t="n">
        <f aca="false">O172*P172</f>
        <v>2993</v>
      </c>
    </row>
    <row r="173" customFormat="false" ht="15" hidden="false" customHeight="false" outlineLevel="0" collapsed="false">
      <c r="A173" s="284" t="n">
        <v>6</v>
      </c>
      <c r="B173" s="282" t="s">
        <v>165</v>
      </c>
      <c r="C173" s="200" t="n">
        <v>0</v>
      </c>
      <c r="D173" s="200" t="n">
        <v>0</v>
      </c>
      <c r="E173" s="214" t="n">
        <v>0</v>
      </c>
      <c r="F173" s="200" t="n">
        <v>0</v>
      </c>
      <c r="G173" s="200" t="n">
        <v>0</v>
      </c>
      <c r="H173" s="214" t="n">
        <v>0</v>
      </c>
      <c r="I173" s="200" t="n">
        <v>0</v>
      </c>
      <c r="J173" s="200" t="n">
        <v>0</v>
      </c>
      <c r="K173" s="214" t="n">
        <v>0</v>
      </c>
      <c r="L173" s="200" t="n">
        <v>0</v>
      </c>
      <c r="M173" s="200" t="n">
        <v>0</v>
      </c>
      <c r="N173" s="214" t="n">
        <v>0</v>
      </c>
      <c r="O173" s="203" t="n">
        <v>0</v>
      </c>
      <c r="P173" s="204" t="n">
        <v>0</v>
      </c>
      <c r="Q173" s="203" t="n">
        <v>0</v>
      </c>
      <c r="R173" s="202" t="n">
        <f aca="false">O173*P173</f>
        <v>0</v>
      </c>
    </row>
    <row r="174" customFormat="false" ht="15" hidden="false" customHeight="false" outlineLevel="0" collapsed="false">
      <c r="A174" s="274" t="n">
        <v>7</v>
      </c>
      <c r="B174" s="282" t="s">
        <v>166</v>
      </c>
      <c r="C174" s="262" t="n">
        <v>554282</v>
      </c>
      <c r="D174" s="262" t="n">
        <v>203488</v>
      </c>
      <c r="E174" s="285" t="n">
        <f aca="false">C174/D174*100</f>
        <v>272.390509514075</v>
      </c>
      <c r="F174" s="262" t="n">
        <v>925436</v>
      </c>
      <c r="G174" s="262" t="n">
        <v>628902</v>
      </c>
      <c r="H174" s="214" t="n">
        <f aca="false">F174/G174*100</f>
        <v>147.151066461865</v>
      </c>
      <c r="I174" s="262" t="n">
        <v>736053</v>
      </c>
      <c r="J174" s="262" t="n">
        <v>639237</v>
      </c>
      <c r="K174" s="283" t="n">
        <f aca="false">I174/J174*100</f>
        <v>115.145556342953</v>
      </c>
      <c r="L174" s="262" t="n">
        <v>736053</v>
      </c>
      <c r="M174" s="262" t="n">
        <v>639237</v>
      </c>
      <c r="N174" s="262" t="n">
        <f aca="false">L174/M174*100</f>
        <v>115.145556342953</v>
      </c>
      <c r="O174" s="262" t="n">
        <v>26</v>
      </c>
      <c r="P174" s="262" t="n">
        <v>94</v>
      </c>
      <c r="Q174" s="262" t="n">
        <v>93</v>
      </c>
      <c r="R174" s="202" t="n">
        <f aca="false">O174*P174</f>
        <v>2444</v>
      </c>
    </row>
    <row r="175" customFormat="false" ht="15" hidden="false" customHeight="false" outlineLevel="0" collapsed="false">
      <c r="A175" s="284" t="n">
        <v>8</v>
      </c>
      <c r="B175" s="282" t="s">
        <v>167</v>
      </c>
      <c r="C175" s="262" t="n">
        <v>16737</v>
      </c>
      <c r="D175" s="262" t="n">
        <v>181089</v>
      </c>
      <c r="E175" s="285" t="n">
        <f aca="false">C175/D175*100</f>
        <v>9.24241671222438</v>
      </c>
      <c r="F175" s="262" t="n">
        <v>16737</v>
      </c>
      <c r="G175" s="262" t="n">
        <v>105998</v>
      </c>
      <c r="H175" s="214" t="n">
        <f aca="false">F175/G175*100</f>
        <v>15.789920564539</v>
      </c>
      <c r="I175" s="262" t="n">
        <v>0</v>
      </c>
      <c r="J175" s="262" t="n">
        <v>181089</v>
      </c>
      <c r="K175" s="283" t="n">
        <f aca="false">I175/J175*100</f>
        <v>0</v>
      </c>
      <c r="L175" s="262" t="n">
        <v>0</v>
      </c>
      <c r="M175" s="262" t="n">
        <v>181089</v>
      </c>
      <c r="N175" s="262" t="n">
        <f aca="false">L175/M175*100</f>
        <v>0</v>
      </c>
      <c r="O175" s="236" t="n">
        <v>33</v>
      </c>
      <c r="P175" s="236" t="n">
        <v>153</v>
      </c>
      <c r="Q175" s="236" t="n">
        <v>3</v>
      </c>
      <c r="R175" s="202" t="n">
        <f aca="false">O175*P175</f>
        <v>5049</v>
      </c>
    </row>
    <row r="176" customFormat="false" ht="15" hidden="false" customHeight="false" outlineLevel="0" collapsed="false">
      <c r="A176" s="274" t="n">
        <v>9</v>
      </c>
      <c r="B176" s="282" t="s">
        <v>168</v>
      </c>
      <c r="C176" s="262" t="n">
        <v>0</v>
      </c>
      <c r="D176" s="262" t="n">
        <v>53258</v>
      </c>
      <c r="E176" s="285" t="n">
        <f aca="false">C176/D176*100</f>
        <v>0</v>
      </c>
      <c r="F176" s="262" t="n">
        <v>0</v>
      </c>
      <c r="G176" s="262" t="n">
        <v>52382</v>
      </c>
      <c r="H176" s="214" t="n">
        <f aca="false">F176/G176*100</f>
        <v>0</v>
      </c>
      <c r="I176" s="262" t="n">
        <v>0</v>
      </c>
      <c r="J176" s="262" t="n">
        <v>53268</v>
      </c>
      <c r="K176" s="283" t="n">
        <f aca="false">I176/J176*100</f>
        <v>0</v>
      </c>
      <c r="L176" s="262" t="n">
        <v>0</v>
      </c>
      <c r="M176" s="262" t="n">
        <v>53268</v>
      </c>
      <c r="N176" s="262" t="n">
        <f aca="false">L176/M176*100</f>
        <v>0</v>
      </c>
      <c r="O176" s="262" t="n">
        <v>2</v>
      </c>
      <c r="P176" s="262" t="n">
        <v>65</v>
      </c>
      <c r="Q176" s="262" t="n">
        <v>2</v>
      </c>
      <c r="R176" s="202" t="n">
        <f aca="false">O176*P176</f>
        <v>130</v>
      </c>
    </row>
    <row r="177" customFormat="false" ht="15" hidden="false" customHeight="false" outlineLevel="0" collapsed="false">
      <c r="A177" s="284" t="n">
        <v>10</v>
      </c>
      <c r="B177" s="282" t="s">
        <v>169</v>
      </c>
      <c r="C177" s="262" t="n">
        <v>119899</v>
      </c>
      <c r="D177" s="262" t="n">
        <v>57300</v>
      </c>
      <c r="E177" s="285" t="n">
        <f aca="false">C177/D177*100</f>
        <v>209.247818499127</v>
      </c>
      <c r="F177" s="262" t="n">
        <v>0</v>
      </c>
      <c r="G177" s="262" t="n">
        <v>57300</v>
      </c>
      <c r="H177" s="214" t="n">
        <f aca="false">F177/G177*100</f>
        <v>0</v>
      </c>
      <c r="I177" s="262" t="n">
        <v>119899</v>
      </c>
      <c r="J177" s="262" t="n">
        <v>57300</v>
      </c>
      <c r="K177" s="283" t="n">
        <f aca="false">I177/J177*100</f>
        <v>209.247818499127</v>
      </c>
      <c r="L177" s="262" t="n">
        <v>119899</v>
      </c>
      <c r="M177" s="262" t="n">
        <f aca="false">56432+868</f>
        <v>57300</v>
      </c>
      <c r="N177" s="262" t="n">
        <f aca="false">L177/M177*100</f>
        <v>209.247818499127</v>
      </c>
      <c r="O177" s="262" t="n">
        <v>27</v>
      </c>
      <c r="P177" s="262" t="n">
        <v>5</v>
      </c>
      <c r="Q177" s="262" t="n">
        <v>26</v>
      </c>
      <c r="R177" s="202" t="n">
        <f aca="false">O177*P177</f>
        <v>135</v>
      </c>
    </row>
    <row r="178" customFormat="false" ht="15" hidden="false" customHeight="false" outlineLevel="0" collapsed="false">
      <c r="A178" s="215" t="s">
        <v>170</v>
      </c>
      <c r="B178" s="215" t="s">
        <v>154</v>
      </c>
      <c r="C178" s="237" t="n">
        <f aca="false">SUM(C168:C177)</f>
        <v>2870473</v>
      </c>
      <c r="D178" s="237" t="n">
        <f aca="false">SUM(D168:D177)</f>
        <v>1604010</v>
      </c>
      <c r="E178" s="217" t="n">
        <f aca="false">C178/D178*100</f>
        <v>178.956053889938</v>
      </c>
      <c r="F178" s="237" t="n">
        <f aca="false">SUM(F168:F177)</f>
        <v>2138316</v>
      </c>
      <c r="G178" s="237" t="n">
        <f aca="false">SUM(G168:G177)</f>
        <v>1332356</v>
      </c>
      <c r="H178" s="217" t="n">
        <f aca="false">F178/G178*100</f>
        <v>160.491340152332</v>
      </c>
      <c r="I178" s="237" t="n">
        <f aca="false">SUM(I168:I177)</f>
        <v>3154126</v>
      </c>
      <c r="J178" s="237" t="n">
        <f aca="false">SUM(J168:J177)</f>
        <v>2248178</v>
      </c>
      <c r="K178" s="217" t="n">
        <f aca="false">I178/J178*100</f>
        <v>140.296987160269</v>
      </c>
      <c r="L178" s="237" t="n">
        <f aca="false">SUM(L168:L177)</f>
        <v>3175930</v>
      </c>
      <c r="M178" s="216" t="n">
        <f aca="false">SUM(M168:M177)</f>
        <v>2239783</v>
      </c>
      <c r="N178" s="217" t="n">
        <f aca="false">L178/M178*100</f>
        <v>141.796325804777</v>
      </c>
      <c r="O178" s="237" t="n">
        <f aca="false">SUM(O168:O177)</f>
        <v>426</v>
      </c>
      <c r="P178" s="217" t="n">
        <f aca="false">R178/O178</f>
        <v>129.943661971831</v>
      </c>
      <c r="Q178" s="237" t="n">
        <f aca="false">SUM(Q168:Q177)</f>
        <v>452</v>
      </c>
      <c r="R178" s="232" t="n">
        <f aca="false">SUM(R168:R177)</f>
        <v>55356</v>
      </c>
    </row>
    <row r="179" customFormat="false" ht="15" hidden="false" customHeight="false" outlineLevel="0" collapsed="false">
      <c r="A179" s="255"/>
      <c r="B179" s="255"/>
      <c r="C179" s="287"/>
      <c r="D179" s="287"/>
      <c r="E179" s="283"/>
      <c r="F179" s="288"/>
      <c r="G179" s="288"/>
      <c r="H179" s="283"/>
      <c r="I179" s="203"/>
      <c r="J179" s="203"/>
      <c r="K179" s="289"/>
      <c r="L179" s="203"/>
      <c r="M179" s="203"/>
      <c r="N179" s="203"/>
      <c r="O179" s="203"/>
      <c r="P179" s="219"/>
      <c r="Q179" s="203"/>
      <c r="R179" s="189"/>
    </row>
    <row r="180" customFormat="false" ht="15" hidden="false" customHeight="false" outlineLevel="0" collapsed="false">
      <c r="A180" s="270" t="s">
        <v>171</v>
      </c>
      <c r="B180" s="270"/>
      <c r="C180" s="195" t="n">
        <v>3</v>
      </c>
      <c r="D180" s="195" t="n">
        <v>4</v>
      </c>
      <c r="E180" s="196" t="n">
        <v>5</v>
      </c>
      <c r="F180" s="195" t="n">
        <v>6</v>
      </c>
      <c r="G180" s="195" t="n">
        <v>7</v>
      </c>
      <c r="H180" s="195" t="n">
        <v>8</v>
      </c>
      <c r="I180" s="195" t="n">
        <v>9</v>
      </c>
      <c r="J180" s="195" t="n">
        <v>10</v>
      </c>
      <c r="K180" s="195" t="n">
        <v>11</v>
      </c>
      <c r="L180" s="195" t="n">
        <v>12</v>
      </c>
      <c r="M180" s="195" t="n">
        <v>13</v>
      </c>
      <c r="N180" s="195" t="n">
        <v>14</v>
      </c>
      <c r="O180" s="195" t="n">
        <v>15</v>
      </c>
      <c r="P180" s="196" t="n">
        <v>16</v>
      </c>
      <c r="Q180" s="195" t="n">
        <v>15</v>
      </c>
      <c r="R180" s="189"/>
    </row>
    <row r="181" customFormat="false" ht="15" hidden="false" customHeight="false" outlineLevel="0" collapsed="false">
      <c r="A181" s="288" t="n">
        <v>1</v>
      </c>
      <c r="B181" s="290" t="s">
        <v>172</v>
      </c>
      <c r="C181" s="262" t="n">
        <v>154811</v>
      </c>
      <c r="D181" s="262" t="n">
        <v>268548</v>
      </c>
      <c r="E181" s="285" t="n">
        <f aca="false">IF(OR(C181=0,D181=0),0,C181/D181*100)</f>
        <v>57.647422434723</v>
      </c>
      <c r="F181" s="262" t="n">
        <v>52566.3</v>
      </c>
      <c r="G181" s="262" t="n">
        <v>178610</v>
      </c>
      <c r="H181" s="285" t="n">
        <f aca="false">IF(OR(F181=0,G181=0),0,F181/G181*100)</f>
        <v>29.430770953474</v>
      </c>
      <c r="I181" s="262" t="n">
        <v>63329</v>
      </c>
      <c r="J181" s="262" t="n">
        <v>212468.8</v>
      </c>
      <c r="K181" s="285" t="n">
        <f aca="false">IF(OR(I181=0,J181=0),0,I181/J181*100)</f>
        <v>29.8062586130293</v>
      </c>
      <c r="L181" s="262" t="n">
        <v>0</v>
      </c>
      <c r="M181" s="262" t="n">
        <v>0</v>
      </c>
      <c r="N181" s="285" t="n">
        <v>0</v>
      </c>
      <c r="O181" s="236" t="n">
        <v>274</v>
      </c>
      <c r="P181" s="236" t="n">
        <v>218.2</v>
      </c>
      <c r="Q181" s="262" t="n">
        <v>273</v>
      </c>
      <c r="R181" s="234" t="n">
        <f aca="false">O181*P181</f>
        <v>59786.8</v>
      </c>
    </row>
    <row r="182" customFormat="false" ht="15" hidden="false" customHeight="false" outlineLevel="0" collapsed="false">
      <c r="A182" s="288" t="n">
        <v>2</v>
      </c>
      <c r="B182" s="290" t="s">
        <v>173</v>
      </c>
      <c r="C182" s="262" t="n">
        <v>28628</v>
      </c>
      <c r="D182" s="262" t="n">
        <v>28892</v>
      </c>
      <c r="E182" s="285" t="n">
        <f aca="false">IF(OR(C182=0,D182=0),0,C182/D182*100)</f>
        <v>99.0862522497577</v>
      </c>
      <c r="F182" s="262" t="n">
        <v>18008</v>
      </c>
      <c r="G182" s="262" t="n">
        <v>18236</v>
      </c>
      <c r="H182" s="285" t="n">
        <f aca="false">IF(OR(F182=0,G182=0),0,F182/G182*100)</f>
        <v>98.7497258170652</v>
      </c>
      <c r="I182" s="262" t="n">
        <v>0</v>
      </c>
      <c r="J182" s="262" t="n">
        <v>0</v>
      </c>
      <c r="K182" s="285" t="n">
        <f aca="false">IF(OR(I182=0,J182=0),0,I182/J182*100)</f>
        <v>0</v>
      </c>
      <c r="L182" s="262" t="n">
        <v>0</v>
      </c>
      <c r="M182" s="262" t="n">
        <v>0</v>
      </c>
      <c r="N182" s="285" t="n">
        <f aca="false">IF(OR(L182=0,M182=0),0,L182/M182*100)</f>
        <v>0</v>
      </c>
      <c r="O182" s="236" t="n">
        <v>86</v>
      </c>
      <c r="P182" s="236" t="n">
        <v>55.2</v>
      </c>
      <c r="Q182" s="262" t="n">
        <v>86</v>
      </c>
      <c r="R182" s="234" t="n">
        <f aca="false">O182*P182</f>
        <v>4747.2</v>
      </c>
    </row>
    <row r="183" s="295" customFormat="true" ht="34.5" hidden="false" customHeight="true" outlineLevel="0" collapsed="false">
      <c r="A183" s="291" t="n">
        <v>3</v>
      </c>
      <c r="B183" s="292" t="s">
        <v>174</v>
      </c>
      <c r="C183" s="207" t="n">
        <v>307</v>
      </c>
      <c r="D183" s="207" t="n">
        <v>0</v>
      </c>
      <c r="E183" s="285" t="n">
        <f aca="false">IF(OR(C183=0,D183=0),0,C183/D183*100)</f>
        <v>0</v>
      </c>
      <c r="F183" s="207" t="n">
        <v>0</v>
      </c>
      <c r="G183" s="207" t="n">
        <v>0</v>
      </c>
      <c r="H183" s="285" t="n">
        <f aca="false">IF(OR(F183=0,G183=0),0,F183/G183*100)</f>
        <v>0</v>
      </c>
      <c r="I183" s="207" t="n">
        <v>307</v>
      </c>
      <c r="J183" s="207" t="n">
        <v>0</v>
      </c>
      <c r="K183" s="285" t="n">
        <f aca="false">IF(OR(I183=0,J183=0),0,I183/J183*100)</f>
        <v>0</v>
      </c>
      <c r="L183" s="207" t="n">
        <v>0</v>
      </c>
      <c r="M183" s="207" t="n">
        <v>0</v>
      </c>
      <c r="N183" s="285" t="n">
        <f aca="false">IF(OR(L183=0,M183=0),0,L183/M183*100)</f>
        <v>0</v>
      </c>
      <c r="O183" s="222" t="n">
        <v>29</v>
      </c>
      <c r="P183" s="293" t="n">
        <v>97.7</v>
      </c>
      <c r="Q183" s="207" t="n">
        <v>29</v>
      </c>
      <c r="R183" s="294" t="n">
        <f aca="false">O183*P183</f>
        <v>2833.3</v>
      </c>
    </row>
    <row r="184" customFormat="false" ht="15" hidden="false" customHeight="false" outlineLevel="0" collapsed="false">
      <c r="A184" s="288" t="n">
        <v>4</v>
      </c>
      <c r="B184" s="296" t="s">
        <v>175</v>
      </c>
      <c r="C184" s="262" t="n">
        <v>8758</v>
      </c>
      <c r="D184" s="262" t="n">
        <v>3356</v>
      </c>
      <c r="E184" s="285" t="n">
        <f aca="false">IF(OR(C184=0,D184=0),0,C184/D184*100)</f>
        <v>260.965435041716</v>
      </c>
      <c r="F184" s="262" t="n">
        <v>4940</v>
      </c>
      <c r="G184" s="262" t="n">
        <v>1861</v>
      </c>
      <c r="H184" s="285" t="n">
        <f aca="false">IF(OR(F184=0,G184=0),0,F184/G184*100)</f>
        <v>265.448683503493</v>
      </c>
      <c r="I184" s="262" t="n">
        <v>0</v>
      </c>
      <c r="J184" s="262" t="n">
        <v>0</v>
      </c>
      <c r="K184" s="285" t="n">
        <f aca="false">IF(OR(I184=0,J184=0),0,I184/J184*100)</f>
        <v>0</v>
      </c>
      <c r="L184" s="262" t="n">
        <v>0</v>
      </c>
      <c r="M184" s="262" t="n">
        <v>0</v>
      </c>
      <c r="N184" s="285" t="n">
        <f aca="false">IF(OR(L184=0,M184=0),0,L184/M184*100)</f>
        <v>0</v>
      </c>
      <c r="O184" s="236" t="n">
        <v>17</v>
      </c>
      <c r="P184" s="236" t="n">
        <v>17.9</v>
      </c>
      <c r="Q184" s="262" t="n">
        <v>18</v>
      </c>
      <c r="R184" s="202" t="n">
        <f aca="false">O184*P184</f>
        <v>304.3</v>
      </c>
    </row>
    <row r="185" customFormat="false" ht="15" hidden="false" customHeight="false" outlineLevel="0" collapsed="false">
      <c r="A185" s="288" t="n">
        <v>5</v>
      </c>
      <c r="B185" s="297" t="s">
        <v>176</v>
      </c>
      <c r="C185" s="262" t="n">
        <v>3120</v>
      </c>
      <c r="D185" s="262" t="n">
        <v>3094</v>
      </c>
      <c r="E185" s="299" t="n">
        <f aca="false">IF(OR(C185=0,D185=0),0,C185/D185*100)</f>
        <v>100.840336134454</v>
      </c>
      <c r="F185" s="262" t="n">
        <v>905</v>
      </c>
      <c r="G185" s="262" t="n">
        <v>1074</v>
      </c>
      <c r="H185" s="299" t="n">
        <f aca="false">IF(OR(F185=0,G185=0),0,F185/G185*100)</f>
        <v>84.2644320297952</v>
      </c>
      <c r="I185" s="262" t="n">
        <v>0</v>
      </c>
      <c r="J185" s="262" t="n">
        <v>0</v>
      </c>
      <c r="K185" s="299" t="n">
        <f aca="false">IF(OR(I185=0,J185=0),0,I185/J185*100)</f>
        <v>0</v>
      </c>
      <c r="L185" s="262" t="n">
        <v>0</v>
      </c>
      <c r="M185" s="262" t="n">
        <v>0</v>
      </c>
      <c r="N185" s="299" t="n">
        <f aca="false">IF(OR(L185=0,M185=0),0,L185/M185*100)</f>
        <v>0</v>
      </c>
      <c r="O185" s="236" t="n">
        <v>12</v>
      </c>
      <c r="P185" s="300" t="n">
        <v>55.6</v>
      </c>
      <c r="Q185" s="298" t="n">
        <v>12</v>
      </c>
      <c r="R185" s="202" t="n">
        <f aca="false">O185*P185</f>
        <v>667.2</v>
      </c>
    </row>
    <row r="186" customFormat="false" ht="15" hidden="false" customHeight="false" outlineLevel="0" collapsed="false">
      <c r="A186" s="288" t="n">
        <v>6</v>
      </c>
      <c r="B186" s="290" t="s">
        <v>177</v>
      </c>
      <c r="C186" s="262" t="n">
        <v>11235</v>
      </c>
      <c r="D186" s="262" t="n">
        <v>16699</v>
      </c>
      <c r="E186" s="285" t="n">
        <f aca="false">IF(OR(C186=0,D186=0),0,C186/D186*100)</f>
        <v>67.2794778130427</v>
      </c>
      <c r="F186" s="262" t="n">
        <v>2435</v>
      </c>
      <c r="G186" s="262" t="n">
        <v>5219</v>
      </c>
      <c r="H186" s="285" t="n">
        <f aca="false">IF(OR(F186=0,G186=0),0,F186/G186*100)</f>
        <v>46.6564475953248</v>
      </c>
      <c r="I186" s="262" t="n">
        <v>984</v>
      </c>
      <c r="J186" s="262" t="n">
        <v>0</v>
      </c>
      <c r="K186" s="285" t="n">
        <f aca="false">IF(OR(I186=0,J186=0),0,I186/J186*100)</f>
        <v>0</v>
      </c>
      <c r="L186" s="262" t="n">
        <v>0</v>
      </c>
      <c r="M186" s="262" t="n">
        <v>0</v>
      </c>
      <c r="N186" s="285" t="n">
        <f aca="false">IF(OR(L186=0,M186=0),0,L186/M186*100)</f>
        <v>0</v>
      </c>
      <c r="O186" s="236" t="n">
        <v>22</v>
      </c>
      <c r="P186" s="236" t="n">
        <v>58.4</v>
      </c>
      <c r="Q186" s="262" t="n">
        <v>22</v>
      </c>
      <c r="R186" s="202" t="n">
        <f aca="false">O186*P186</f>
        <v>1284.8</v>
      </c>
    </row>
    <row r="187" customFormat="false" ht="15" hidden="false" customHeight="false" outlineLevel="0" collapsed="false">
      <c r="A187" s="288" t="n">
        <v>7</v>
      </c>
      <c r="B187" s="290" t="s">
        <v>178</v>
      </c>
      <c r="C187" s="262" t="n">
        <v>1213</v>
      </c>
      <c r="D187" s="262" t="n">
        <v>26610</v>
      </c>
      <c r="E187" s="285" t="n">
        <f aca="false">IF(OR(C187=0,D187=0),0,C187/D187*100)</f>
        <v>4.55843667794062</v>
      </c>
      <c r="F187" s="262" t="n">
        <v>0</v>
      </c>
      <c r="G187" s="262" t="n">
        <v>0</v>
      </c>
      <c r="H187" s="285" t="n">
        <f aca="false">IF(OR(F187=0,G187=0),0,F187/G187*100)</f>
        <v>0</v>
      </c>
      <c r="I187" s="262" t="n">
        <v>1213</v>
      </c>
      <c r="J187" s="262" t="n">
        <v>26610</v>
      </c>
      <c r="K187" s="285" t="n">
        <f aca="false">IF(OR(I187=0,J187=0),0,I187/J187*100)</f>
        <v>4.55843667794062</v>
      </c>
      <c r="L187" s="262" t="n">
        <v>1213</v>
      </c>
      <c r="M187" s="262" t="n">
        <v>26610</v>
      </c>
      <c r="N187" s="285" t="n">
        <f aca="false">IF(OR(L187=0,M187=0),0,L187/M187*100)</f>
        <v>4.55843667794062</v>
      </c>
      <c r="O187" s="236" t="n">
        <v>45</v>
      </c>
      <c r="P187" s="236" t="n">
        <v>101.4</v>
      </c>
      <c r="Q187" s="262" t="n">
        <v>45</v>
      </c>
      <c r="R187" s="202" t="n">
        <f aca="false">O187*P187</f>
        <v>4563</v>
      </c>
    </row>
    <row r="188" customFormat="false" ht="15" hidden="false" customHeight="false" outlineLevel="0" collapsed="false">
      <c r="A188" s="288" t="n">
        <v>8</v>
      </c>
      <c r="B188" s="290" t="s">
        <v>179</v>
      </c>
      <c r="C188" s="262" t="n">
        <v>335</v>
      </c>
      <c r="D188" s="262" t="n">
        <v>0</v>
      </c>
      <c r="E188" s="285" t="n">
        <f aca="false">IF(OR(C188=0,D188=0),0,C188/D188*100)</f>
        <v>0</v>
      </c>
      <c r="F188" s="262" t="n">
        <v>335</v>
      </c>
      <c r="G188" s="262" t="n">
        <v>0</v>
      </c>
      <c r="H188" s="285" t="n">
        <f aca="false">IF(OR(F188=0,G188=0),0,F188/G188*100)</f>
        <v>0</v>
      </c>
      <c r="I188" s="262" t="n">
        <v>1142</v>
      </c>
      <c r="J188" s="262" t="n">
        <v>1253</v>
      </c>
      <c r="K188" s="285" t="n">
        <f aca="false">IF(OR(I188=0,J188=0),0,I188/J188*100)</f>
        <v>91.1412609736632</v>
      </c>
      <c r="L188" s="262" t="n">
        <v>0</v>
      </c>
      <c r="M188" s="262" t="n">
        <v>0</v>
      </c>
      <c r="N188" s="285" t="n">
        <f aca="false">IF(OR(L188=0,M188=0),0,L188/M188*100)</f>
        <v>0</v>
      </c>
      <c r="O188" s="236" t="n">
        <v>25</v>
      </c>
      <c r="P188" s="236" t="n">
        <v>65.6</v>
      </c>
      <c r="Q188" s="262" t="n">
        <v>25</v>
      </c>
      <c r="R188" s="234" t="n">
        <f aca="false">O188*P188</f>
        <v>1640</v>
      </c>
    </row>
    <row r="189" customFormat="false" ht="15" hidden="false" customHeight="false" outlineLevel="0" collapsed="false">
      <c r="A189" s="288" t="n">
        <v>9</v>
      </c>
      <c r="B189" s="301" t="s">
        <v>180</v>
      </c>
      <c r="C189" s="262" t="n">
        <v>4284</v>
      </c>
      <c r="D189" s="262" t="n">
        <v>4720</v>
      </c>
      <c r="E189" s="285" t="n">
        <f aca="false">IF(OR(C189=0,D189=0),0,C189/D189*100)</f>
        <v>90.7627118644068</v>
      </c>
      <c r="F189" s="262" t="n">
        <v>1048</v>
      </c>
      <c r="G189" s="262" t="n">
        <v>1542</v>
      </c>
      <c r="H189" s="285" t="n">
        <f aca="false">IF(OR(F189=0,G189=0),0,F189/G189*100)</f>
        <v>67.9636835278859</v>
      </c>
      <c r="I189" s="262" t="n">
        <v>4284</v>
      </c>
      <c r="J189" s="262" t="n">
        <v>4720</v>
      </c>
      <c r="K189" s="285" t="n">
        <f aca="false">IF(OR(I189=0,J189=0),0,I189/J189*100)</f>
        <v>90.7627118644068</v>
      </c>
      <c r="L189" s="262" t="n">
        <v>0</v>
      </c>
      <c r="M189" s="262" t="n">
        <v>0</v>
      </c>
      <c r="N189" s="285" t="n">
        <f aca="false">IF(OR(L189=0,M189=0),0,L189/M189*100)</f>
        <v>0</v>
      </c>
      <c r="O189" s="236" t="n">
        <v>13</v>
      </c>
      <c r="P189" s="236" t="n">
        <v>53</v>
      </c>
      <c r="Q189" s="262" t="n">
        <v>18</v>
      </c>
      <c r="R189" s="202" t="n">
        <f aca="false">O189*P189</f>
        <v>689</v>
      </c>
    </row>
    <row r="190" customFormat="false" ht="15" hidden="false" customHeight="false" outlineLevel="0" collapsed="false">
      <c r="A190" s="215" t="s">
        <v>170</v>
      </c>
      <c r="B190" s="215" t="s">
        <v>154</v>
      </c>
      <c r="C190" s="302" t="n">
        <f aca="false">SUM(C181:C189)</f>
        <v>212691</v>
      </c>
      <c r="D190" s="302" t="n">
        <f aca="false">SUM(D181:D189)</f>
        <v>351919</v>
      </c>
      <c r="E190" s="217" t="n">
        <f aca="false">C190/D190*100</f>
        <v>60.4374870353689</v>
      </c>
      <c r="F190" s="302" t="n">
        <f aca="false">SUM(F181:F189)</f>
        <v>80237.3</v>
      </c>
      <c r="G190" s="302" t="n">
        <f aca="false">SUM(G181:G189)</f>
        <v>206542</v>
      </c>
      <c r="H190" s="217" t="n">
        <f aca="false">F190/G190*100</f>
        <v>38.8479340763622</v>
      </c>
      <c r="I190" s="302" t="n">
        <f aca="false">SUM(I181:I189)</f>
        <v>71259</v>
      </c>
      <c r="J190" s="302" t="n">
        <f aca="false">SUM(J181:J189)</f>
        <v>245051.8</v>
      </c>
      <c r="K190" s="217" t="n">
        <f aca="false">I190/J190*100</f>
        <v>29.0791579576237</v>
      </c>
      <c r="L190" s="302" t="n">
        <f aca="false">SUM(L181:L189)</f>
        <v>1213</v>
      </c>
      <c r="M190" s="302" t="n">
        <f aca="false">SUM(M181:M189)</f>
        <v>26610</v>
      </c>
      <c r="N190" s="217" t="n">
        <v>0</v>
      </c>
      <c r="O190" s="302" t="n">
        <f aca="false">SUM(O181:O189)</f>
        <v>523</v>
      </c>
      <c r="P190" s="217" t="n">
        <f aca="false">R190/O190</f>
        <v>146.301338432122</v>
      </c>
      <c r="Q190" s="302" t="n">
        <f aca="false">SUM(Q181:Q189)</f>
        <v>528</v>
      </c>
      <c r="R190" s="232" t="n">
        <f aca="false">SUM(R181:R189)</f>
        <v>76515.6</v>
      </c>
    </row>
    <row r="191" customFormat="false" ht="15" hidden="false" customHeight="false" outlineLevel="0" collapsed="false">
      <c r="A191" s="303"/>
      <c r="B191" s="195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3"/>
      <c r="P191" s="303"/>
      <c r="Q191" s="303"/>
      <c r="R191" s="304"/>
    </row>
    <row r="192" customFormat="false" ht="15" hidden="false" customHeight="false" outlineLevel="0" collapsed="false">
      <c r="A192" s="305" t="s">
        <v>181</v>
      </c>
      <c r="B192" s="305"/>
      <c r="C192" s="195" t="n">
        <v>3</v>
      </c>
      <c r="D192" s="195" t="n">
        <v>4</v>
      </c>
      <c r="E192" s="196" t="n">
        <v>5</v>
      </c>
      <c r="F192" s="195" t="n">
        <v>6</v>
      </c>
      <c r="G192" s="195" t="n">
        <v>7</v>
      </c>
      <c r="H192" s="195" t="n">
        <v>8</v>
      </c>
      <c r="I192" s="195" t="n">
        <v>9</v>
      </c>
      <c r="J192" s="195" t="n">
        <v>10</v>
      </c>
      <c r="K192" s="195" t="n">
        <v>11</v>
      </c>
      <c r="L192" s="195" t="n">
        <v>12</v>
      </c>
      <c r="M192" s="195" t="n">
        <v>13</v>
      </c>
      <c r="N192" s="195" t="n">
        <v>14</v>
      </c>
      <c r="O192" s="195" t="n">
        <v>15</v>
      </c>
      <c r="P192" s="196" t="n">
        <v>16</v>
      </c>
      <c r="Q192" s="195" t="n">
        <v>15</v>
      </c>
      <c r="R192" s="179"/>
    </row>
    <row r="193" customFormat="false" ht="15" hidden="false" customHeight="false" outlineLevel="0" collapsed="false">
      <c r="A193" s="262" t="n">
        <v>1</v>
      </c>
      <c r="B193" s="306" t="s">
        <v>182</v>
      </c>
      <c r="C193" s="207" t="n">
        <v>37843</v>
      </c>
      <c r="D193" s="207" t="n">
        <v>11561</v>
      </c>
      <c r="E193" s="289" t="n">
        <f aca="false">C193/D193*100</f>
        <v>327.333275668195</v>
      </c>
      <c r="F193" s="207" t="n">
        <v>5644</v>
      </c>
      <c r="G193" s="207" t="n">
        <v>4624</v>
      </c>
      <c r="H193" s="289" t="n">
        <f aca="false">F193/G193*100</f>
        <v>122.058823529412</v>
      </c>
      <c r="I193" s="207" t="n">
        <v>37843</v>
      </c>
      <c r="J193" s="207" t="n">
        <v>11561</v>
      </c>
      <c r="K193" s="283" t="n">
        <f aca="false">IF(OR(I193=0,J193=0),0,I193/J193*100)</f>
        <v>327.333275668195</v>
      </c>
      <c r="L193" s="207" t="n">
        <v>37843</v>
      </c>
      <c r="M193" s="207" t="n">
        <v>11561</v>
      </c>
      <c r="N193" s="214" t="n">
        <f aca="false">L193/M193*100</f>
        <v>327.333275668195</v>
      </c>
      <c r="O193" s="192" t="n">
        <v>50</v>
      </c>
      <c r="P193" s="262" t="n">
        <v>49</v>
      </c>
      <c r="Q193" s="192" t="n">
        <v>49</v>
      </c>
      <c r="R193" s="234" t="n">
        <f aca="false">O193*P193</f>
        <v>2450</v>
      </c>
    </row>
    <row r="194" customFormat="false" ht="15" hidden="false" customHeight="false" outlineLevel="0" collapsed="false">
      <c r="A194" s="262" t="n">
        <v>2</v>
      </c>
      <c r="B194" s="306" t="s">
        <v>183</v>
      </c>
      <c r="C194" s="207" t="n">
        <v>17509</v>
      </c>
      <c r="D194" s="207" t="n">
        <v>13</v>
      </c>
      <c r="E194" s="219" t="n">
        <f aca="false">C194/D194*100</f>
        <v>134684.615384615</v>
      </c>
      <c r="F194" s="207" t="n">
        <v>12140</v>
      </c>
      <c r="G194" s="207" t="n">
        <v>13</v>
      </c>
      <c r="H194" s="219" t="n">
        <f aca="false">F194/G194*100</f>
        <v>93384.6153846154</v>
      </c>
      <c r="I194" s="207" t="n">
        <v>17540</v>
      </c>
      <c r="J194" s="207" t="n">
        <v>13</v>
      </c>
      <c r="K194" s="236" t="n">
        <f aca="false">IF(OR(I194=0,J194=0),0,I194/J194*100)</f>
        <v>134923.076923077</v>
      </c>
      <c r="L194" s="207" t="n">
        <v>8018</v>
      </c>
      <c r="M194" s="207" t="n">
        <v>0</v>
      </c>
      <c r="N194" s="214" t="e">
        <f aca="false">L194/M194*100</f>
        <v>#DIV/0!</v>
      </c>
      <c r="O194" s="192" t="n">
        <v>176</v>
      </c>
      <c r="P194" s="262" t="n">
        <v>185</v>
      </c>
      <c r="Q194" s="192" t="n">
        <v>176</v>
      </c>
      <c r="R194" s="234" t="n">
        <f aca="false">O194*P194</f>
        <v>32560</v>
      </c>
    </row>
    <row r="195" customFormat="false" ht="15" hidden="false" customHeight="false" outlineLevel="0" collapsed="false">
      <c r="A195" s="215" t="s">
        <v>170</v>
      </c>
      <c r="B195" s="215" t="s">
        <v>154</v>
      </c>
      <c r="C195" s="216" t="n">
        <f aca="false">SUM(C193:C194)</f>
        <v>55352</v>
      </c>
      <c r="D195" s="216" t="n">
        <f aca="false">SUM(D193:D194)</f>
        <v>11574</v>
      </c>
      <c r="E195" s="217" t="n">
        <f aca="false">C195/D195*100</f>
        <v>478.244340763781</v>
      </c>
      <c r="F195" s="216" t="n">
        <f aca="false">SUM(F193:F194)</f>
        <v>17784</v>
      </c>
      <c r="G195" s="216" t="n">
        <f aca="false">SUM(G193:G194)</f>
        <v>4637</v>
      </c>
      <c r="H195" s="217" t="n">
        <f aca="false">F195/G195*100</f>
        <v>383.52383006254</v>
      </c>
      <c r="I195" s="217" t="n">
        <f aca="false">SUM(I193:I194)</f>
        <v>55383</v>
      </c>
      <c r="J195" s="216" t="n">
        <f aca="false">SUM(J193:J194)</f>
        <v>11574</v>
      </c>
      <c r="K195" s="217" t="n">
        <f aca="false">I195/J195*100</f>
        <v>478.512182477968</v>
      </c>
      <c r="L195" s="237" t="n">
        <f aca="false">SUM(L193:L194)</f>
        <v>45861</v>
      </c>
      <c r="M195" s="216" t="n">
        <f aca="false">SUM(M193:M194)</f>
        <v>11561</v>
      </c>
      <c r="N195" s="217" t="n">
        <f aca="false">L195/M195*100</f>
        <v>396.687137790849</v>
      </c>
      <c r="O195" s="237" t="n">
        <f aca="false">SUM(O193:O194)</f>
        <v>226</v>
      </c>
      <c r="P195" s="237" t="n">
        <f aca="false">R195/O195</f>
        <v>154.911504424779</v>
      </c>
      <c r="Q195" s="237" t="n">
        <f aca="false">SUM(Q193:Q194)</f>
        <v>225</v>
      </c>
      <c r="R195" s="232" t="n">
        <f aca="false">SUM(R193:R194)</f>
        <v>35010</v>
      </c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A161:B161"/>
    <mergeCell ref="A165:B165"/>
    <mergeCell ref="A167:B167"/>
    <mergeCell ref="A178:B178"/>
    <mergeCell ref="A180:B180"/>
    <mergeCell ref="A190:B190"/>
    <mergeCell ref="A192:B192"/>
    <mergeCell ref="A195:B19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5"/>
  <sheetViews>
    <sheetView showFormulas="false" showGridLines="true" showRowColHeaders="true" showZeros="true" rightToLeft="false" tabSelected="false" showOutlineSymbols="true" defaultGridColor="true" view="normal" topLeftCell="A132" colorId="64" zoomScale="100" zoomScaleNormal="100" zoomScalePageLayoutView="100" workbookViewId="0">
      <selection pane="topLeft" activeCell="E149" activeCellId="0" sqref="E14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6.29"/>
    <col collapsed="false" customWidth="true" hidden="false" outlineLevel="0" max="4" min="3" style="0" width="12.57"/>
    <col collapsed="false" customWidth="true" hidden="false" outlineLevel="0" max="5" min="5" style="0" width="6.43"/>
    <col collapsed="false" customWidth="true" hidden="false" outlineLevel="0" max="6" min="6" style="0" width="10.43"/>
    <col collapsed="false" customWidth="true" hidden="false" outlineLevel="0" max="7" min="7" style="0" width="9.85"/>
    <col collapsed="false" customWidth="true" hidden="false" outlineLevel="0" max="8" min="8" style="0" width="6.57"/>
    <col collapsed="false" customWidth="true" hidden="false" outlineLevel="0" max="9" min="9" style="0" width="11.57"/>
    <col collapsed="false" customWidth="false" hidden="false" outlineLevel="0" max="10" min="10" style="0" width="11.43"/>
    <col collapsed="false" customWidth="true" hidden="false" outlineLevel="0" max="11" min="11" style="0" width="6.57"/>
    <col collapsed="false" customWidth="true" hidden="false" outlineLevel="0" max="12" min="12" style="0" width="10.57"/>
    <col collapsed="false" customWidth="true" hidden="false" outlineLevel="0" max="13" min="13" style="0" width="10.28"/>
    <col collapsed="false" customWidth="true" hidden="false" outlineLevel="0" max="14" min="14" style="0" width="6.28"/>
    <col collapsed="false" customWidth="true" hidden="false" outlineLevel="0" max="15" min="15" style="0" width="7.14"/>
    <col collapsed="false" customWidth="true" hidden="false" outlineLevel="0" max="16" min="16" style="0" width="6.57"/>
    <col collapsed="false" customWidth="true" hidden="false" outlineLevel="0" max="17" min="17" style="0" width="7.71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187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189</v>
      </c>
      <c r="F4" s="155" t="s">
        <v>12</v>
      </c>
      <c r="G4" s="155" t="s">
        <v>10</v>
      </c>
      <c r="H4" s="160" t="s">
        <v>189</v>
      </c>
      <c r="I4" s="155" t="s">
        <v>13</v>
      </c>
      <c r="J4" s="155" t="s">
        <v>10</v>
      </c>
      <c r="K4" s="160" t="s">
        <v>189</v>
      </c>
      <c r="L4" s="155" t="s">
        <v>13</v>
      </c>
      <c r="M4" s="155" t="s">
        <v>10</v>
      </c>
      <c r="N4" s="160" t="s">
        <v>189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23.25" hidden="false" customHeight="true" outlineLevel="0" collapsed="false">
      <c r="A10" s="163" t="n">
        <v>1</v>
      </c>
      <c r="B10" s="164" t="s">
        <v>14</v>
      </c>
      <c r="C10" s="161" t="n">
        <f aca="false">C139</f>
        <v>58301277</v>
      </c>
      <c r="D10" s="161" t="n">
        <f aca="false">D139</f>
        <v>56095360</v>
      </c>
      <c r="E10" s="165" t="n">
        <f aca="false">E139</f>
        <v>3.93244111455921</v>
      </c>
      <c r="F10" s="161" t="n">
        <f aca="false">F139</f>
        <v>14433217</v>
      </c>
      <c r="G10" s="166" t="n">
        <f aca="false">G139</f>
        <v>15377373</v>
      </c>
      <c r="H10" s="167" t="n">
        <f aca="false">H139</f>
        <v>-6.13990439069144</v>
      </c>
      <c r="I10" s="166" t="n">
        <f aca="false">I139</f>
        <v>57429289</v>
      </c>
      <c r="J10" s="166" t="n">
        <f aca="false">J139</f>
        <v>48589084</v>
      </c>
      <c r="K10" s="167" t="n">
        <f aca="false">K139</f>
        <v>18.1938087163775</v>
      </c>
      <c r="L10" s="161" t="n">
        <f aca="false">L139</f>
        <v>36199905</v>
      </c>
      <c r="M10" s="161" t="n">
        <f aca="false">M139</f>
        <v>28532356</v>
      </c>
      <c r="N10" s="165" t="n">
        <f aca="false">N139</f>
        <v>26.8731716371406</v>
      </c>
      <c r="O10" s="161" t="n">
        <f aca="false">O139</f>
        <v>6123</v>
      </c>
      <c r="P10" s="165" t="n">
        <f aca="false">P139</f>
        <v>177.496488649355</v>
      </c>
      <c r="Q10" s="161" t="n">
        <f aca="false">Q139</f>
        <v>6124</v>
      </c>
      <c r="R10" s="168" t="n">
        <f aca="false">O10*P10</f>
        <v>1086811</v>
      </c>
    </row>
    <row r="11" customFormat="false" ht="29.25" hidden="false" customHeight="true" outlineLevel="0" collapsed="false">
      <c r="A11" s="163"/>
      <c r="B11" s="164" t="s">
        <v>15</v>
      </c>
      <c r="C11" s="161" t="n">
        <f aca="false">C149</f>
        <v>55442139</v>
      </c>
      <c r="D11" s="161" t="n">
        <f aca="false">D149</f>
        <v>48970520</v>
      </c>
      <c r="E11" s="165" t="n">
        <f aca="false">E149</f>
        <v>13.2153364922407</v>
      </c>
      <c r="F11" s="161" t="n">
        <f aca="false">F149</f>
        <v>13810703</v>
      </c>
      <c r="G11" s="161" t="n">
        <f aca="false">G149</f>
        <v>13030343</v>
      </c>
      <c r="H11" s="165" t="n">
        <f aca="false">H149</f>
        <v>5.98879093205757</v>
      </c>
      <c r="I11" s="161" t="n">
        <f aca="false">I149</f>
        <v>54920578</v>
      </c>
      <c r="J11" s="161" t="n">
        <f aca="false">J149</f>
        <v>47293742</v>
      </c>
      <c r="K11" s="165" t="n">
        <f aca="false">K149</f>
        <v>16.1265226168824</v>
      </c>
      <c r="L11" s="161" t="n">
        <f aca="false">L149</f>
        <v>53187742</v>
      </c>
      <c r="M11" s="161" t="n">
        <f aca="false">M149</f>
        <v>45935186</v>
      </c>
      <c r="N11" s="165" t="n">
        <f aca="false">N149</f>
        <v>15.7886723262642</v>
      </c>
      <c r="O11" s="161" t="n">
        <f aca="false">O149</f>
        <v>3625</v>
      </c>
      <c r="P11" s="161" t="n">
        <f aca="false">P149</f>
        <v>126.945103448276</v>
      </c>
      <c r="Q11" s="161" t="n">
        <f aca="false">Q149</f>
        <v>3614</v>
      </c>
      <c r="R11" s="168" t="n">
        <f aca="false">O11*P11</f>
        <v>460176</v>
      </c>
    </row>
    <row r="12" customFormat="false" ht="31.5" hidden="false" customHeight="true" outlineLevel="0" collapsed="false">
      <c r="A12" s="163" t="n">
        <v>2</v>
      </c>
      <c r="B12" s="164" t="s">
        <v>16</v>
      </c>
      <c r="C12" s="161" t="n">
        <f aca="false">C159</f>
        <v>4013532</v>
      </c>
      <c r="D12" s="161" t="n">
        <f aca="false">D159</f>
        <v>2457058</v>
      </c>
      <c r="E12" s="165" t="n">
        <f aca="false">E159</f>
        <v>63.3470597763667</v>
      </c>
      <c r="F12" s="161" t="n">
        <f aca="false">F159</f>
        <v>889046</v>
      </c>
      <c r="G12" s="166" t="n">
        <f aca="false">G159</f>
        <v>814078</v>
      </c>
      <c r="H12" s="167" t="n">
        <f aca="false">H159</f>
        <v>9.20894558015326</v>
      </c>
      <c r="I12" s="166" t="n">
        <f aca="false">I159</f>
        <v>3229103</v>
      </c>
      <c r="J12" s="166" t="n">
        <f aca="false">J159</f>
        <v>2895683</v>
      </c>
      <c r="K12" s="167" t="n">
        <f aca="false">K159</f>
        <v>11.5143819264747</v>
      </c>
      <c r="L12" s="161" t="n">
        <f aca="false">L159</f>
        <v>1686149</v>
      </c>
      <c r="M12" s="161" t="n">
        <f aca="false">M159</f>
        <v>1390728</v>
      </c>
      <c r="N12" s="165" t="n">
        <f aca="false">N159</f>
        <v>21.2421839497012</v>
      </c>
      <c r="O12" s="161" t="n">
        <f aca="false">O159</f>
        <v>917</v>
      </c>
      <c r="P12" s="165" t="n">
        <f aca="false">P159</f>
        <v>98.6346782988004</v>
      </c>
      <c r="Q12" s="161" t="n">
        <f aca="false">Q159</f>
        <v>895</v>
      </c>
      <c r="R12" s="168" t="n">
        <f aca="false">O12*P12</f>
        <v>90448</v>
      </c>
    </row>
    <row r="13" customFormat="false" ht="30" hidden="false" customHeight="true" outlineLevel="0" collapsed="false">
      <c r="A13" s="163" t="n">
        <v>3</v>
      </c>
      <c r="B13" s="164" t="s">
        <v>17</v>
      </c>
      <c r="C13" s="161" t="n">
        <f aca="false">C178</f>
        <v>3002214</v>
      </c>
      <c r="D13" s="161" t="n">
        <f aca="false">D178</f>
        <v>1882821</v>
      </c>
      <c r="E13" s="165" t="n">
        <f aca="false">E178</f>
        <v>59.452969772485</v>
      </c>
      <c r="F13" s="161" t="n">
        <f aca="false">F178</f>
        <v>2408309</v>
      </c>
      <c r="G13" s="166" t="n">
        <f aca="false">G178</f>
        <v>1728693</v>
      </c>
      <c r="H13" s="167" t="n">
        <f aca="false">H178</f>
        <v>39.3138631324359</v>
      </c>
      <c r="I13" s="166" t="n">
        <f aca="false">I178</f>
        <v>4377301</v>
      </c>
      <c r="J13" s="166" t="n">
        <f aca="false">J178</f>
        <v>2743790</v>
      </c>
      <c r="K13" s="167" t="n">
        <f aca="false">K178</f>
        <v>59.5348404943527</v>
      </c>
      <c r="L13" s="161" t="n">
        <f aca="false">L178</f>
        <v>4387532</v>
      </c>
      <c r="M13" s="161" t="n">
        <f aca="false">M178</f>
        <v>2796484</v>
      </c>
      <c r="N13" s="165" t="n">
        <f aca="false">N178</f>
        <v>56.8945862018163</v>
      </c>
      <c r="O13" s="161" t="n">
        <f aca="false">O178</f>
        <v>432</v>
      </c>
      <c r="P13" s="165" t="n">
        <f aca="false">P178</f>
        <v>124.43287037037</v>
      </c>
      <c r="Q13" s="161" t="n">
        <f aca="false">Q178</f>
        <v>426</v>
      </c>
      <c r="R13" s="168" t="n">
        <f aca="false">O13*P13</f>
        <v>53755</v>
      </c>
    </row>
    <row r="14" customFormat="false" ht="36" hidden="false" customHeight="true" outlineLevel="0" collapsed="false">
      <c r="A14" s="163" t="n">
        <v>4</v>
      </c>
      <c r="B14" s="164" t="s">
        <v>18</v>
      </c>
      <c r="C14" s="161" t="n">
        <f aca="false">C54</f>
        <v>797952</v>
      </c>
      <c r="D14" s="166" t="n">
        <f aca="false">D54</f>
        <v>1183458</v>
      </c>
      <c r="E14" s="167" t="n">
        <f aca="false">E54</f>
        <v>-32.5745400343738</v>
      </c>
      <c r="F14" s="166" t="n">
        <f aca="false">F54</f>
        <v>295862</v>
      </c>
      <c r="G14" s="166" t="n">
        <f aca="false">G54</f>
        <v>330388</v>
      </c>
      <c r="H14" s="167" t="n">
        <f aca="false">H54</f>
        <v>-10.4501374141918</v>
      </c>
      <c r="I14" s="166" t="n">
        <f aca="false">I54</f>
        <v>1755096</v>
      </c>
      <c r="J14" s="166" t="n">
        <f aca="false">J54</f>
        <v>836531</v>
      </c>
      <c r="K14" s="167" t="n">
        <f aca="false">K54</f>
        <v>109.806450687422</v>
      </c>
      <c r="L14" s="166" t="n">
        <f aca="false">L54</f>
        <v>361037</v>
      </c>
      <c r="M14" s="166" t="n">
        <f aca="false">M54</f>
        <v>486476</v>
      </c>
      <c r="N14" s="167" t="n">
        <f aca="false">N54</f>
        <v>-25.7852391484883</v>
      </c>
      <c r="O14" s="166" t="n">
        <f aca="false">O54</f>
        <v>872</v>
      </c>
      <c r="P14" s="167" t="n">
        <f aca="false">P54</f>
        <v>105.952981651376</v>
      </c>
      <c r="Q14" s="166" t="n">
        <f aca="false">Q54</f>
        <v>799</v>
      </c>
      <c r="R14" s="168" t="n">
        <f aca="false">O14*P14</f>
        <v>92391</v>
      </c>
    </row>
    <row r="15" customFormat="false" ht="27.75" hidden="false" customHeight="true" outlineLevel="0" collapsed="false">
      <c r="A15" s="163" t="n">
        <v>5</v>
      </c>
      <c r="B15" s="164" t="s">
        <v>19</v>
      </c>
      <c r="C15" s="161" t="n">
        <f aca="false">C66</f>
        <v>415516</v>
      </c>
      <c r="D15" s="166" t="n">
        <f aca="false">D66</f>
        <v>478671</v>
      </c>
      <c r="E15" s="167" t="n">
        <f aca="false">E66</f>
        <v>-13.1938220614994</v>
      </c>
      <c r="F15" s="166" t="n">
        <f aca="false">F66</f>
        <v>100837</v>
      </c>
      <c r="G15" s="166" t="n">
        <f aca="false">G66</f>
        <v>105869</v>
      </c>
      <c r="H15" s="167" t="n">
        <f aca="false">H66</f>
        <v>-4.75304385608629</v>
      </c>
      <c r="I15" s="166" t="n">
        <f aca="false">I66</f>
        <v>449790</v>
      </c>
      <c r="J15" s="166" t="n">
        <f aca="false">J66</f>
        <v>537319</v>
      </c>
      <c r="K15" s="167" t="n">
        <f aca="false">K66</f>
        <v>-16.2899506624556</v>
      </c>
      <c r="L15" s="166" t="n">
        <f aca="false">L66</f>
        <v>277260</v>
      </c>
      <c r="M15" s="166" t="n">
        <f aca="false">M66</f>
        <v>379560</v>
      </c>
      <c r="N15" s="167" t="n">
        <f aca="false">N66</f>
        <v>-26.952260512172</v>
      </c>
      <c r="O15" s="166" t="n">
        <f aca="false">O66</f>
        <v>526</v>
      </c>
      <c r="P15" s="167" t="n">
        <f aca="false">P66</f>
        <v>79.6140684410647</v>
      </c>
      <c r="Q15" s="166" t="n">
        <f aca="false">Q66</f>
        <v>557</v>
      </c>
      <c r="R15" s="168" t="n">
        <f aca="false">O15*P15</f>
        <v>41877</v>
      </c>
    </row>
    <row r="16" customFormat="false" ht="29.25" hidden="false" customHeight="true" outlineLevel="0" collapsed="false">
      <c r="A16" s="163" t="n">
        <v>6</v>
      </c>
      <c r="B16" s="164" t="s">
        <v>20</v>
      </c>
      <c r="C16" s="161" t="n">
        <f aca="false">C77</f>
        <v>468469</v>
      </c>
      <c r="D16" s="166" t="n">
        <f aca="false">D77</f>
        <v>428818</v>
      </c>
      <c r="E16" s="167" t="n">
        <f aca="false">E77</f>
        <v>9.24658013422943</v>
      </c>
      <c r="F16" s="166" t="n">
        <f aca="false">F77</f>
        <v>108688</v>
      </c>
      <c r="G16" s="166" t="n">
        <f aca="false">G77</f>
        <v>118245</v>
      </c>
      <c r="H16" s="167" t="n">
        <f aca="false">H77</f>
        <v>-8.0823713476257</v>
      </c>
      <c r="I16" s="166" t="n">
        <f aca="false">I77</f>
        <v>520762</v>
      </c>
      <c r="J16" s="166" t="n">
        <f aca="false">J77</f>
        <v>484702</v>
      </c>
      <c r="K16" s="167" t="n">
        <f aca="false">K77</f>
        <v>7.43962269600704</v>
      </c>
      <c r="L16" s="166" t="n">
        <f aca="false">L77</f>
        <v>289225</v>
      </c>
      <c r="M16" s="166" t="n">
        <f aca="false">M77</f>
        <v>241110</v>
      </c>
      <c r="N16" s="167" t="n">
        <f aca="false">N77</f>
        <v>19.9556219153084</v>
      </c>
      <c r="O16" s="166" t="n">
        <f aca="false">O77</f>
        <v>552</v>
      </c>
      <c r="P16" s="167" t="n">
        <f aca="false">P77</f>
        <v>97.7572463768116</v>
      </c>
      <c r="Q16" s="166" t="n">
        <f aca="false">Q77</f>
        <v>402</v>
      </c>
      <c r="R16" s="168" t="n">
        <f aca="false">O16*P16</f>
        <v>53962</v>
      </c>
    </row>
    <row r="17" customFormat="false" ht="33" hidden="false" customHeight="true" outlineLevel="0" collapsed="false">
      <c r="A17" s="163" t="n">
        <v>7</v>
      </c>
      <c r="B17" s="164" t="s">
        <v>21</v>
      </c>
      <c r="C17" s="161" t="n">
        <f aca="false">C92</f>
        <v>2164074</v>
      </c>
      <c r="D17" s="166" t="n">
        <f aca="false">D92</f>
        <v>1882860</v>
      </c>
      <c r="E17" s="167" t="n">
        <f aca="false">E92</f>
        <v>14.935470507632</v>
      </c>
      <c r="F17" s="166" t="n">
        <f aca="false">F92</f>
        <v>617539</v>
      </c>
      <c r="G17" s="166" t="n">
        <f aca="false">G92</f>
        <v>537919</v>
      </c>
      <c r="H17" s="167" t="n">
        <f aca="false">H92</f>
        <v>14.8014849819397</v>
      </c>
      <c r="I17" s="166" t="n">
        <f aca="false">I92</f>
        <v>3548656</v>
      </c>
      <c r="J17" s="166" t="n">
        <f aca="false">J92</f>
        <v>3120007</v>
      </c>
      <c r="K17" s="167" t="n">
        <f aca="false">K92</f>
        <v>13.7387191759506</v>
      </c>
      <c r="L17" s="166" t="n">
        <f aca="false">L92</f>
        <v>1201559</v>
      </c>
      <c r="M17" s="166" t="n">
        <f aca="false">M92</f>
        <v>751251</v>
      </c>
      <c r="N17" s="167" t="n">
        <f aca="false">N92</f>
        <v>59.9410849369918</v>
      </c>
      <c r="O17" s="166" t="n">
        <f aca="false">O92</f>
        <v>4071</v>
      </c>
      <c r="P17" s="167" t="n">
        <f aca="false">P92</f>
        <v>117.044952100221</v>
      </c>
      <c r="Q17" s="166" t="n">
        <f aca="false">Q92</f>
        <v>3985</v>
      </c>
      <c r="R17" s="168" t="n">
        <f aca="false">O17*P17</f>
        <v>476490</v>
      </c>
    </row>
    <row r="18" customFormat="false" ht="34.5" hidden="false" customHeight="true" outlineLevel="0" collapsed="false">
      <c r="A18" s="163" t="n">
        <v>8</v>
      </c>
      <c r="B18" s="164" t="s">
        <v>22</v>
      </c>
      <c r="C18" s="161" t="n">
        <f aca="false">C165</f>
        <v>2720531</v>
      </c>
      <c r="D18" s="166" t="n">
        <f aca="false">D165</f>
        <v>1077276</v>
      </c>
      <c r="E18" s="167" t="n">
        <f aca="false">E165</f>
        <v>152.537975412058</v>
      </c>
      <c r="F18" s="166" t="n">
        <f aca="false">F165</f>
        <v>550600</v>
      </c>
      <c r="G18" s="166" t="n">
        <f aca="false">G165</f>
        <v>290168</v>
      </c>
      <c r="H18" s="167" t="n">
        <f aca="false">H165</f>
        <v>89.7521435857848</v>
      </c>
      <c r="I18" s="166" t="n">
        <f aca="false">I165</f>
        <v>1484775</v>
      </c>
      <c r="J18" s="166" t="n">
        <f aca="false">J165</f>
        <v>1136851</v>
      </c>
      <c r="K18" s="167" t="n">
        <f aca="false">K165</f>
        <v>30.604186476504</v>
      </c>
      <c r="L18" s="166" t="n">
        <f aca="false">L165</f>
        <v>135288</v>
      </c>
      <c r="M18" s="166" t="n">
        <f aca="false">M165</f>
        <v>106709</v>
      </c>
      <c r="N18" s="167" t="n">
        <f aca="false">N165</f>
        <v>26.7821833209945</v>
      </c>
      <c r="O18" s="166" t="n">
        <f aca="false">O165</f>
        <v>566</v>
      </c>
      <c r="P18" s="167" t="n">
        <f aca="false">P165</f>
        <v>96.0282685512368</v>
      </c>
      <c r="Q18" s="166" t="n">
        <f aca="false">Q165</f>
        <v>563</v>
      </c>
      <c r="R18" s="168" t="n">
        <f aca="false">O18*P18</f>
        <v>54352</v>
      </c>
    </row>
    <row r="19" customFormat="false" ht="36" hidden="false" customHeight="true" outlineLevel="0" collapsed="false">
      <c r="A19" s="163" t="n">
        <v>9</v>
      </c>
      <c r="B19" s="164" t="s">
        <v>23</v>
      </c>
      <c r="C19" s="161" t="n">
        <f aca="false">C120</f>
        <v>1412996</v>
      </c>
      <c r="D19" s="166" t="n">
        <f aca="false">D120</f>
        <v>1486579</v>
      </c>
      <c r="E19" s="167" t="n">
        <f aca="false">E120</f>
        <v>-4.94982103204741</v>
      </c>
      <c r="F19" s="166" t="n">
        <f aca="false">F120</f>
        <v>243362</v>
      </c>
      <c r="G19" s="166" t="n">
        <f aca="false">G120</f>
        <v>258780</v>
      </c>
      <c r="H19" s="167" t="n">
        <f aca="false">H120</f>
        <v>-5.95795656542236</v>
      </c>
      <c r="I19" s="166" t="n">
        <f aca="false">I120</f>
        <v>1412060</v>
      </c>
      <c r="J19" s="166" t="n">
        <f aca="false">J120</f>
        <v>1489037</v>
      </c>
      <c r="K19" s="167" t="n">
        <f aca="false">K120</f>
        <v>-5.16958275717796</v>
      </c>
      <c r="L19" s="166" t="n">
        <f aca="false">L120</f>
        <v>1089679</v>
      </c>
      <c r="M19" s="166" t="n">
        <f aca="false">M120</f>
        <v>1002876</v>
      </c>
      <c r="N19" s="167" t="n">
        <f aca="false">N120</f>
        <v>8.65540704932614</v>
      </c>
      <c r="O19" s="166" t="n">
        <f aca="false">O120</f>
        <v>1871</v>
      </c>
      <c r="P19" s="167" t="n">
        <f aca="false">P120</f>
        <v>68.5456974879744</v>
      </c>
      <c r="Q19" s="166" t="n">
        <f aca="false">Q120</f>
        <v>1768</v>
      </c>
      <c r="R19" s="168" t="n">
        <f aca="false">O19*P19</f>
        <v>128249</v>
      </c>
    </row>
    <row r="20" customFormat="false" ht="24" hidden="false" customHeight="true" outlineLevel="0" collapsed="false">
      <c r="A20" s="163" t="n">
        <v>10</v>
      </c>
      <c r="B20" s="164" t="s">
        <v>24</v>
      </c>
      <c r="C20" s="161" t="n">
        <f aca="false">C131</f>
        <v>40610</v>
      </c>
      <c r="D20" s="166" t="n">
        <f aca="false">D131</f>
        <v>101574</v>
      </c>
      <c r="E20" s="167" t="n">
        <f aca="false">E131</f>
        <v>-60.0192962766062</v>
      </c>
      <c r="F20" s="166" t="n">
        <f aca="false">F131</f>
        <v>3415</v>
      </c>
      <c r="G20" s="166" t="n">
        <f aca="false">G131</f>
        <v>22994</v>
      </c>
      <c r="H20" s="167" t="n">
        <f aca="false">H131</f>
        <v>-85.148299556406</v>
      </c>
      <c r="I20" s="166" t="n">
        <f aca="false">I131</f>
        <v>42557</v>
      </c>
      <c r="J20" s="166" t="n">
        <f aca="false">J131</f>
        <v>133781</v>
      </c>
      <c r="K20" s="167" t="n">
        <f aca="false">K131</f>
        <v>-68.1890552470082</v>
      </c>
      <c r="L20" s="166" t="n">
        <f aca="false">L131</f>
        <v>0</v>
      </c>
      <c r="M20" s="166" t="n">
        <f aca="false">M131</f>
        <v>0</v>
      </c>
      <c r="N20" s="167" t="n">
        <f aca="false">N131</f>
        <v>0</v>
      </c>
      <c r="O20" s="166" t="n">
        <f aca="false">O131</f>
        <v>96</v>
      </c>
      <c r="P20" s="167" t="n">
        <f aca="false">P131</f>
        <v>76.9791666666667</v>
      </c>
      <c r="Q20" s="166" t="n">
        <f aca="false">Q131</f>
        <v>96</v>
      </c>
      <c r="R20" s="168" t="n">
        <f aca="false">O20*P20</f>
        <v>7390</v>
      </c>
    </row>
    <row r="21" customFormat="false" ht="32.25" hidden="false" customHeight="true" outlineLevel="0" collapsed="false">
      <c r="A21" s="163" t="n">
        <v>11</v>
      </c>
      <c r="B21" s="164" t="s">
        <v>25</v>
      </c>
      <c r="C21" s="161" t="n">
        <f aca="false">C190</f>
        <v>308148.6</v>
      </c>
      <c r="D21" s="166" t="n">
        <f aca="false">D190</f>
        <v>431212.7</v>
      </c>
      <c r="E21" s="167" t="n">
        <f aca="false">E190</f>
        <v>-28.5390713214152</v>
      </c>
      <c r="F21" s="166" t="n">
        <f aca="false">F190</f>
        <v>95465.5</v>
      </c>
      <c r="G21" s="166" t="n">
        <f aca="false">G190</f>
        <v>79293.7</v>
      </c>
      <c r="H21" s="167" t="n">
        <f aca="false">H190</f>
        <v>20.3948106848337</v>
      </c>
      <c r="I21" s="166" t="n">
        <f aca="false">I190</f>
        <v>132544.2</v>
      </c>
      <c r="J21" s="166" t="n">
        <f aca="false">J190</f>
        <v>297964.9</v>
      </c>
      <c r="K21" s="167" t="n">
        <f aca="false">K190</f>
        <v>-55.51684107759</v>
      </c>
      <c r="L21" s="166" t="n">
        <f aca="false">L190</f>
        <v>1213</v>
      </c>
      <c r="M21" s="166" t="n">
        <f aca="false">M190</f>
        <v>47032</v>
      </c>
      <c r="N21" s="167" t="n">
        <f aca="false">N190</f>
        <v>-97.420904915802</v>
      </c>
      <c r="O21" s="166" t="n">
        <f aca="false">O190</f>
        <v>510</v>
      </c>
      <c r="P21" s="167" t="n">
        <f aca="false">P190</f>
        <v>148.904117647059</v>
      </c>
      <c r="Q21" s="166" t="n">
        <f aca="false">Q190</f>
        <v>523</v>
      </c>
      <c r="R21" s="168" t="n">
        <f aca="false">O21*P21</f>
        <v>75941.1</v>
      </c>
    </row>
    <row r="22" customFormat="false" ht="39.75" hidden="false" customHeight="true" outlineLevel="0" collapsed="false">
      <c r="A22" s="163" t="n">
        <v>12</v>
      </c>
      <c r="B22" s="164" t="s">
        <v>26</v>
      </c>
      <c r="C22" s="161" t="n">
        <f aca="false">C195</f>
        <v>60872</v>
      </c>
      <c r="D22" s="166" t="n">
        <f aca="false">D195</f>
        <v>24763</v>
      </c>
      <c r="E22" s="167" t="n">
        <f aca="false">E195</f>
        <v>145.818358034164</v>
      </c>
      <c r="F22" s="166" t="n">
        <f aca="false">F195</f>
        <v>5523</v>
      </c>
      <c r="G22" s="166" t="n">
        <f aca="false">G195</f>
        <v>10189</v>
      </c>
      <c r="H22" s="167" t="n">
        <f aca="false">H195</f>
        <v>-45.7944842477181</v>
      </c>
      <c r="I22" s="166" t="n">
        <f aca="false">I195</f>
        <v>60772</v>
      </c>
      <c r="J22" s="166" t="n">
        <f aca="false">J195</f>
        <v>21763</v>
      </c>
      <c r="K22" s="167" t="n">
        <f aca="false">K195</f>
        <v>179.244589440794</v>
      </c>
      <c r="L22" s="166" t="n">
        <f aca="false">L195</f>
        <v>32021</v>
      </c>
      <c r="M22" s="166" t="n">
        <f aca="false">M195</f>
        <v>21648</v>
      </c>
      <c r="N22" s="167" t="n">
        <f aca="false">N195</f>
        <v>47.9166666666667</v>
      </c>
      <c r="O22" s="166" t="n">
        <f aca="false">O195</f>
        <v>225</v>
      </c>
      <c r="P22" s="167" t="n">
        <f aca="false">P195</f>
        <v>154.946666666667</v>
      </c>
      <c r="Q22" s="166" t="n">
        <f aca="false">Q195</f>
        <v>226</v>
      </c>
      <c r="R22" s="168" t="n">
        <f aca="false">O22*P22</f>
        <v>34863</v>
      </c>
    </row>
    <row r="23" s="174" customFormat="true" ht="15" hidden="false" customHeight="false" outlineLevel="0" collapsed="false">
      <c r="A23" s="307"/>
      <c r="B23" s="308" t="s">
        <v>27</v>
      </c>
      <c r="C23" s="309" t="n">
        <f aca="false">SUM(C10:C22)</f>
        <v>129148330.6</v>
      </c>
      <c r="D23" s="309" t="n">
        <f aca="false">SUM(D10:D22)</f>
        <v>116500970.7</v>
      </c>
      <c r="E23" s="310" t="n">
        <f aca="false">C23/D23*100-100</f>
        <v>10.856012464109</v>
      </c>
      <c r="F23" s="309" t="n">
        <f aca="false">SUM(F10:F22)</f>
        <v>33562566.5</v>
      </c>
      <c r="G23" s="309" t="n">
        <f aca="false">SUM(G10:G22)</f>
        <v>32704332.7</v>
      </c>
      <c r="H23" s="310" t="n">
        <f aca="false">F23/G23*100-100</f>
        <v>2.62422049051622</v>
      </c>
      <c r="I23" s="309" t="n">
        <f aca="false">SUM(I10:I22)</f>
        <v>129363283.2</v>
      </c>
      <c r="J23" s="309" t="n">
        <f aca="false">SUM(J10:J22)</f>
        <v>109580254.9</v>
      </c>
      <c r="K23" s="310" t="n">
        <f aca="false">I23/J23*100-100</f>
        <v>18.0534607425886</v>
      </c>
      <c r="L23" s="309" t="n">
        <f aca="false">SUM(L10:L22)</f>
        <v>98848610</v>
      </c>
      <c r="M23" s="309" t="n">
        <f aca="false">SUM(M10:M22)</f>
        <v>81691416</v>
      </c>
      <c r="N23" s="310" t="n">
        <f aca="false">L23/M23*100-100</f>
        <v>21.0024441246067</v>
      </c>
      <c r="O23" s="309" t="n">
        <f aca="false">SUM(O10:O22)</f>
        <v>20386</v>
      </c>
      <c r="P23" s="311" t="n">
        <f aca="false">R23/O23</f>
        <v>130.32007750417</v>
      </c>
      <c r="Q23" s="309" t="n">
        <f aca="false">SUM(Q10:Q22)</f>
        <v>19978</v>
      </c>
      <c r="R23" s="312" t="n">
        <f aca="false">SUM(R10:R22)</f>
        <v>2656705.1</v>
      </c>
    </row>
    <row r="24" customFormat="false" ht="153" hidden="false" customHeight="tru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0.75" hidden="true" customHeight="tru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5" hidden="true" customHeight="fals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0.75" hidden="true" customHeight="tru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tru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0.75" hidden="tru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33.75" hidden="false" customHeight="true" outlineLevel="0" collapsed="false">
      <c r="A30" s="178" t="s">
        <v>188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</row>
    <row r="31" customFormat="false" ht="6.75" hidden="true" customHeight="true" outlineLevel="0" collapsed="false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9"/>
    </row>
    <row r="32" customFormat="false" ht="3.75" hidden="true" customHeight="true" outlineLevel="0" collapsed="false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80"/>
    </row>
    <row r="33" customFormat="false" ht="19.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60" hidden="false" customHeight="true" outlineLevel="0" collapsed="false">
      <c r="A34" s="181"/>
      <c r="B34" s="182"/>
      <c r="C34" s="186" t="s">
        <v>9</v>
      </c>
      <c r="D34" s="186" t="s">
        <v>33</v>
      </c>
      <c r="E34" s="188" t="s">
        <v>189</v>
      </c>
      <c r="F34" s="186" t="s">
        <v>12</v>
      </c>
      <c r="G34" s="186" t="s">
        <v>35</v>
      </c>
      <c r="H34" s="188" t="s">
        <v>189</v>
      </c>
      <c r="I34" s="186" t="s">
        <v>13</v>
      </c>
      <c r="J34" s="186" t="s">
        <v>33</v>
      </c>
      <c r="K34" s="188" t="s">
        <v>189</v>
      </c>
      <c r="L34" s="186" t="s">
        <v>13</v>
      </c>
      <c r="M34" s="186" t="s">
        <v>33</v>
      </c>
      <c r="N34" s="188" t="s">
        <v>189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43036</v>
      </c>
      <c r="D37" s="200" t="n">
        <v>52589</v>
      </c>
      <c r="E37" s="201" t="n">
        <f aca="false">C37/D37*100-100</f>
        <v>-18.1653958052064</v>
      </c>
      <c r="F37" s="200" t="n">
        <v>13627</v>
      </c>
      <c r="G37" s="200" t="n">
        <v>20388</v>
      </c>
      <c r="H37" s="201" t="n">
        <f aca="false">F37/G37*100-100</f>
        <v>-33.1616637237591</v>
      </c>
      <c r="I37" s="200" t="n">
        <v>43036</v>
      </c>
      <c r="J37" s="200" t="n">
        <v>45089</v>
      </c>
      <c r="K37" s="201" t="n">
        <f aca="false">I37/J37*100-100</f>
        <v>-4.55321697087982</v>
      </c>
      <c r="L37" s="200" t="n">
        <v>1672</v>
      </c>
      <c r="M37" s="200" t="n">
        <v>3649</v>
      </c>
      <c r="N37" s="201" t="n">
        <f aca="false">L37/M37*100-100</f>
        <v>-54.1792271855303</v>
      </c>
      <c r="O37" s="200" t="n">
        <v>83</v>
      </c>
      <c r="P37" s="200" t="n">
        <v>102</v>
      </c>
      <c r="Q37" s="200" t="n">
        <v>85</v>
      </c>
      <c r="R37" s="202" t="n">
        <f aca="false">O37*P37</f>
        <v>8466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99887</v>
      </c>
      <c r="D38" s="200" t="n">
        <v>92537</v>
      </c>
      <c r="E38" s="201" t="n">
        <f aca="false">C38/D38*100-100</f>
        <v>7.94276883841059</v>
      </c>
      <c r="F38" s="200" t="n">
        <v>80765</v>
      </c>
      <c r="G38" s="200" t="n">
        <v>0</v>
      </c>
      <c r="H38" s="201" t="n">
        <v>0</v>
      </c>
      <c r="I38" s="200" t="n">
        <v>99887</v>
      </c>
      <c r="J38" s="200" t="n">
        <v>92537</v>
      </c>
      <c r="K38" s="201" t="n">
        <f aca="false">I38/J38*100-100</f>
        <v>7.94276883841059</v>
      </c>
      <c r="L38" s="200" t="n">
        <v>66497</v>
      </c>
      <c r="M38" s="200" t="n">
        <v>91158</v>
      </c>
      <c r="N38" s="201" t="n">
        <f aca="false">L38/M38*100-100</f>
        <v>-27.0530288071261</v>
      </c>
      <c r="O38" s="203" t="n">
        <v>96</v>
      </c>
      <c r="P38" s="204" t="n">
        <v>170</v>
      </c>
      <c r="Q38" s="203" t="n">
        <v>20</v>
      </c>
      <c r="R38" s="202" t="n">
        <f aca="false">O38*P38</f>
        <v>16320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23916</v>
      </c>
      <c r="D39" s="200" t="n">
        <v>18811</v>
      </c>
      <c r="E39" s="201" t="n">
        <f aca="false">C39/D39*100-100</f>
        <v>27.1383764818457</v>
      </c>
      <c r="F39" s="200" t="n">
        <v>5060</v>
      </c>
      <c r="G39" s="200" t="n">
        <v>6178</v>
      </c>
      <c r="H39" s="201" t="n">
        <f aca="false">F39/G39*100-100</f>
        <v>-18.0964713499514</v>
      </c>
      <c r="I39" s="200" t="n">
        <v>29574</v>
      </c>
      <c r="J39" s="200" t="n">
        <v>35645</v>
      </c>
      <c r="K39" s="201" t="n">
        <f aca="false">I39/J39*100-100</f>
        <v>-17.0318417730397</v>
      </c>
      <c r="L39" s="200" t="n">
        <v>0</v>
      </c>
      <c r="M39" s="200" t="n">
        <v>0</v>
      </c>
      <c r="N39" s="201" t="n">
        <v>0</v>
      </c>
      <c r="O39" s="203" t="n">
        <v>24</v>
      </c>
      <c r="P39" s="204" t="n">
        <v>90</v>
      </c>
      <c r="Q39" s="203" t="n">
        <v>24</v>
      </c>
      <c r="R39" s="202" t="n">
        <f aca="false">O39*P39</f>
        <v>2160</v>
      </c>
    </row>
    <row r="40" customFormat="false" ht="15" hidden="false" customHeight="false" outlineLevel="0" collapsed="false">
      <c r="A40" s="198" t="n">
        <v>4</v>
      </c>
      <c r="B40" s="199" t="s">
        <v>41</v>
      </c>
      <c r="C40" s="200" t="n">
        <v>5030</v>
      </c>
      <c r="D40" s="200" t="n">
        <v>3580</v>
      </c>
      <c r="E40" s="201" t="n">
        <f aca="false">C40/D40*100-100</f>
        <v>40.5027932960894</v>
      </c>
      <c r="F40" s="200" t="n">
        <v>0</v>
      </c>
      <c r="G40" s="200" t="n">
        <v>2400</v>
      </c>
      <c r="H40" s="201" t="n">
        <f aca="false">F40/G40*100-100</f>
        <v>-100</v>
      </c>
      <c r="I40" s="200" t="n">
        <v>5312</v>
      </c>
      <c r="J40" s="200" t="n">
        <v>3180</v>
      </c>
      <c r="K40" s="201" t="n">
        <f aca="false">I40/J40*100-100</f>
        <v>67.0440251572327</v>
      </c>
      <c r="L40" s="200" t="n">
        <v>5312</v>
      </c>
      <c r="M40" s="200" t="n">
        <v>3180</v>
      </c>
      <c r="N40" s="201" t="n">
        <f aca="false">L40/M40*100-100</f>
        <v>67.0440251572327</v>
      </c>
      <c r="O40" s="203" t="n">
        <v>20</v>
      </c>
      <c r="P40" s="204" t="n">
        <v>60</v>
      </c>
      <c r="Q40" s="203" t="n">
        <v>20</v>
      </c>
      <c r="R40" s="202" t="n">
        <f aca="false">O40*P40</f>
        <v>1200</v>
      </c>
    </row>
    <row r="41" customFormat="false" ht="15" hidden="false" customHeight="false" outlineLevel="0" collapsed="false">
      <c r="A41" s="198" t="n">
        <v>5</v>
      </c>
      <c r="B41" s="199" t="s">
        <v>42</v>
      </c>
      <c r="C41" s="206" t="n">
        <v>15119</v>
      </c>
      <c r="D41" s="206" t="n">
        <v>17494</v>
      </c>
      <c r="E41" s="201" t="n">
        <f aca="false">C41/D41*100-100</f>
        <v>-13.5760832285355</v>
      </c>
      <c r="F41" s="206" t="n">
        <v>5054</v>
      </c>
      <c r="G41" s="206" t="n">
        <v>4752</v>
      </c>
      <c r="H41" s="201" t="n">
        <f aca="false">F41/G41*100-100</f>
        <v>6.35521885521885</v>
      </c>
      <c r="I41" s="206" t="n">
        <v>21689</v>
      </c>
      <c r="J41" s="206" t="n">
        <v>21815</v>
      </c>
      <c r="K41" s="201" t="n">
        <f aca="false">I41/J41*100-100</f>
        <v>-0.577584231033683</v>
      </c>
      <c r="L41" s="206" t="n">
        <v>1345</v>
      </c>
      <c r="M41" s="206" t="n">
        <v>3293</v>
      </c>
      <c r="N41" s="201" t="n">
        <f aca="false">L41/M41*100-100</f>
        <v>-59.1557849984816</v>
      </c>
      <c r="O41" s="203" t="n">
        <v>54</v>
      </c>
      <c r="P41" s="204" t="n">
        <v>70</v>
      </c>
      <c r="Q41" s="203" t="n">
        <v>54</v>
      </c>
      <c r="R41" s="202" t="n">
        <f aca="false">O41*P41</f>
        <v>3780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36349</v>
      </c>
      <c r="D42" s="200" t="n">
        <v>17918</v>
      </c>
      <c r="E42" s="201" t="n">
        <f aca="false">C42/D42*100-100</f>
        <v>102.863042750307</v>
      </c>
      <c r="F42" s="200" t="n">
        <v>11758</v>
      </c>
      <c r="G42" s="200" t="n">
        <v>6042</v>
      </c>
      <c r="H42" s="201" t="n">
        <f aca="false">F42/G42*100-100</f>
        <v>94.6044356173453</v>
      </c>
      <c r="I42" s="200" t="n">
        <v>30348</v>
      </c>
      <c r="J42" s="200" t="n">
        <v>18160</v>
      </c>
      <c r="K42" s="201" t="n">
        <f aca="false">I42/J42*100-100</f>
        <v>67.1145374449339</v>
      </c>
      <c r="L42" s="200" t="n">
        <v>0</v>
      </c>
      <c r="M42" s="200" t="n">
        <v>0</v>
      </c>
      <c r="N42" s="201" t="n">
        <v>0</v>
      </c>
      <c r="O42" s="203" t="n">
        <v>63</v>
      </c>
      <c r="P42" s="204" t="n">
        <v>90</v>
      </c>
      <c r="Q42" s="203" t="n">
        <v>64</v>
      </c>
      <c r="R42" s="202" t="n">
        <f aca="false">O42*P42</f>
        <v>5670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3402</v>
      </c>
      <c r="D43" s="200" t="n">
        <v>0</v>
      </c>
      <c r="E43" s="201" t="n">
        <v>0</v>
      </c>
      <c r="F43" s="200" t="n">
        <v>800</v>
      </c>
      <c r="G43" s="200" t="n">
        <v>0</v>
      </c>
      <c r="H43" s="201" t="n">
        <v>0</v>
      </c>
      <c r="I43" s="200" t="n">
        <v>3402</v>
      </c>
      <c r="J43" s="200" t="n">
        <v>0</v>
      </c>
      <c r="K43" s="201" t="n">
        <v>0</v>
      </c>
      <c r="L43" s="200" t="n">
        <v>0</v>
      </c>
      <c r="M43" s="200" t="n">
        <v>0</v>
      </c>
      <c r="N43" s="201" t="n">
        <v>0</v>
      </c>
      <c r="O43" s="203" t="n">
        <v>23</v>
      </c>
      <c r="P43" s="204" t="n">
        <v>71</v>
      </c>
      <c r="Q43" s="203" t="n">
        <v>23</v>
      </c>
      <c r="R43" s="202" t="n">
        <f aca="false">O43*P43</f>
        <v>1633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6" t="n">
        <v>41260</v>
      </c>
      <c r="D44" s="206" t="n">
        <v>25200</v>
      </c>
      <c r="E44" s="201" t="n">
        <f aca="false">C44/D44*100-100</f>
        <v>63.7301587301587</v>
      </c>
      <c r="F44" s="206" t="n">
        <v>9092</v>
      </c>
      <c r="G44" s="206" t="n">
        <v>6508</v>
      </c>
      <c r="H44" s="201" t="n">
        <f aca="false">F44/G44*100-100</f>
        <v>39.7049784880147</v>
      </c>
      <c r="I44" s="206" t="n">
        <v>41057</v>
      </c>
      <c r="J44" s="206" t="n">
        <v>26533</v>
      </c>
      <c r="K44" s="201" t="n">
        <f aca="false">I44/J44*100-100</f>
        <v>54.7393811480044</v>
      </c>
      <c r="L44" s="200" t="n">
        <v>0</v>
      </c>
      <c r="M44" s="200" t="n">
        <v>0</v>
      </c>
      <c r="N44" s="201" t="n">
        <v>0</v>
      </c>
      <c r="O44" s="203" t="n">
        <v>58</v>
      </c>
      <c r="P44" s="204" t="n">
        <v>82</v>
      </c>
      <c r="Q44" s="203" t="n">
        <v>48</v>
      </c>
      <c r="R44" s="202" t="n">
        <f aca="false">O44*P44</f>
        <v>4756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57107</v>
      </c>
      <c r="D45" s="200" t="n">
        <v>78919</v>
      </c>
      <c r="E45" s="201" t="n">
        <f aca="false">C45/D45*100-100</f>
        <v>-27.638464755002</v>
      </c>
      <c r="F45" s="208" t="n">
        <v>22061</v>
      </c>
      <c r="G45" s="200" t="n">
        <v>23604</v>
      </c>
      <c r="H45" s="201" t="n">
        <f aca="false">F45/G45*100-100</f>
        <v>-6.53702762243688</v>
      </c>
      <c r="I45" s="200" t="n">
        <v>47301</v>
      </c>
      <c r="J45" s="209" t="n">
        <v>66760</v>
      </c>
      <c r="K45" s="201" t="n">
        <f aca="false">I45/J45*100-100</f>
        <v>-29.1476932294787</v>
      </c>
      <c r="L45" s="200" t="n">
        <v>0</v>
      </c>
      <c r="M45" s="200" t="n">
        <v>0</v>
      </c>
      <c r="N45" s="201" t="n">
        <v>0</v>
      </c>
      <c r="O45" s="203" t="n">
        <v>64</v>
      </c>
      <c r="P45" s="204" t="n">
        <v>150</v>
      </c>
      <c r="Q45" s="203" t="n">
        <v>63</v>
      </c>
      <c r="R45" s="202" t="n">
        <f aca="false">O45*P45</f>
        <v>9600</v>
      </c>
    </row>
    <row r="46" s="211" customFormat="true" ht="15" hidden="false" customHeight="false" outlineLevel="0" collapsed="false">
      <c r="A46" s="210" t="n">
        <v>10</v>
      </c>
      <c r="B46" s="199" t="s">
        <v>47</v>
      </c>
      <c r="C46" s="208" t="n">
        <v>277739</v>
      </c>
      <c r="D46" s="200" t="n">
        <v>548554</v>
      </c>
      <c r="E46" s="201" t="n">
        <f aca="false">C46/D46*100-100</f>
        <v>-49.3688861989886</v>
      </c>
      <c r="F46" s="208" t="n">
        <v>80909</v>
      </c>
      <c r="G46" s="200" t="n">
        <v>197607</v>
      </c>
      <c r="H46" s="201" t="n">
        <f aca="false">F46/G46*100-100</f>
        <v>-59.0556002570759</v>
      </c>
      <c r="I46" s="200" t="n">
        <v>204938</v>
      </c>
      <c r="J46" s="200" t="n">
        <v>315247</v>
      </c>
      <c r="K46" s="201" t="n">
        <f aca="false">I46/J46*100-100</f>
        <v>-34.9912925420385</v>
      </c>
      <c r="L46" s="200" t="n">
        <v>202655</v>
      </c>
      <c r="M46" s="200" t="n">
        <v>314934</v>
      </c>
      <c r="N46" s="201" t="n">
        <f aca="false">L46/M46*100-100</f>
        <v>-35.651596842513</v>
      </c>
      <c r="O46" s="203" t="n">
        <v>190</v>
      </c>
      <c r="P46" s="204" t="n">
        <v>84</v>
      </c>
      <c r="Q46" s="203" t="n">
        <v>190</v>
      </c>
      <c r="R46" s="202" t="n">
        <f aca="false">O46*P46</f>
        <v>15960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0</v>
      </c>
      <c r="D47" s="200" t="n">
        <v>1190</v>
      </c>
      <c r="E47" s="201" t="n">
        <v>0</v>
      </c>
      <c r="F47" s="200" t="n">
        <v>0</v>
      </c>
      <c r="G47" s="200" t="n">
        <v>0</v>
      </c>
      <c r="H47" s="201" t="n">
        <v>0</v>
      </c>
      <c r="I47" s="200" t="n">
        <v>0</v>
      </c>
      <c r="J47" s="200" t="n">
        <v>2452</v>
      </c>
      <c r="K47" s="201" t="n">
        <v>0</v>
      </c>
      <c r="L47" s="200" t="n">
        <v>0</v>
      </c>
      <c r="M47" s="200" t="n">
        <v>2452</v>
      </c>
      <c r="N47" s="201" t="n">
        <v>0</v>
      </c>
      <c r="O47" s="203" t="n">
        <v>24</v>
      </c>
      <c r="P47" s="204" t="n">
        <v>80</v>
      </c>
      <c r="Q47" s="203" t="n">
        <v>25</v>
      </c>
      <c r="R47" s="202" t="n">
        <f aca="false">O47*P47</f>
        <v>1920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26203</v>
      </c>
      <c r="D48" s="200" t="n">
        <v>32634</v>
      </c>
      <c r="E48" s="201" t="n">
        <f aca="false">C48/D48*100-100</f>
        <v>-19.7064411350126</v>
      </c>
      <c r="F48" s="212" t="n">
        <v>882</v>
      </c>
      <c r="G48" s="212" t="n">
        <v>9994</v>
      </c>
      <c r="H48" s="201" t="n">
        <f aca="false">F48/G48*100-100</f>
        <v>-91.1747048228937</v>
      </c>
      <c r="I48" s="212" t="n">
        <v>31115</v>
      </c>
      <c r="J48" s="212" t="n">
        <v>29094</v>
      </c>
      <c r="K48" s="201" t="n">
        <f aca="false">I48/J48*100-100</f>
        <v>6.94644943974703</v>
      </c>
      <c r="L48" s="213" t="n">
        <f aca="false">27298+3817</f>
        <v>31115</v>
      </c>
      <c r="M48" s="212" t="n">
        <v>29094</v>
      </c>
      <c r="N48" s="201" t="n">
        <f aca="false">L48/M48*100-100</f>
        <v>6.94644943974703</v>
      </c>
      <c r="O48" s="203" t="n">
        <v>26</v>
      </c>
      <c r="P48" s="204" t="n">
        <v>138</v>
      </c>
      <c r="Q48" s="203" t="n">
        <v>26</v>
      </c>
      <c r="R48" s="202" t="n">
        <f aca="false">O48*P48</f>
        <v>3588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107902</v>
      </c>
      <c r="D49" s="207" t="n">
        <v>132941</v>
      </c>
      <c r="E49" s="201" t="n">
        <f aca="false">C49/D49*100-100</f>
        <v>-18.8346710194748</v>
      </c>
      <c r="F49" s="207" t="n">
        <v>12172</v>
      </c>
      <c r="G49" s="207" t="n">
        <v>30507</v>
      </c>
      <c r="H49" s="201" t="n">
        <f aca="false">F49/G49*100-100</f>
        <v>-60.1009604353099</v>
      </c>
      <c r="I49" s="200" t="n">
        <v>96041</v>
      </c>
      <c r="J49" s="200" t="n">
        <v>111177</v>
      </c>
      <c r="K49" s="201" t="n">
        <f aca="false">I49/J49*100-100</f>
        <v>-13.6143267042644</v>
      </c>
      <c r="L49" s="207" t="n">
        <v>0</v>
      </c>
      <c r="M49" s="207" t="n">
        <v>0</v>
      </c>
      <c r="N49" s="201" t="n">
        <v>0</v>
      </c>
      <c r="O49" s="203" t="n">
        <v>73</v>
      </c>
      <c r="P49" s="204" t="n">
        <v>151</v>
      </c>
      <c r="Q49" s="203" t="n">
        <v>77</v>
      </c>
      <c r="R49" s="202" t="n">
        <f aca="false">O49*P49</f>
        <v>11023</v>
      </c>
    </row>
    <row r="50" customFormat="false" ht="15" hidden="false" customHeight="false" outlineLevel="0" collapsed="false">
      <c r="A50" s="198" t="n">
        <v>14</v>
      </c>
      <c r="B50" s="199" t="s">
        <v>51</v>
      </c>
      <c r="C50" s="203" t="n">
        <v>7656</v>
      </c>
      <c r="D50" s="203" t="n">
        <v>6666</v>
      </c>
      <c r="E50" s="201" t="n">
        <f aca="false">C50/D50*100-100</f>
        <v>14.8514851485148</v>
      </c>
      <c r="F50" s="203" t="n">
        <v>1348</v>
      </c>
      <c r="G50" s="203" t="n">
        <v>1748</v>
      </c>
      <c r="H50" s="201" t="n">
        <f aca="false">F50/G50*100-100</f>
        <v>-22.883295194508</v>
      </c>
      <c r="I50" s="203" t="n">
        <v>5350</v>
      </c>
      <c r="J50" s="203" t="n">
        <v>8301</v>
      </c>
      <c r="K50" s="201" t="n">
        <f aca="false">I50/J50*100-100</f>
        <v>-35.5499337429225</v>
      </c>
      <c r="L50" s="203" t="n">
        <v>1576</v>
      </c>
      <c r="M50" s="203" t="n">
        <v>0</v>
      </c>
      <c r="N50" s="201" t="n">
        <v>0</v>
      </c>
      <c r="O50" s="203" t="n">
        <v>13</v>
      </c>
      <c r="P50" s="204" t="n">
        <v>80</v>
      </c>
      <c r="Q50" s="203" t="n">
        <v>14</v>
      </c>
      <c r="R50" s="202" t="n">
        <f aca="false">O50*P50</f>
        <v>1040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52084</v>
      </c>
      <c r="D51" s="203" t="n">
        <v>20825</v>
      </c>
      <c r="E51" s="201" t="n">
        <f aca="false">C51/D51*100-100</f>
        <v>150.103241296519</v>
      </c>
      <c r="F51" s="203" t="n">
        <v>52084</v>
      </c>
      <c r="G51" s="203" t="n">
        <v>20610</v>
      </c>
      <c r="H51" s="201" t="n">
        <f aca="false">F51/G51*100-100</f>
        <v>152.712275594372</v>
      </c>
      <c r="I51" s="203" t="n">
        <v>86698</v>
      </c>
      <c r="J51" s="203" t="n">
        <v>38941</v>
      </c>
      <c r="K51" s="201" t="n">
        <f aca="false">I51/J51*100-100</f>
        <v>122.639377519838</v>
      </c>
      <c r="L51" s="203" t="n">
        <v>50865</v>
      </c>
      <c r="M51" s="203" t="n">
        <v>38716</v>
      </c>
      <c r="N51" s="201" t="n">
        <f aca="false">L51/M51*100-100</f>
        <v>31.3797913007542</v>
      </c>
      <c r="O51" s="203" t="n">
        <v>54</v>
      </c>
      <c r="P51" s="204" t="n">
        <v>90</v>
      </c>
      <c r="Q51" s="203" t="n">
        <v>59</v>
      </c>
      <c r="R51" s="202" t="n">
        <f aca="false">O51*P51</f>
        <v>4860</v>
      </c>
    </row>
    <row r="52" customFormat="false" ht="15" hidden="false" customHeight="false" outlineLevel="0" collapsed="false">
      <c r="A52" s="198" t="n">
        <v>16</v>
      </c>
      <c r="B52" s="199" t="s">
        <v>53</v>
      </c>
      <c r="C52" s="200" t="n">
        <v>1262</v>
      </c>
      <c r="D52" s="209" t="n">
        <v>800</v>
      </c>
      <c r="E52" s="201" t="n">
        <f aca="false">C52/D52*100-100</f>
        <v>57.75</v>
      </c>
      <c r="F52" s="200" t="n">
        <v>250</v>
      </c>
      <c r="G52" s="200" t="n">
        <v>50</v>
      </c>
      <c r="H52" s="201" t="n">
        <f aca="false">F52/G52*100-100</f>
        <v>400</v>
      </c>
      <c r="I52" s="200" t="n">
        <v>1240</v>
      </c>
      <c r="J52" s="200" t="n">
        <v>800</v>
      </c>
      <c r="K52" s="201" t="n">
        <f aca="false">I52/J52*100-100</f>
        <v>55</v>
      </c>
      <c r="L52" s="200" t="n">
        <v>0</v>
      </c>
      <c r="M52" s="200" t="n">
        <v>0</v>
      </c>
      <c r="N52" s="201" t="n">
        <v>0</v>
      </c>
      <c r="O52" s="203" t="n">
        <v>3</v>
      </c>
      <c r="P52" s="204" t="n">
        <v>45</v>
      </c>
      <c r="Q52" s="203" t="n">
        <v>3</v>
      </c>
      <c r="R52" s="202" t="n">
        <f aca="false">O52*P52</f>
        <v>135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0</v>
      </c>
      <c r="D53" s="203" t="n">
        <v>132800</v>
      </c>
      <c r="E53" s="201" t="n">
        <v>0</v>
      </c>
      <c r="F53" s="203" t="n">
        <v>0</v>
      </c>
      <c r="G53" s="203" t="n">
        <v>112000</v>
      </c>
      <c r="H53" s="201" t="n">
        <v>0</v>
      </c>
      <c r="I53" s="203" t="n">
        <v>1008108</v>
      </c>
      <c r="J53" s="203" t="n">
        <v>20800</v>
      </c>
      <c r="K53" s="201" t="n">
        <f aca="false">I53/J53*100-100</f>
        <v>4746.67307692308</v>
      </c>
      <c r="L53" s="203" t="n">
        <v>0</v>
      </c>
      <c r="M53" s="203" t="n">
        <v>0</v>
      </c>
      <c r="N53" s="201" t="n">
        <v>0</v>
      </c>
      <c r="O53" s="203" t="n">
        <v>4</v>
      </c>
      <c r="P53" s="204" t="n">
        <v>70</v>
      </c>
      <c r="Q53" s="203" t="n">
        <v>4</v>
      </c>
      <c r="R53" s="202" t="n">
        <f aca="false">O53*P53</f>
        <v>280</v>
      </c>
    </row>
    <row r="54" customFormat="false" ht="15" hidden="false" customHeight="false" outlineLevel="0" collapsed="false">
      <c r="A54" s="215" t="s">
        <v>55</v>
      </c>
      <c r="B54" s="215"/>
      <c r="C54" s="216" t="n">
        <f aca="false">SUM(C37:C53)</f>
        <v>797952</v>
      </c>
      <c r="D54" s="216" t="n">
        <f aca="false">SUM(D37:D53)</f>
        <v>1183458</v>
      </c>
      <c r="E54" s="313" t="n">
        <f aca="false">C54/D54*100-100</f>
        <v>-32.5745400343738</v>
      </c>
      <c r="F54" s="216" t="n">
        <f aca="false">SUM(F37:F53)</f>
        <v>295862</v>
      </c>
      <c r="G54" s="216" t="n">
        <f aca="false">SUM(G37:G52)</f>
        <v>330388</v>
      </c>
      <c r="H54" s="313" t="n">
        <f aca="false">F54/G54*100-100</f>
        <v>-10.4501374141918</v>
      </c>
      <c r="I54" s="216" t="n">
        <f aca="false">SUM(I37:I53)</f>
        <v>1755096</v>
      </c>
      <c r="J54" s="216" t="n">
        <f aca="false">SUM(J37:J53)</f>
        <v>836531</v>
      </c>
      <c r="K54" s="313" t="n">
        <f aca="false">I54/J54*100-100</f>
        <v>109.806450687422</v>
      </c>
      <c r="L54" s="216" t="n">
        <f aca="false">SUM(L37:L53)</f>
        <v>361037</v>
      </c>
      <c r="M54" s="216" t="n">
        <f aca="false">SUM(M37:M53)</f>
        <v>486476</v>
      </c>
      <c r="N54" s="313" t="n">
        <f aca="false">L54/M54*100-100</f>
        <v>-25.7852391484883</v>
      </c>
      <c r="O54" s="216" t="n">
        <f aca="false">SUM(O37:O53)</f>
        <v>872</v>
      </c>
      <c r="P54" s="217" t="n">
        <f aca="false">R54/O54</f>
        <v>105.952981651376</v>
      </c>
      <c r="Q54" s="216" t="n">
        <f aca="false">SUM(Q37:Q53)</f>
        <v>799</v>
      </c>
      <c r="R54" s="216" t="n">
        <f aca="false">SUM(R37:R53)</f>
        <v>92391</v>
      </c>
    </row>
    <row r="55" customFormat="false" ht="15" hidden="false" customHeight="false" outlineLevel="0" collapsed="false">
      <c r="A55" s="203"/>
      <c r="B55" s="218"/>
      <c r="C55" s="203"/>
      <c r="D55" s="203"/>
      <c r="E55" s="203"/>
      <c r="F55" s="203"/>
      <c r="G55" s="203"/>
      <c r="H55" s="203"/>
      <c r="I55" s="203"/>
      <c r="J55" s="203"/>
      <c r="K55" s="192"/>
      <c r="L55" s="203"/>
      <c r="M55" s="203"/>
      <c r="N55" s="203"/>
      <c r="O55" s="203"/>
      <c r="P55" s="219"/>
      <c r="Q55" s="203"/>
      <c r="R55" s="197"/>
    </row>
    <row r="56" customFormat="false" ht="15" hidden="false" customHeight="false" outlineLevel="0" collapsed="false">
      <c r="A56" s="195" t="s">
        <v>56</v>
      </c>
      <c r="B56" s="195"/>
      <c r="C56" s="195" t="n">
        <v>3</v>
      </c>
      <c r="D56" s="195" t="n">
        <v>4</v>
      </c>
      <c r="E56" s="196" t="n">
        <v>5</v>
      </c>
      <c r="F56" s="195" t="n">
        <v>6</v>
      </c>
      <c r="G56" s="195" t="n">
        <v>7</v>
      </c>
      <c r="H56" s="195" t="n">
        <v>8</v>
      </c>
      <c r="I56" s="195" t="n">
        <v>9</v>
      </c>
      <c r="J56" s="195" t="n">
        <v>10</v>
      </c>
      <c r="K56" s="195" t="n">
        <v>11</v>
      </c>
      <c r="L56" s="195" t="n">
        <v>12</v>
      </c>
      <c r="M56" s="195" t="n">
        <v>13</v>
      </c>
      <c r="N56" s="195" t="n">
        <v>14</v>
      </c>
      <c r="O56" s="195" t="n">
        <v>15</v>
      </c>
      <c r="P56" s="196" t="n">
        <v>16</v>
      </c>
      <c r="Q56" s="195" t="n">
        <v>15</v>
      </c>
      <c r="R56" s="197"/>
    </row>
    <row r="57" customFormat="false" ht="15" hidden="false" customHeight="false" outlineLevel="0" collapsed="false">
      <c r="A57" s="204" t="n">
        <v>1</v>
      </c>
      <c r="B57" s="220" t="s">
        <v>57</v>
      </c>
      <c r="C57" s="221" t="n">
        <v>119413</v>
      </c>
      <c r="D57" s="222" t="n">
        <v>194625</v>
      </c>
      <c r="E57" s="201" t="n">
        <f aca="false">C57/D57*100-100</f>
        <v>-38.644572896596</v>
      </c>
      <c r="F57" s="222" t="n">
        <v>33615</v>
      </c>
      <c r="G57" s="223" t="n">
        <v>43266</v>
      </c>
      <c r="H57" s="201" t="n">
        <f aca="false">F57/G57*100-100</f>
        <v>-22.3061988628484</v>
      </c>
      <c r="I57" s="222" t="n">
        <v>122838</v>
      </c>
      <c r="J57" s="222" t="n">
        <v>205173</v>
      </c>
      <c r="K57" s="201" t="n">
        <f aca="false">I57/J57*100-100</f>
        <v>-40.1295492096913</v>
      </c>
      <c r="L57" s="222" t="n">
        <v>122370</v>
      </c>
      <c r="M57" s="222" t="n">
        <v>188496</v>
      </c>
      <c r="N57" s="201" t="n">
        <f aca="false">L57/M57*100-100</f>
        <v>-35.080850522027</v>
      </c>
      <c r="O57" s="223" t="n">
        <v>150</v>
      </c>
      <c r="P57" s="222" t="n">
        <v>68</v>
      </c>
      <c r="Q57" s="223" t="n">
        <v>158</v>
      </c>
      <c r="R57" s="202" t="n">
        <f aca="false">O57*P57</f>
        <v>10200</v>
      </c>
    </row>
    <row r="58" customFormat="false" ht="15" hidden="false" customHeight="false" outlineLevel="0" collapsed="false">
      <c r="A58" s="224" t="n">
        <v>2</v>
      </c>
      <c r="B58" s="220" t="s">
        <v>58</v>
      </c>
      <c r="C58" s="200" t="n">
        <v>20628</v>
      </c>
      <c r="D58" s="200" t="n">
        <v>32546</v>
      </c>
      <c r="E58" s="201" t="n">
        <f aca="false">C58/D58*100-100</f>
        <v>-36.6189393473852</v>
      </c>
      <c r="F58" s="223" t="n">
        <v>344</v>
      </c>
      <c r="G58" s="223" t="n">
        <v>4809</v>
      </c>
      <c r="H58" s="201" t="n">
        <f aca="false">F58/G58*100-100</f>
        <v>-92.8467456851736</v>
      </c>
      <c r="I58" s="223" t="n">
        <v>20628</v>
      </c>
      <c r="J58" s="223" t="n">
        <v>44123</v>
      </c>
      <c r="K58" s="201" t="n">
        <f aca="false">I58/J58*100-100</f>
        <v>-53.2488724701403</v>
      </c>
      <c r="L58" s="223" t="n">
        <v>0</v>
      </c>
      <c r="M58" s="223" t="n">
        <v>0</v>
      </c>
      <c r="N58" s="201" t="n">
        <v>0</v>
      </c>
      <c r="O58" s="223" t="n">
        <v>118</v>
      </c>
      <c r="P58" s="223" t="n">
        <v>105</v>
      </c>
      <c r="Q58" s="223" t="n">
        <v>118</v>
      </c>
      <c r="R58" s="202" t="n">
        <f aca="false">O58*P58</f>
        <v>12390</v>
      </c>
    </row>
    <row r="59" customFormat="false" ht="15" hidden="false" customHeight="false" outlineLevel="0" collapsed="false">
      <c r="A59" s="224" t="n">
        <v>3</v>
      </c>
      <c r="B59" s="220" t="s">
        <v>59</v>
      </c>
      <c r="C59" s="223" t="n">
        <v>77595</v>
      </c>
      <c r="D59" s="223" t="n">
        <v>57924</v>
      </c>
      <c r="E59" s="201" t="n">
        <f aca="false">C59/D59*100-100</f>
        <v>33.9600165734411</v>
      </c>
      <c r="F59" s="223" t="n">
        <v>26156</v>
      </c>
      <c r="G59" s="223" t="n">
        <v>17684</v>
      </c>
      <c r="H59" s="201" t="n">
        <f aca="false">F59/G59*100-100</f>
        <v>47.9077131870618</v>
      </c>
      <c r="I59" s="223" t="n">
        <v>77595</v>
      </c>
      <c r="J59" s="223" t="n">
        <v>57924</v>
      </c>
      <c r="K59" s="201" t="n">
        <f aca="false">I59/J59*100-100</f>
        <v>33.9600165734411</v>
      </c>
      <c r="L59" s="223" t="n">
        <v>0</v>
      </c>
      <c r="M59" s="223" t="n">
        <v>0</v>
      </c>
      <c r="N59" s="201" t="n">
        <v>0</v>
      </c>
      <c r="O59" s="223" t="n">
        <v>85</v>
      </c>
      <c r="P59" s="223" t="n">
        <v>50</v>
      </c>
      <c r="Q59" s="223" t="n">
        <v>102</v>
      </c>
      <c r="R59" s="202" t="n">
        <f aca="false">O59*P59</f>
        <v>4250</v>
      </c>
    </row>
    <row r="60" customFormat="false" ht="15" hidden="false" customHeight="false" outlineLevel="0" collapsed="false">
      <c r="A60" s="204" t="n">
        <v>4</v>
      </c>
      <c r="B60" s="220" t="s">
        <v>60</v>
      </c>
      <c r="C60" s="223" t="n">
        <v>88206</v>
      </c>
      <c r="D60" s="223" t="n">
        <v>121502</v>
      </c>
      <c r="E60" s="201" t="n">
        <f aca="false">C60/D60*100-100</f>
        <v>-27.4036641372158</v>
      </c>
      <c r="F60" s="223" t="n">
        <v>36279</v>
      </c>
      <c r="G60" s="223" t="n">
        <v>25446</v>
      </c>
      <c r="H60" s="201" t="n">
        <f aca="false">F60/G60*100-100</f>
        <v>42.5725064843198</v>
      </c>
      <c r="I60" s="206" t="n">
        <v>73824</v>
      </c>
      <c r="J60" s="206" t="n">
        <v>135490</v>
      </c>
      <c r="K60" s="201" t="n">
        <f aca="false">I60/J60*100-100</f>
        <v>-45.513322016385</v>
      </c>
      <c r="L60" s="223" t="n">
        <v>0</v>
      </c>
      <c r="M60" s="223" t="n">
        <v>96603</v>
      </c>
      <c r="N60" s="201" t="n">
        <v>0</v>
      </c>
      <c r="O60" s="223" t="n">
        <v>71</v>
      </c>
      <c r="P60" s="223" t="n">
        <v>124</v>
      </c>
      <c r="Q60" s="223" t="n">
        <v>72</v>
      </c>
      <c r="R60" s="202" t="n">
        <f aca="false">O60*P60</f>
        <v>8804</v>
      </c>
    </row>
    <row r="61" customFormat="false" ht="15" hidden="false" customHeight="false" outlineLevel="0" collapsed="false">
      <c r="A61" s="224" t="n">
        <v>5</v>
      </c>
      <c r="B61" s="220" t="s">
        <v>61</v>
      </c>
      <c r="C61" s="200" t="n">
        <v>0</v>
      </c>
      <c r="D61" s="200" t="n">
        <v>0</v>
      </c>
      <c r="E61" s="201" t="n">
        <v>0</v>
      </c>
      <c r="F61" s="200" t="n">
        <v>0</v>
      </c>
      <c r="G61" s="200" t="n">
        <v>0</v>
      </c>
      <c r="H61" s="201" t="n">
        <v>0</v>
      </c>
      <c r="I61" s="200" t="n">
        <v>0</v>
      </c>
      <c r="J61" s="200" t="n">
        <v>0</v>
      </c>
      <c r="K61" s="201" t="n">
        <v>0</v>
      </c>
      <c r="L61" s="200" t="n">
        <v>0</v>
      </c>
      <c r="M61" s="200" t="n">
        <v>0</v>
      </c>
      <c r="N61" s="201" t="n">
        <v>0</v>
      </c>
      <c r="O61" s="203" t="n">
        <v>0</v>
      </c>
      <c r="P61" s="204" t="n">
        <v>0</v>
      </c>
      <c r="Q61" s="203" t="n">
        <v>0</v>
      </c>
      <c r="R61" s="202" t="n">
        <f aca="false">O61*P61</f>
        <v>0</v>
      </c>
    </row>
    <row r="62" customFormat="false" ht="15" hidden="false" customHeight="false" outlineLevel="0" collapsed="false">
      <c r="A62" s="224" t="n">
        <v>6</v>
      </c>
      <c r="B62" s="220" t="s">
        <v>62</v>
      </c>
      <c r="C62" s="223" t="n">
        <v>19267</v>
      </c>
      <c r="D62" s="223" t="n">
        <v>16918</v>
      </c>
      <c r="E62" s="201" t="n">
        <f aca="false">C62/D62*100-100</f>
        <v>13.884619931434</v>
      </c>
      <c r="F62" s="223" t="n">
        <v>4443</v>
      </c>
      <c r="G62" s="223" t="n">
        <v>5519</v>
      </c>
      <c r="H62" s="201" t="n">
        <f aca="false">F62/G62*100-100</f>
        <v>-19.4962855589781</v>
      </c>
      <c r="I62" s="223" t="n">
        <v>18336</v>
      </c>
      <c r="J62" s="223" t="n">
        <v>18790</v>
      </c>
      <c r="K62" s="201" t="n">
        <f aca="false">I62/J62*100-100</f>
        <v>-2.41617881852049</v>
      </c>
      <c r="L62" s="223" t="n">
        <v>18336</v>
      </c>
      <c r="M62" s="223" t="n">
        <v>18655</v>
      </c>
      <c r="N62" s="201" t="n">
        <f aca="false">L62/M62*100-100</f>
        <v>-1.70999731975343</v>
      </c>
      <c r="O62" s="223" t="n">
        <v>43</v>
      </c>
      <c r="P62" s="223" t="n">
        <v>56</v>
      </c>
      <c r="Q62" s="223" t="n">
        <v>38</v>
      </c>
      <c r="R62" s="202" t="n">
        <f aca="false">O62*P62</f>
        <v>2408</v>
      </c>
    </row>
    <row r="63" s="211" customFormat="true" ht="15" hidden="false" customHeight="false" outlineLevel="0" collapsed="false">
      <c r="A63" s="204" t="n">
        <v>7</v>
      </c>
      <c r="B63" s="220" t="s">
        <v>63</v>
      </c>
      <c r="C63" s="200" t="n">
        <v>6307</v>
      </c>
      <c r="D63" s="200" t="n">
        <v>18656</v>
      </c>
      <c r="E63" s="201" t="n">
        <f aca="false">C63/D63*100-100</f>
        <v>-66.1931818181818</v>
      </c>
      <c r="F63" s="200" t="n">
        <v>0</v>
      </c>
      <c r="G63" s="200" t="n">
        <v>9145</v>
      </c>
      <c r="H63" s="201" t="n">
        <v>0</v>
      </c>
      <c r="I63" s="200" t="n">
        <v>18933</v>
      </c>
      <c r="J63" s="200" t="n">
        <v>27950</v>
      </c>
      <c r="K63" s="201" t="n">
        <f aca="false">I63/J63*100-100</f>
        <v>-32.2611806797853</v>
      </c>
      <c r="L63" s="225" t="n">
        <v>18918</v>
      </c>
      <c r="M63" s="200" t="n">
        <v>27937</v>
      </c>
      <c r="N63" s="201" t="n">
        <f aca="false">L63/M63*100-100</f>
        <v>-32.2833518273258</v>
      </c>
      <c r="O63" s="223" t="n">
        <v>34</v>
      </c>
      <c r="P63" s="223" t="n">
        <v>50</v>
      </c>
      <c r="Q63" s="223" t="n">
        <v>34</v>
      </c>
      <c r="R63" s="202" t="n">
        <f aca="false">O63*P63</f>
        <v>1700</v>
      </c>
    </row>
    <row r="64" customFormat="false" ht="15" hidden="false" customHeight="false" outlineLevel="0" collapsed="false">
      <c r="A64" s="224" t="n">
        <v>8</v>
      </c>
      <c r="B64" s="220" t="s">
        <v>64</v>
      </c>
      <c r="C64" s="226" t="n">
        <v>84100</v>
      </c>
      <c r="D64" s="200" t="n">
        <v>36500</v>
      </c>
      <c r="E64" s="201" t="n">
        <f aca="false">C64/D64*100-100</f>
        <v>130.41095890411</v>
      </c>
      <c r="F64" s="200" t="n">
        <v>0</v>
      </c>
      <c r="G64" s="227" t="n">
        <v>0</v>
      </c>
      <c r="H64" s="201" t="n">
        <v>0</v>
      </c>
      <c r="I64" s="200" t="n">
        <v>117636</v>
      </c>
      <c r="J64" s="227" t="n">
        <v>47869</v>
      </c>
      <c r="K64" s="201" t="n">
        <f aca="false">I64/J64*100-100</f>
        <v>145.745680920846</v>
      </c>
      <c r="L64" s="200" t="n">
        <v>117636</v>
      </c>
      <c r="M64" s="227" t="n">
        <v>47869</v>
      </c>
      <c r="N64" s="201" t="n">
        <f aca="false">L64/M64*100-100</f>
        <v>145.745680920846</v>
      </c>
      <c r="O64" s="223" t="n">
        <v>25</v>
      </c>
      <c r="P64" s="222" t="n">
        <v>85</v>
      </c>
      <c r="Q64" s="223" t="n">
        <v>35</v>
      </c>
      <c r="R64" s="202" t="n">
        <f aca="false">O64*P64</f>
        <v>2125</v>
      </c>
    </row>
    <row r="65" customFormat="false" ht="15" hidden="false" customHeight="false" outlineLevel="0" collapsed="false">
      <c r="A65" s="224" t="n">
        <v>9</v>
      </c>
      <c r="B65" s="220" t="s">
        <v>65</v>
      </c>
      <c r="C65" s="200" t="n">
        <v>0</v>
      </c>
      <c r="D65" s="200" t="n">
        <v>0</v>
      </c>
      <c r="E65" s="201" t="n">
        <v>0</v>
      </c>
      <c r="F65" s="200" t="n">
        <v>0</v>
      </c>
      <c r="G65" s="200" t="n">
        <v>0</v>
      </c>
      <c r="H65" s="201" t="n">
        <v>0</v>
      </c>
      <c r="I65" s="200" t="n">
        <v>0</v>
      </c>
      <c r="J65" s="200" t="n">
        <v>0</v>
      </c>
      <c r="K65" s="201" t="n">
        <v>0</v>
      </c>
      <c r="L65" s="200" t="n">
        <v>0</v>
      </c>
      <c r="M65" s="200" t="n">
        <v>0</v>
      </c>
      <c r="N65" s="201" t="n">
        <v>0</v>
      </c>
      <c r="O65" s="203" t="n">
        <v>0</v>
      </c>
      <c r="P65" s="204" t="n">
        <v>0</v>
      </c>
      <c r="Q65" s="203" t="n">
        <v>0</v>
      </c>
      <c r="R65" s="202" t="n">
        <f aca="false">O65*P65</f>
        <v>0</v>
      </c>
    </row>
    <row r="66" customFormat="false" ht="15" hidden="false" customHeight="false" outlineLevel="0" collapsed="false">
      <c r="A66" s="228" t="s">
        <v>66</v>
      </c>
      <c r="B66" s="228"/>
      <c r="C66" s="229" t="n">
        <f aca="false">SUM(C57:C65)</f>
        <v>415516</v>
      </c>
      <c r="D66" s="229" t="n">
        <f aca="false">SUM(D57:D65)</f>
        <v>478671</v>
      </c>
      <c r="E66" s="313" t="n">
        <f aca="false">C66/D66*100-100</f>
        <v>-13.1938220614994</v>
      </c>
      <c r="F66" s="229" t="n">
        <f aca="false">SUM(F57:F65)</f>
        <v>100837</v>
      </c>
      <c r="G66" s="229" t="n">
        <f aca="false">SUM(G57:G65)</f>
        <v>105869</v>
      </c>
      <c r="H66" s="313" t="n">
        <f aca="false">F66/G66*100-100</f>
        <v>-4.75304385608629</v>
      </c>
      <c r="I66" s="231" t="n">
        <f aca="false">SUM(I57:I65)</f>
        <v>449790</v>
      </c>
      <c r="J66" s="229" t="n">
        <f aca="false">SUM(J57:J65)</f>
        <v>537319</v>
      </c>
      <c r="K66" s="313" t="n">
        <f aca="false">I66/J66*100-100</f>
        <v>-16.2899506624556</v>
      </c>
      <c r="L66" s="229" t="n">
        <f aca="false">SUM(L57:L65)</f>
        <v>277260</v>
      </c>
      <c r="M66" s="229" t="n">
        <f aca="false">SUM(M57:M65)</f>
        <v>379560</v>
      </c>
      <c r="N66" s="313" t="n">
        <f aca="false">L66/M66*100-100</f>
        <v>-26.952260512172</v>
      </c>
      <c r="O66" s="231" t="n">
        <f aca="false">SUM(O57:O65)</f>
        <v>526</v>
      </c>
      <c r="P66" s="230" t="n">
        <f aca="false">R66/O66</f>
        <v>79.6140684410647</v>
      </c>
      <c r="Q66" s="231" t="n">
        <f aca="false">SUM(Q57:Q65)</f>
        <v>557</v>
      </c>
      <c r="R66" s="232" t="n">
        <f aca="false">SUM(R57:R65)</f>
        <v>41877</v>
      </c>
    </row>
    <row r="67" customFormat="false" ht="15" hidden="false" customHeight="false" outlineLevel="0" collapsed="false">
      <c r="A67" s="197"/>
      <c r="B67" s="233"/>
      <c r="C67" s="197"/>
      <c r="D67" s="197"/>
      <c r="E67" s="197"/>
      <c r="F67" s="197"/>
      <c r="G67" s="197"/>
      <c r="H67" s="197"/>
      <c r="I67" s="197"/>
      <c r="J67" s="197"/>
      <c r="K67" s="234"/>
      <c r="L67" s="197"/>
      <c r="M67" s="197"/>
      <c r="N67" s="197"/>
      <c r="O67" s="197"/>
      <c r="P67" s="235"/>
      <c r="Q67" s="197"/>
      <c r="R67" s="197"/>
    </row>
    <row r="68" customFormat="false" ht="15" hidden="false" customHeight="false" outlineLevel="0" collapsed="false">
      <c r="A68" s="195" t="s">
        <v>67</v>
      </c>
      <c r="B68" s="195"/>
      <c r="C68" s="195" t="n">
        <v>3</v>
      </c>
      <c r="D68" s="195" t="n">
        <v>4</v>
      </c>
      <c r="E68" s="196" t="n">
        <v>5</v>
      </c>
      <c r="F68" s="195" t="n">
        <v>6</v>
      </c>
      <c r="G68" s="195" t="n">
        <v>7</v>
      </c>
      <c r="H68" s="195" t="n">
        <v>8</v>
      </c>
      <c r="I68" s="195" t="n">
        <v>9</v>
      </c>
      <c r="J68" s="195" t="n">
        <v>10</v>
      </c>
      <c r="K68" s="195" t="n">
        <v>11</v>
      </c>
      <c r="L68" s="195" t="n">
        <v>12</v>
      </c>
      <c r="M68" s="195" t="n">
        <v>13</v>
      </c>
      <c r="N68" s="195" t="n">
        <v>14</v>
      </c>
      <c r="O68" s="195" t="n">
        <v>15</v>
      </c>
      <c r="P68" s="196" t="n">
        <v>16</v>
      </c>
      <c r="Q68" s="195" t="n">
        <v>15</v>
      </c>
      <c r="R68" s="197"/>
    </row>
    <row r="69" customFormat="false" ht="15" hidden="false" customHeight="false" outlineLevel="0" collapsed="false">
      <c r="A69" s="198" t="n">
        <v>1</v>
      </c>
      <c r="B69" s="199" t="s">
        <v>68</v>
      </c>
      <c r="C69" s="203" t="n">
        <v>4197</v>
      </c>
      <c r="D69" s="203" t="n">
        <v>48715</v>
      </c>
      <c r="E69" s="201" t="n">
        <f aca="false">C69/D69*100-100</f>
        <v>-91.3845838037565</v>
      </c>
      <c r="F69" s="203" t="n">
        <v>3297</v>
      </c>
      <c r="G69" s="203" t="n">
        <v>6039</v>
      </c>
      <c r="H69" s="201" t="n">
        <f aca="false">F69/G69*100-100</f>
        <v>-45.404868355688</v>
      </c>
      <c r="I69" s="203" t="n">
        <v>4243</v>
      </c>
      <c r="J69" s="203" t="n">
        <v>86652</v>
      </c>
      <c r="K69" s="214" t="n">
        <f aca="false">I69/J69*100</f>
        <v>4.89659788579606</v>
      </c>
      <c r="L69" s="203" t="n">
        <v>0</v>
      </c>
      <c r="M69" s="203" t="n">
        <v>53172</v>
      </c>
      <c r="N69" s="201" t="n">
        <f aca="false">L69/M69*100-100</f>
        <v>-100</v>
      </c>
      <c r="O69" s="203" t="n">
        <v>149</v>
      </c>
      <c r="P69" s="219" t="n">
        <v>55</v>
      </c>
      <c r="Q69" s="203"/>
      <c r="R69" s="202" t="n">
        <f aca="false">O69*P69</f>
        <v>8195</v>
      </c>
    </row>
    <row r="70" customFormat="false" ht="15" hidden="false" customHeight="false" outlineLevel="0" collapsed="false">
      <c r="A70" s="198" t="n">
        <v>2</v>
      </c>
      <c r="B70" s="199" t="s">
        <v>69</v>
      </c>
      <c r="C70" s="208" t="n">
        <v>198704</v>
      </c>
      <c r="D70" s="208" t="n">
        <v>155484</v>
      </c>
      <c r="E70" s="201" t="n">
        <f aca="false">C70/D70*100-100</f>
        <v>27.7970723675748</v>
      </c>
      <c r="F70" s="208" t="n">
        <v>29347</v>
      </c>
      <c r="G70" s="208" t="n">
        <v>63540</v>
      </c>
      <c r="H70" s="201" t="n">
        <f aca="false">F70/G70*100-100</f>
        <v>-53.8133459238275</v>
      </c>
      <c r="I70" s="208" t="n">
        <v>199037</v>
      </c>
      <c r="J70" s="208" t="n">
        <v>155558</v>
      </c>
      <c r="K70" s="201" t="n">
        <f aca="false">I70/J70*100-100</f>
        <v>27.9503464945551</v>
      </c>
      <c r="L70" s="208" t="n">
        <v>199037</v>
      </c>
      <c r="M70" s="208" t="n">
        <v>155558</v>
      </c>
      <c r="N70" s="201" t="n">
        <f aca="false">L70/M70*100-100</f>
        <v>27.9503464945551</v>
      </c>
      <c r="O70" s="203" t="n">
        <v>23</v>
      </c>
      <c r="P70" s="204" t="n">
        <v>85</v>
      </c>
      <c r="Q70" s="203" t="n">
        <v>24</v>
      </c>
      <c r="R70" s="202" t="n">
        <f aca="false">O70*P70</f>
        <v>1955</v>
      </c>
    </row>
    <row r="71" customFormat="false" ht="15" hidden="false" customHeight="false" outlineLevel="0" collapsed="false">
      <c r="A71" s="198" t="n">
        <v>3</v>
      </c>
      <c r="B71" s="199" t="s">
        <v>70</v>
      </c>
      <c r="C71" s="203" t="n">
        <v>10006</v>
      </c>
      <c r="D71" s="203" t="n">
        <v>22162</v>
      </c>
      <c r="E71" s="201" t="n">
        <f aca="false">C71/D71*100-100</f>
        <v>-54.8506452486238</v>
      </c>
      <c r="F71" s="203" t="n">
        <v>187</v>
      </c>
      <c r="G71" s="203" t="n">
        <v>4950</v>
      </c>
      <c r="H71" s="201" t="n">
        <f aca="false">F71/G71*100-100</f>
        <v>-96.2222222222222</v>
      </c>
      <c r="I71" s="203" t="n">
        <v>11445</v>
      </c>
      <c r="J71" s="203" t="n">
        <v>20632</v>
      </c>
      <c r="K71" s="201" t="n">
        <f aca="false">I71/J71*100-100</f>
        <v>-44.527917797596</v>
      </c>
      <c r="L71" s="203" t="n">
        <v>7659</v>
      </c>
      <c r="M71" s="203" t="n">
        <v>3417</v>
      </c>
      <c r="N71" s="201" t="n">
        <f aca="false">L71/M71*100-100</f>
        <v>124.14398595259</v>
      </c>
      <c r="O71" s="203" t="n">
        <v>44</v>
      </c>
      <c r="P71" s="219" t="n">
        <v>52</v>
      </c>
      <c r="Q71" s="203" t="n">
        <v>48</v>
      </c>
      <c r="R71" s="202" t="n">
        <f aca="false">O71*P71</f>
        <v>2288</v>
      </c>
    </row>
    <row r="72" customFormat="false" ht="15" hidden="false" customHeight="false" outlineLevel="0" collapsed="false">
      <c r="A72" s="198" t="n">
        <v>4</v>
      </c>
      <c r="B72" s="199" t="s">
        <v>71</v>
      </c>
      <c r="C72" s="203" t="n">
        <v>22175</v>
      </c>
      <c r="D72" s="203" t="n">
        <v>7608</v>
      </c>
      <c r="E72" s="201" t="n">
        <f aca="false">C72/D72*100-100</f>
        <v>191.469505783386</v>
      </c>
      <c r="F72" s="203" t="n">
        <v>5996</v>
      </c>
      <c r="G72" s="203" t="n">
        <v>3887</v>
      </c>
      <c r="H72" s="201" t="n">
        <f aca="false">F72/G72*100-100</f>
        <v>54.2577823514278</v>
      </c>
      <c r="I72" s="203" t="n">
        <v>27765</v>
      </c>
      <c r="J72" s="203" t="n">
        <v>8451</v>
      </c>
      <c r="K72" s="201" t="n">
        <f aca="false">I72/J72*100-100</f>
        <v>228.541001064963</v>
      </c>
      <c r="L72" s="203" t="n">
        <v>22158</v>
      </c>
      <c r="M72" s="203" t="n">
        <v>0</v>
      </c>
      <c r="N72" s="201" t="n">
        <v>0</v>
      </c>
      <c r="O72" s="203" t="n">
        <v>74</v>
      </c>
      <c r="P72" s="236" t="n">
        <v>50</v>
      </c>
      <c r="Q72" s="203" t="n">
        <v>74</v>
      </c>
      <c r="R72" s="202" t="n">
        <f aca="false">O72*P72</f>
        <v>3700</v>
      </c>
    </row>
    <row r="73" customFormat="false" ht="15" hidden="false" customHeight="false" outlineLevel="0" collapsed="false">
      <c r="A73" s="198" t="n">
        <v>5</v>
      </c>
      <c r="B73" s="199" t="s">
        <v>72</v>
      </c>
      <c r="C73" s="203" t="n">
        <v>475</v>
      </c>
      <c r="D73" s="203" t="n">
        <v>5849</v>
      </c>
      <c r="E73" s="201" t="n">
        <f aca="false">C73/D73*100-100</f>
        <v>-91.8789536672936</v>
      </c>
      <c r="F73" s="203" t="n">
        <v>150</v>
      </c>
      <c r="G73" s="203" t="n">
        <v>3650</v>
      </c>
      <c r="H73" s="201" t="n">
        <f aca="false">F73/G73*100-100</f>
        <v>-95.8904109589041</v>
      </c>
      <c r="I73" s="203" t="n">
        <v>475</v>
      </c>
      <c r="J73" s="203" t="n">
        <v>6304</v>
      </c>
      <c r="K73" s="201" t="n">
        <f aca="false">I73/J73*100-100</f>
        <v>-92.4651015228426</v>
      </c>
      <c r="L73" s="203" t="n">
        <v>0</v>
      </c>
      <c r="M73" s="203" t="n">
        <v>0</v>
      </c>
      <c r="N73" s="201" t="n">
        <v>0</v>
      </c>
      <c r="O73" s="203" t="n">
        <v>84</v>
      </c>
      <c r="P73" s="219" t="n">
        <v>100</v>
      </c>
      <c r="Q73" s="203" t="n">
        <v>74</v>
      </c>
      <c r="R73" s="202" t="n">
        <f aca="false">O73*P73</f>
        <v>8400</v>
      </c>
    </row>
    <row r="74" s="211" customFormat="true" ht="15" hidden="false" customHeight="false" outlineLevel="0" collapsed="false">
      <c r="A74" s="210" t="n">
        <v>6</v>
      </c>
      <c r="B74" s="199" t="s">
        <v>73</v>
      </c>
      <c r="C74" s="203" t="n">
        <v>35824</v>
      </c>
      <c r="D74" s="203" t="n">
        <v>573</v>
      </c>
      <c r="E74" s="201" t="n">
        <f aca="false">C74/D74*100-100</f>
        <v>6152.00698080279</v>
      </c>
      <c r="F74" s="203" t="n">
        <v>33649</v>
      </c>
      <c r="G74" s="203" t="n">
        <v>62</v>
      </c>
      <c r="H74" s="201" t="n">
        <v>0</v>
      </c>
      <c r="I74" s="203" t="n">
        <v>54566</v>
      </c>
      <c r="J74" s="203" t="n">
        <v>755</v>
      </c>
      <c r="K74" s="201" t="n">
        <f aca="false">I74/J74*100-100</f>
        <v>7127.28476821192</v>
      </c>
      <c r="L74" s="203" t="n">
        <v>33647</v>
      </c>
      <c r="M74" s="203" t="n">
        <v>0</v>
      </c>
      <c r="N74" s="201" t="n">
        <v>0</v>
      </c>
      <c r="O74" s="203" t="n">
        <v>8</v>
      </c>
      <c r="P74" s="219" t="n">
        <v>88</v>
      </c>
      <c r="Q74" s="203" t="n">
        <v>12</v>
      </c>
      <c r="R74" s="202" t="n">
        <f aca="false">O74*P74</f>
        <v>704</v>
      </c>
    </row>
    <row r="75" customFormat="false" ht="15" hidden="false" customHeight="false" outlineLevel="0" collapsed="false">
      <c r="A75" s="198" t="n">
        <v>7</v>
      </c>
      <c r="B75" s="199" t="s">
        <v>74</v>
      </c>
      <c r="C75" s="203" t="n">
        <v>165691</v>
      </c>
      <c r="D75" s="203" t="n">
        <v>187029</v>
      </c>
      <c r="E75" s="201" t="n">
        <f aca="false">C75/D75*100-100</f>
        <v>-11.4089258884986</v>
      </c>
      <c r="F75" s="203" t="n">
        <v>30934</v>
      </c>
      <c r="G75" s="203" t="n">
        <v>35663</v>
      </c>
      <c r="H75" s="201" t="n">
        <f aca="false">F75/G75*100-100</f>
        <v>-13.2602417070914</v>
      </c>
      <c r="I75" s="203" t="n">
        <v>191834</v>
      </c>
      <c r="J75" s="203" t="n">
        <v>204812</v>
      </c>
      <c r="K75" s="201" t="n">
        <f aca="false">I75/J75*100-100</f>
        <v>-6.33654278069645</v>
      </c>
      <c r="L75" s="203" t="n">
        <v>25679</v>
      </c>
      <c r="M75" s="203" t="n">
        <v>28963</v>
      </c>
      <c r="N75" s="201" t="n">
        <f aca="false">L75/M75*100-100</f>
        <v>-11.3386044263371</v>
      </c>
      <c r="O75" s="203" t="n">
        <v>137</v>
      </c>
      <c r="P75" s="204" t="n">
        <v>200</v>
      </c>
      <c r="Q75" s="203" t="n">
        <v>137</v>
      </c>
      <c r="R75" s="202" t="n">
        <f aca="false">O75*P75</f>
        <v>27400</v>
      </c>
    </row>
    <row r="76" customFormat="false" ht="15" hidden="false" customHeight="false" outlineLevel="0" collapsed="false">
      <c r="A76" s="198" t="n">
        <v>8</v>
      </c>
      <c r="B76" s="199" t="s">
        <v>75</v>
      </c>
      <c r="C76" s="203" t="n">
        <v>31397</v>
      </c>
      <c r="D76" s="203" t="n">
        <v>1398</v>
      </c>
      <c r="E76" s="201" t="n">
        <f aca="false">C76/D76*100-100</f>
        <v>2145.85121602289</v>
      </c>
      <c r="F76" s="203" t="n">
        <v>5128</v>
      </c>
      <c r="G76" s="203" t="n">
        <v>454</v>
      </c>
      <c r="H76" s="201" t="n">
        <f aca="false">F76/G76*100-100</f>
        <v>1029.5154185022</v>
      </c>
      <c r="I76" s="203" t="n">
        <v>31397</v>
      </c>
      <c r="J76" s="203" t="n">
        <v>1538</v>
      </c>
      <c r="K76" s="201" t="n">
        <f aca="false">I76/J76*100-100</f>
        <v>1941.41742522757</v>
      </c>
      <c r="L76" s="203" t="n">
        <v>1045</v>
      </c>
      <c r="M76" s="203" t="n">
        <v>0</v>
      </c>
      <c r="N76" s="201" t="n">
        <v>0</v>
      </c>
      <c r="O76" s="203" t="n">
        <v>33</v>
      </c>
      <c r="P76" s="219" t="n">
        <v>40</v>
      </c>
      <c r="Q76" s="203" t="n">
        <v>33</v>
      </c>
      <c r="R76" s="202" t="n">
        <f aca="false">O76*P76</f>
        <v>1320</v>
      </c>
    </row>
    <row r="77" customFormat="false" ht="15" hidden="false" customHeight="false" outlineLevel="0" collapsed="false">
      <c r="A77" s="215" t="s">
        <v>76</v>
      </c>
      <c r="B77" s="215" t="s">
        <v>77</v>
      </c>
      <c r="C77" s="216" t="n">
        <f aca="false">SUM(C69:C76)</f>
        <v>468469</v>
      </c>
      <c r="D77" s="216" t="n">
        <f aca="false">SUM(D69:D76)</f>
        <v>428818</v>
      </c>
      <c r="E77" s="313" t="n">
        <f aca="false">C77/D77*100-100</f>
        <v>9.24658013422943</v>
      </c>
      <c r="F77" s="216" t="n">
        <f aca="false">SUM(F69:F76)</f>
        <v>108688</v>
      </c>
      <c r="G77" s="216" t="n">
        <f aca="false">SUM(G69:G76)</f>
        <v>118245</v>
      </c>
      <c r="H77" s="313" t="n">
        <f aca="false">F77/G77*100-100</f>
        <v>-8.0823713476257</v>
      </c>
      <c r="I77" s="216" t="n">
        <f aca="false">SUM(I69:I76)</f>
        <v>520762</v>
      </c>
      <c r="J77" s="216" t="n">
        <f aca="false">SUM(J69:J76)</f>
        <v>484702</v>
      </c>
      <c r="K77" s="313" t="n">
        <f aca="false">I77/J77*100-100</f>
        <v>7.43962269600704</v>
      </c>
      <c r="L77" s="216" t="n">
        <f aca="false">SUM(L69:L76)</f>
        <v>289225</v>
      </c>
      <c r="M77" s="216" t="n">
        <f aca="false">SUM(M69:M76)</f>
        <v>241110</v>
      </c>
      <c r="N77" s="313" t="n">
        <f aca="false">L77/M77*100-100</f>
        <v>19.9556219153084</v>
      </c>
      <c r="O77" s="216" t="n">
        <f aca="false">SUM(O69:O76)</f>
        <v>552</v>
      </c>
      <c r="P77" s="217" t="n">
        <f aca="false">R77/O77</f>
        <v>97.7572463768116</v>
      </c>
      <c r="Q77" s="216" t="n">
        <f aca="false">SUM(Q69:Q76)</f>
        <v>402</v>
      </c>
      <c r="R77" s="232" t="n">
        <f aca="false">SUM(R69:R76)</f>
        <v>53962</v>
      </c>
    </row>
    <row r="78" customFormat="false" ht="15" hidden="false" customHeight="false" outlineLevel="0" collapsed="false">
      <c r="A78" s="314" t="s">
        <v>78</v>
      </c>
      <c r="B78" s="314" t="s">
        <v>78</v>
      </c>
      <c r="C78" s="315" t="n">
        <f aca="false">C54+C66+C77</f>
        <v>1681937</v>
      </c>
      <c r="D78" s="315" t="n">
        <f aca="false">D54+D66+D77</f>
        <v>2090947</v>
      </c>
      <c r="E78" s="316" t="n">
        <f aca="false">C78/D78*100-100</f>
        <v>-19.5609931767759</v>
      </c>
      <c r="F78" s="315" t="n">
        <f aca="false">F54+F66+F77</f>
        <v>505387</v>
      </c>
      <c r="G78" s="315" t="n">
        <f aca="false">G54+G66+G77</f>
        <v>554502</v>
      </c>
      <c r="H78" s="316" t="n">
        <f aca="false">F78/G78*100-100</f>
        <v>-8.8574973579897</v>
      </c>
      <c r="I78" s="315" t="n">
        <f aca="false">I54+I66+I77</f>
        <v>2725648</v>
      </c>
      <c r="J78" s="315" t="n">
        <f aca="false">J54+J66+J77</f>
        <v>1858552</v>
      </c>
      <c r="K78" s="316" t="n">
        <f aca="false">I78/J78*100-100</f>
        <v>46.6543847037909</v>
      </c>
      <c r="L78" s="315" t="n">
        <f aca="false">L54+L66+L77</f>
        <v>927522</v>
      </c>
      <c r="M78" s="315" t="n">
        <f aca="false">M54+M66+M77</f>
        <v>1107146</v>
      </c>
      <c r="N78" s="316" t="n">
        <f aca="false">L78/M78*100-100</f>
        <v>-16.2240571704184</v>
      </c>
      <c r="O78" s="315" t="n">
        <f aca="false">O54+O66+O77</f>
        <v>1950</v>
      </c>
      <c r="P78" s="317" t="n">
        <f aca="false">R78/O78</f>
        <v>96.5282051282051</v>
      </c>
      <c r="Q78" s="315" t="n">
        <f aca="false">Q54+Q66+Q77</f>
        <v>1758</v>
      </c>
      <c r="R78" s="318" t="n">
        <f aca="false">R54+R66+R77</f>
        <v>188230</v>
      </c>
    </row>
    <row r="79" customFormat="false" ht="15" hidden="false" customHeight="false" outlineLevel="0" collapsed="false">
      <c r="A79" s="203"/>
      <c r="B79" s="218"/>
      <c r="C79" s="203"/>
      <c r="D79" s="203"/>
      <c r="E79" s="203"/>
      <c r="F79" s="203"/>
      <c r="G79" s="203"/>
      <c r="H79" s="203"/>
      <c r="I79" s="203"/>
      <c r="J79" s="203"/>
      <c r="K79" s="192"/>
      <c r="L79" s="203"/>
      <c r="M79" s="203"/>
      <c r="N79" s="203"/>
      <c r="O79" s="203"/>
      <c r="P79" s="219"/>
      <c r="Q79" s="203"/>
      <c r="R79" s="197"/>
    </row>
    <row r="80" customFormat="false" ht="15" hidden="false" customHeight="false" outlineLevel="0" collapsed="false">
      <c r="A80" s="190" t="s">
        <v>79</v>
      </c>
      <c r="B80" s="190"/>
      <c r="C80" s="195" t="n">
        <v>3</v>
      </c>
      <c r="D80" s="195" t="n">
        <v>4</v>
      </c>
      <c r="E80" s="196" t="n">
        <v>5</v>
      </c>
      <c r="F80" s="195" t="n">
        <v>6</v>
      </c>
      <c r="G80" s="195" t="n">
        <v>7</v>
      </c>
      <c r="H80" s="195" t="n">
        <v>8</v>
      </c>
      <c r="I80" s="195" t="n">
        <v>9</v>
      </c>
      <c r="J80" s="195" t="n">
        <v>10</v>
      </c>
      <c r="K80" s="195" t="n">
        <v>11</v>
      </c>
      <c r="L80" s="195" t="n">
        <v>12</v>
      </c>
      <c r="M80" s="195" t="n">
        <v>13</v>
      </c>
      <c r="N80" s="195" t="n">
        <v>14</v>
      </c>
      <c r="O80" s="195" t="n">
        <v>15</v>
      </c>
      <c r="P80" s="196" t="n">
        <v>16</v>
      </c>
      <c r="Q80" s="195" t="n">
        <v>15</v>
      </c>
      <c r="R80" s="197"/>
    </row>
    <row r="81" customFormat="false" ht="15" hidden="false" customHeight="false" outlineLevel="0" collapsed="false">
      <c r="A81" s="242" t="n">
        <v>1</v>
      </c>
      <c r="B81" s="243" t="s">
        <v>80</v>
      </c>
      <c r="C81" s="208" t="n">
        <v>1412</v>
      </c>
      <c r="D81" s="208" t="n">
        <v>10282</v>
      </c>
      <c r="E81" s="201" t="n">
        <f aca="false">C81/D81*100-100</f>
        <v>-86.26726317837</v>
      </c>
      <c r="F81" s="208" t="n">
        <v>438</v>
      </c>
      <c r="G81" s="208" t="n">
        <v>412</v>
      </c>
      <c r="H81" s="201" t="n">
        <f aca="false">F81/G81*100-100</f>
        <v>6.31067961165049</v>
      </c>
      <c r="I81" s="208" t="n">
        <v>1412</v>
      </c>
      <c r="J81" s="208" t="n">
        <v>746</v>
      </c>
      <c r="K81" s="201" t="n">
        <f aca="false">I81/J81*100-100</f>
        <v>89.2761394101877</v>
      </c>
      <c r="L81" s="203" t="n">
        <v>0</v>
      </c>
      <c r="M81" s="208" t="n">
        <v>0</v>
      </c>
      <c r="N81" s="201" t="n">
        <v>0</v>
      </c>
      <c r="O81" s="203" t="n">
        <v>2524</v>
      </c>
      <c r="P81" s="208" t="n">
        <v>113</v>
      </c>
      <c r="Q81" s="203" t="n">
        <v>2524</v>
      </c>
      <c r="R81" s="202" t="n">
        <f aca="false">O81*P81</f>
        <v>285212</v>
      </c>
    </row>
    <row r="82" customFormat="false" ht="15" hidden="false" customHeight="false" outlineLevel="0" collapsed="false">
      <c r="A82" s="244" t="n">
        <v>2</v>
      </c>
      <c r="B82" s="243" t="s">
        <v>81</v>
      </c>
      <c r="C82" s="208" t="n">
        <v>256969</v>
      </c>
      <c r="D82" s="208" t="n">
        <v>169798</v>
      </c>
      <c r="E82" s="201" t="n">
        <f aca="false">C82/D82*100-100</f>
        <v>51.3380605189696</v>
      </c>
      <c r="F82" s="208" t="n">
        <v>59644</v>
      </c>
      <c r="G82" s="208" t="n">
        <v>71101</v>
      </c>
      <c r="H82" s="201" t="n">
        <f aca="false">F82/G82*100-100</f>
        <v>-16.1136974163514</v>
      </c>
      <c r="I82" s="208" t="n">
        <v>292398</v>
      </c>
      <c r="J82" s="208" t="n">
        <v>194466</v>
      </c>
      <c r="K82" s="201" t="n">
        <f aca="false">I82/J82*100-100</f>
        <v>50.3594458671439</v>
      </c>
      <c r="L82" s="208" t="n">
        <v>287264</v>
      </c>
      <c r="M82" s="208" t="n">
        <v>192493</v>
      </c>
      <c r="N82" s="201" t="n">
        <f aca="false">L82/M82*100-100</f>
        <v>49.2334786200018</v>
      </c>
      <c r="O82" s="203" t="n">
        <v>888</v>
      </c>
      <c r="P82" s="208" t="n">
        <v>125</v>
      </c>
      <c r="Q82" s="203" t="n">
        <v>808</v>
      </c>
      <c r="R82" s="202" t="n">
        <f aca="false">O82*P82</f>
        <v>111000</v>
      </c>
    </row>
    <row r="83" customFormat="false" ht="15" hidden="false" customHeight="false" outlineLevel="0" collapsed="false">
      <c r="A83" s="242" t="n">
        <v>3</v>
      </c>
      <c r="B83" s="243" t="s">
        <v>82</v>
      </c>
      <c r="C83" s="208" t="n">
        <v>256341</v>
      </c>
      <c r="D83" s="208" t="n">
        <v>159808</v>
      </c>
      <c r="E83" s="201" t="n">
        <f aca="false">C83/D83*100-100</f>
        <v>60.4056117340809</v>
      </c>
      <c r="F83" s="208" t="n">
        <v>50600</v>
      </c>
      <c r="G83" s="208" t="n">
        <v>21864</v>
      </c>
      <c r="H83" s="201" t="n">
        <f aca="false">F83/G83*100-100</f>
        <v>131.430662275887</v>
      </c>
      <c r="I83" s="208" t="n">
        <v>420213</v>
      </c>
      <c r="J83" s="208" t="n">
        <v>474577</v>
      </c>
      <c r="K83" s="201" t="n">
        <f aca="false">I83/J83*100-100</f>
        <v>-11.4552538365745</v>
      </c>
      <c r="L83" s="208" t="n">
        <v>118552</v>
      </c>
      <c r="M83" s="208" t="n">
        <v>82143</v>
      </c>
      <c r="N83" s="201" t="n">
        <f aca="false">L83/M83*100-100</f>
        <v>44.3239229149167</v>
      </c>
      <c r="O83" s="203" t="n">
        <v>28</v>
      </c>
      <c r="P83" s="208" t="n">
        <v>306</v>
      </c>
      <c r="Q83" s="203" t="n">
        <v>26</v>
      </c>
      <c r="R83" s="202" t="n">
        <f aca="false">O83*P83</f>
        <v>8568</v>
      </c>
    </row>
    <row r="84" customFormat="false" ht="15" hidden="false" customHeight="false" outlineLevel="0" collapsed="false">
      <c r="A84" s="244" t="n">
        <v>4</v>
      </c>
      <c r="B84" s="243" t="s">
        <v>83</v>
      </c>
      <c r="C84" s="208" t="n">
        <v>324754</v>
      </c>
      <c r="D84" s="208" t="n">
        <v>255610</v>
      </c>
      <c r="E84" s="201" t="n">
        <f aca="false">C84/D84*100-100</f>
        <v>27.0505848753961</v>
      </c>
      <c r="F84" s="208" t="n">
        <v>112116</v>
      </c>
      <c r="G84" s="208" t="n">
        <v>37606</v>
      </c>
      <c r="H84" s="201" t="n">
        <f aca="false">F84/G84*100-100</f>
        <v>198.133276604797</v>
      </c>
      <c r="I84" s="208" t="n">
        <v>328427</v>
      </c>
      <c r="J84" s="208" t="n">
        <v>255589</v>
      </c>
      <c r="K84" s="201" t="n">
        <f aca="false">I84/J84*100-100</f>
        <v>28.4980965534511</v>
      </c>
      <c r="L84" s="203" t="n">
        <v>208149</v>
      </c>
      <c r="M84" s="208" t="n">
        <v>169584</v>
      </c>
      <c r="N84" s="201" t="n">
        <f aca="false">L84/M84*100-100</f>
        <v>22.7409425417492</v>
      </c>
      <c r="O84" s="203" t="n">
        <v>174</v>
      </c>
      <c r="P84" s="208" t="n">
        <v>40</v>
      </c>
      <c r="Q84" s="203" t="n">
        <v>174</v>
      </c>
      <c r="R84" s="202" t="n">
        <f aca="false">O84*P84</f>
        <v>6960</v>
      </c>
    </row>
    <row r="85" customFormat="false" ht="15" hidden="false" customHeight="false" outlineLevel="0" collapsed="false">
      <c r="A85" s="242" t="n">
        <v>5</v>
      </c>
      <c r="B85" s="243" t="s">
        <v>84</v>
      </c>
      <c r="C85" s="219" t="n">
        <v>113546</v>
      </c>
      <c r="D85" s="219" t="n">
        <v>91061</v>
      </c>
      <c r="E85" s="201" t="n">
        <f aca="false">C85/D85*100-100</f>
        <v>24.6922392681829</v>
      </c>
      <c r="F85" s="219" t="n">
        <v>23139</v>
      </c>
      <c r="G85" s="219" t="n">
        <v>37867</v>
      </c>
      <c r="H85" s="201" t="n">
        <f aca="false">F85/G85*100-100</f>
        <v>-38.8940238202129</v>
      </c>
      <c r="I85" s="219" t="n">
        <v>117450</v>
      </c>
      <c r="J85" s="219" t="n">
        <v>86672</v>
      </c>
      <c r="K85" s="201" t="n">
        <f aca="false">I85/J85*100-100</f>
        <v>35.5108916374377</v>
      </c>
      <c r="L85" s="203" t="n">
        <v>63442</v>
      </c>
      <c r="M85" s="219" t="n">
        <v>34721</v>
      </c>
      <c r="N85" s="201" t="n">
        <f aca="false">L85/M85*100-100</f>
        <v>82.7193917225886</v>
      </c>
      <c r="O85" s="203" t="n">
        <v>100</v>
      </c>
      <c r="P85" s="219" t="n">
        <v>60</v>
      </c>
      <c r="Q85" s="203" t="n">
        <v>98</v>
      </c>
      <c r="R85" s="202" t="n">
        <f aca="false">O85*P85</f>
        <v>6000</v>
      </c>
    </row>
    <row r="86" customFormat="false" ht="15" hidden="false" customHeight="false" outlineLevel="0" collapsed="false">
      <c r="A86" s="244" t="n">
        <v>6</v>
      </c>
      <c r="B86" s="243" t="s">
        <v>85</v>
      </c>
      <c r="C86" s="200" t="n">
        <v>0</v>
      </c>
      <c r="D86" s="200" t="n">
        <v>0</v>
      </c>
      <c r="E86" s="201" t="n">
        <v>0</v>
      </c>
      <c r="F86" s="200" t="n">
        <v>0</v>
      </c>
      <c r="G86" s="200" t="n">
        <v>0</v>
      </c>
      <c r="H86" s="201" t="n">
        <v>0</v>
      </c>
      <c r="I86" s="200" t="n">
        <v>0</v>
      </c>
      <c r="J86" s="200" t="n">
        <v>0</v>
      </c>
      <c r="K86" s="201" t="n">
        <v>0</v>
      </c>
      <c r="L86" s="200" t="n">
        <v>0</v>
      </c>
      <c r="M86" s="200" t="n">
        <v>0</v>
      </c>
      <c r="N86" s="201" t="n">
        <v>0</v>
      </c>
      <c r="O86" s="203" t="n">
        <v>0</v>
      </c>
      <c r="P86" s="204" t="n">
        <v>0</v>
      </c>
      <c r="Q86" s="203" t="n">
        <v>0</v>
      </c>
      <c r="R86" s="202" t="n">
        <f aca="false">O86*P86</f>
        <v>0</v>
      </c>
    </row>
    <row r="87" customFormat="false" ht="15" hidden="false" customHeight="false" outlineLevel="0" collapsed="false">
      <c r="A87" s="242" t="n">
        <v>7</v>
      </c>
      <c r="B87" s="243" t="s">
        <v>86</v>
      </c>
      <c r="C87" s="208" t="n">
        <v>50</v>
      </c>
      <c r="D87" s="219" t="n">
        <v>305</v>
      </c>
      <c r="E87" s="201" t="n">
        <f aca="false">C87/D87*100-100</f>
        <v>-83.6065573770492</v>
      </c>
      <c r="F87" s="208" t="n">
        <v>0</v>
      </c>
      <c r="G87" s="219" t="n">
        <v>0</v>
      </c>
      <c r="H87" s="201" t="n">
        <v>0</v>
      </c>
      <c r="I87" s="208" t="n">
        <v>50</v>
      </c>
      <c r="J87" s="219" t="n">
        <v>305</v>
      </c>
      <c r="K87" s="201" t="n">
        <f aca="false">I87/J87*100-100</f>
        <v>-83.6065573770492</v>
      </c>
      <c r="L87" s="203" t="n">
        <v>0</v>
      </c>
      <c r="M87" s="219" t="n">
        <v>0</v>
      </c>
      <c r="N87" s="201" t="n">
        <v>0</v>
      </c>
      <c r="O87" s="203" t="n">
        <v>8</v>
      </c>
      <c r="P87" s="208" t="n">
        <v>75</v>
      </c>
      <c r="Q87" s="203" t="n">
        <v>8</v>
      </c>
      <c r="R87" s="202" t="n">
        <f aca="false">O87*P87</f>
        <v>600</v>
      </c>
    </row>
    <row r="88" customFormat="false" ht="15" hidden="false" customHeight="false" outlineLevel="0" collapsed="false">
      <c r="A88" s="244" t="n">
        <v>8</v>
      </c>
      <c r="B88" s="245" t="s">
        <v>87</v>
      </c>
      <c r="C88" s="219" t="n">
        <v>162099</v>
      </c>
      <c r="D88" s="219" t="n">
        <v>186173</v>
      </c>
      <c r="E88" s="201" t="n">
        <f aca="false">C88/D88*100-100</f>
        <v>-12.9309835475606</v>
      </c>
      <c r="F88" s="219" t="n">
        <v>60620</v>
      </c>
      <c r="G88" s="219" t="n">
        <v>71572</v>
      </c>
      <c r="H88" s="201" t="n">
        <f aca="false">F88/G88*100-100</f>
        <v>-15.3020734365394</v>
      </c>
      <c r="I88" s="219" t="n">
        <v>309473</v>
      </c>
      <c r="J88" s="219" t="n">
        <v>236261</v>
      </c>
      <c r="K88" s="201" t="n">
        <f aca="false">I88/J88*100-100</f>
        <v>30.9877635327032</v>
      </c>
      <c r="L88" s="203" t="n">
        <v>99700</v>
      </c>
      <c r="M88" s="219" t="n">
        <v>43825</v>
      </c>
      <c r="N88" s="201" t="n">
        <f aca="false">L88/M88*100-100</f>
        <v>127.49572162008</v>
      </c>
      <c r="O88" s="203" t="n">
        <v>68</v>
      </c>
      <c r="P88" s="208" t="n">
        <v>85</v>
      </c>
      <c r="Q88" s="203" t="n">
        <v>68</v>
      </c>
      <c r="R88" s="202" t="n">
        <f aca="false">O88*P88</f>
        <v>5780</v>
      </c>
    </row>
    <row r="89" customFormat="false" ht="15" hidden="false" customHeight="false" outlineLevel="0" collapsed="false">
      <c r="A89" s="242" t="n">
        <v>9</v>
      </c>
      <c r="B89" s="245" t="s">
        <v>88</v>
      </c>
      <c r="C89" s="208" t="n">
        <v>497068</v>
      </c>
      <c r="D89" s="208" t="n">
        <v>492302</v>
      </c>
      <c r="E89" s="201" t="n">
        <f aca="false">C89/D89*100-100</f>
        <v>0.968104943713428</v>
      </c>
      <c r="F89" s="208" t="n">
        <v>171691</v>
      </c>
      <c r="G89" s="208" t="n">
        <v>154456</v>
      </c>
      <c r="H89" s="201" t="n">
        <f aca="false">F89/G89*100-100</f>
        <v>11.1585176360906</v>
      </c>
      <c r="I89" s="208" t="n">
        <v>503339</v>
      </c>
      <c r="J89" s="208" t="n">
        <v>480649</v>
      </c>
      <c r="K89" s="201" t="n">
        <f aca="false">I89/J89*100-100</f>
        <v>4.72070055279423</v>
      </c>
      <c r="L89" s="203" t="n">
        <v>5074</v>
      </c>
      <c r="M89" s="208" t="n">
        <v>0</v>
      </c>
      <c r="N89" s="201" t="n">
        <v>0</v>
      </c>
      <c r="O89" s="203" t="n">
        <v>127</v>
      </c>
      <c r="P89" s="208" t="n">
        <v>145</v>
      </c>
      <c r="Q89" s="203" t="n">
        <v>127</v>
      </c>
      <c r="R89" s="202" t="n">
        <f aca="false">O89*P89</f>
        <v>18415</v>
      </c>
    </row>
    <row r="90" customFormat="false" ht="15" hidden="false" customHeight="false" outlineLevel="0" collapsed="false">
      <c r="A90" s="244" t="n">
        <v>10</v>
      </c>
      <c r="B90" s="243" t="s">
        <v>89</v>
      </c>
      <c r="C90" s="208" t="n">
        <v>435145</v>
      </c>
      <c r="D90" s="208" t="n">
        <v>434993</v>
      </c>
      <c r="E90" s="201" t="n">
        <f aca="false">C90/D90*100-100</f>
        <v>0.0349430910382438</v>
      </c>
      <c r="F90" s="208" t="n">
        <v>113011</v>
      </c>
      <c r="G90" s="208" t="n">
        <v>124861</v>
      </c>
      <c r="H90" s="201" t="n">
        <f aca="false">F90/G90*100-100</f>
        <v>-9.49055349548699</v>
      </c>
      <c r="I90" s="208" t="n">
        <v>433672</v>
      </c>
      <c r="J90" s="208" t="n">
        <v>392179</v>
      </c>
      <c r="K90" s="201" t="n">
        <f aca="false">I90/J90*100-100</f>
        <v>10.5801177523529</v>
      </c>
      <c r="L90" s="203" t="n">
        <f aca="false">213737+181227</f>
        <v>394964</v>
      </c>
      <c r="M90" s="208" t="n">
        <f aca="false">125216+91353</f>
        <v>216569</v>
      </c>
      <c r="N90" s="201" t="n">
        <f aca="false">L90/M90*100-100</f>
        <v>82.3732851885542</v>
      </c>
      <c r="O90" s="203" t="n">
        <v>101</v>
      </c>
      <c r="P90" s="208" t="n">
        <v>205</v>
      </c>
      <c r="Q90" s="203" t="n">
        <v>101</v>
      </c>
      <c r="R90" s="202" t="n">
        <f aca="false">O90*P90</f>
        <v>20705</v>
      </c>
    </row>
    <row r="91" customFormat="false" ht="15" hidden="false" customHeight="false" outlineLevel="0" collapsed="false">
      <c r="A91" s="242" t="n">
        <v>11</v>
      </c>
      <c r="B91" s="243" t="s">
        <v>90</v>
      </c>
      <c r="C91" s="242" t="n">
        <v>116690</v>
      </c>
      <c r="D91" s="246" t="n">
        <v>82528</v>
      </c>
      <c r="E91" s="201" t="n">
        <f aca="false">C91/D91*100-100</f>
        <v>41.3944358278403</v>
      </c>
      <c r="F91" s="208" t="n">
        <v>26280</v>
      </c>
      <c r="G91" s="208" t="n">
        <v>18180</v>
      </c>
      <c r="H91" s="201" t="n">
        <f aca="false">F91/G91*100-100</f>
        <v>44.5544554455446</v>
      </c>
      <c r="I91" s="247" t="n">
        <v>1142222</v>
      </c>
      <c r="J91" s="248" t="n">
        <v>998563</v>
      </c>
      <c r="K91" s="201" t="n">
        <f aca="false">I91/J91*100-100</f>
        <v>14.3865735061283</v>
      </c>
      <c r="L91" s="247" t="n">
        <v>24414</v>
      </c>
      <c r="M91" s="248" t="n">
        <v>11916</v>
      </c>
      <c r="N91" s="201" t="n">
        <f aca="false">L91/M91*100-100</f>
        <v>104.884189325277</v>
      </c>
      <c r="O91" s="203" t="n">
        <v>53</v>
      </c>
      <c r="P91" s="208" t="n">
        <v>250</v>
      </c>
      <c r="Q91" s="203" t="n">
        <v>51</v>
      </c>
      <c r="R91" s="202" t="n">
        <f aca="false">O91*P91</f>
        <v>13250</v>
      </c>
    </row>
    <row r="92" customFormat="false" ht="15" hidden="false" customHeight="false" outlineLevel="0" collapsed="false">
      <c r="A92" s="215" t="s">
        <v>91</v>
      </c>
      <c r="B92" s="215" t="s">
        <v>92</v>
      </c>
      <c r="C92" s="237" t="n">
        <f aca="false">SUM(C81:C91)</f>
        <v>2164074</v>
      </c>
      <c r="D92" s="237" t="n">
        <f aca="false">SUM(D81:D91)</f>
        <v>1882860</v>
      </c>
      <c r="E92" s="313" t="n">
        <f aca="false">C92/D92*100-100</f>
        <v>14.935470507632</v>
      </c>
      <c r="F92" s="237" t="n">
        <f aca="false">SUM(F81:F91)</f>
        <v>617539</v>
      </c>
      <c r="G92" s="237" t="n">
        <f aca="false">SUM(G81:G91)</f>
        <v>537919</v>
      </c>
      <c r="H92" s="313" t="n">
        <f aca="false">F92/G92*100-100</f>
        <v>14.8014849819397</v>
      </c>
      <c r="I92" s="237" t="n">
        <f aca="false">SUM(I81:I91)</f>
        <v>3548656</v>
      </c>
      <c r="J92" s="237" t="n">
        <f aca="false">SUM(J81:J91)</f>
        <v>3120007</v>
      </c>
      <c r="K92" s="313" t="n">
        <f aca="false">I92/J92*100-100</f>
        <v>13.7387191759506</v>
      </c>
      <c r="L92" s="237" t="n">
        <f aca="false">SUM(L81:L91)</f>
        <v>1201559</v>
      </c>
      <c r="M92" s="237" t="n">
        <f aca="false">SUM(M81:M91)</f>
        <v>751251</v>
      </c>
      <c r="N92" s="313" t="n">
        <f aca="false">L92/M92*100-100</f>
        <v>59.9410849369918</v>
      </c>
      <c r="O92" s="216" t="n">
        <f aca="false">SUM(O81:O91)</f>
        <v>4071</v>
      </c>
      <c r="P92" s="217" t="n">
        <f aca="false">R92/O92</f>
        <v>117.044952100221</v>
      </c>
      <c r="Q92" s="216" t="n">
        <f aca="false">SUM(Q81:Q91)</f>
        <v>3985</v>
      </c>
      <c r="R92" s="232" t="n">
        <f aca="false">SUM(R81:R91)</f>
        <v>476490</v>
      </c>
    </row>
    <row r="93" customFormat="false" ht="15" hidden="false" customHeight="false" outlineLevel="0" collapsed="false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192"/>
      <c r="L93" s="203"/>
      <c r="M93" s="203"/>
      <c r="N93" s="203"/>
      <c r="O93" s="203"/>
      <c r="P93" s="219"/>
      <c r="Q93" s="203"/>
      <c r="R93" s="197"/>
    </row>
    <row r="94" customFormat="false" ht="15" hidden="false" customHeight="false" outlineLevel="0" collapsed="false">
      <c r="A94" s="190" t="s">
        <v>93</v>
      </c>
      <c r="B94" s="190"/>
      <c r="C94" s="195" t="n">
        <v>3</v>
      </c>
      <c r="D94" s="195" t="n">
        <v>4</v>
      </c>
      <c r="E94" s="196" t="n">
        <v>5</v>
      </c>
      <c r="F94" s="195" t="n">
        <v>6</v>
      </c>
      <c r="G94" s="195" t="n">
        <v>7</v>
      </c>
      <c r="H94" s="195" t="n">
        <v>8</v>
      </c>
      <c r="I94" s="195" t="n">
        <v>9</v>
      </c>
      <c r="J94" s="195" t="n">
        <v>10</v>
      </c>
      <c r="K94" s="195" t="n">
        <v>11</v>
      </c>
      <c r="L94" s="195" t="n">
        <v>12</v>
      </c>
      <c r="M94" s="195" t="n">
        <v>13</v>
      </c>
      <c r="N94" s="195" t="n">
        <v>14</v>
      </c>
      <c r="O94" s="195" t="n">
        <v>15</v>
      </c>
      <c r="P94" s="196" t="n">
        <v>16</v>
      </c>
      <c r="Q94" s="195" t="n">
        <v>15</v>
      </c>
      <c r="R94" s="197"/>
    </row>
    <row r="95" customFormat="false" ht="15" hidden="false" customHeight="false" outlineLevel="0" collapsed="false">
      <c r="A95" s="249" t="n">
        <v>1</v>
      </c>
      <c r="B95" s="245" t="s">
        <v>94</v>
      </c>
      <c r="C95" s="250" t="n">
        <v>65617</v>
      </c>
      <c r="D95" s="250" t="n">
        <v>63186</v>
      </c>
      <c r="E95" s="201" t="n">
        <f aca="false">C95/D95*100-100</f>
        <v>3.84737125312569</v>
      </c>
      <c r="F95" s="250" t="n">
        <v>38857</v>
      </c>
      <c r="G95" s="250" t="n">
        <v>33043</v>
      </c>
      <c r="H95" s="201" t="n">
        <f aca="false">F95/G95*100-100</f>
        <v>17.5952546681597</v>
      </c>
      <c r="I95" s="250" t="n">
        <v>51614</v>
      </c>
      <c r="J95" s="251" t="n">
        <v>46514</v>
      </c>
      <c r="K95" s="201" t="n">
        <f aca="false">I95/J95*100-100</f>
        <v>10.9644408135185</v>
      </c>
      <c r="L95" s="250" t="n">
        <v>51594</v>
      </c>
      <c r="M95" s="250" t="n">
        <v>46469</v>
      </c>
      <c r="N95" s="201" t="n">
        <f aca="false">L95/M95*100-100</f>
        <v>11.0288579483096</v>
      </c>
      <c r="O95" s="252" t="n">
        <v>337</v>
      </c>
      <c r="P95" s="219" t="n">
        <v>95</v>
      </c>
      <c r="Q95" s="252" t="n">
        <v>189</v>
      </c>
      <c r="R95" s="202" t="n">
        <f aca="false">O95*P95</f>
        <v>32015</v>
      </c>
    </row>
    <row r="96" customFormat="false" ht="15" hidden="false" customHeight="false" outlineLevel="0" collapsed="false">
      <c r="A96" s="249" t="n">
        <v>2</v>
      </c>
      <c r="B96" s="245" t="s">
        <v>95</v>
      </c>
      <c r="C96" s="200" t="n">
        <v>0</v>
      </c>
      <c r="D96" s="200" t="n">
        <v>0</v>
      </c>
      <c r="E96" s="201" t="n">
        <v>0</v>
      </c>
      <c r="F96" s="200" t="n">
        <v>0</v>
      </c>
      <c r="G96" s="200" t="n">
        <v>0</v>
      </c>
      <c r="H96" s="201" t="n">
        <v>0</v>
      </c>
      <c r="I96" s="200" t="n">
        <v>0</v>
      </c>
      <c r="J96" s="200" t="n">
        <v>0</v>
      </c>
      <c r="K96" s="201" t="n">
        <v>0</v>
      </c>
      <c r="L96" s="200" t="n">
        <v>0</v>
      </c>
      <c r="M96" s="200" t="n">
        <v>0</v>
      </c>
      <c r="N96" s="201" t="n">
        <v>0</v>
      </c>
      <c r="O96" s="203" t="n">
        <v>0</v>
      </c>
      <c r="P96" s="204" t="n">
        <v>0</v>
      </c>
      <c r="Q96" s="203" t="n">
        <v>0</v>
      </c>
      <c r="R96" s="202" t="n">
        <f aca="false">O96*P96</f>
        <v>0</v>
      </c>
    </row>
    <row r="97" customFormat="false" ht="15" hidden="false" customHeight="false" outlineLevel="0" collapsed="false">
      <c r="A97" s="249" t="n">
        <v>3</v>
      </c>
      <c r="B97" s="243" t="s">
        <v>96</v>
      </c>
      <c r="C97" s="200" t="n">
        <v>0</v>
      </c>
      <c r="D97" s="200" t="n">
        <v>0</v>
      </c>
      <c r="E97" s="201" t="n">
        <v>0</v>
      </c>
      <c r="F97" s="200" t="n">
        <v>0</v>
      </c>
      <c r="G97" s="200" t="n">
        <v>0</v>
      </c>
      <c r="H97" s="201" t="n">
        <v>0</v>
      </c>
      <c r="I97" s="200" t="n">
        <v>0</v>
      </c>
      <c r="J97" s="200" t="n">
        <v>0</v>
      </c>
      <c r="K97" s="201" t="n">
        <v>0</v>
      </c>
      <c r="L97" s="200" t="n">
        <v>0</v>
      </c>
      <c r="M97" s="200" t="n">
        <v>0</v>
      </c>
      <c r="N97" s="201" t="n">
        <v>0</v>
      </c>
      <c r="O97" s="203" t="n">
        <v>0</v>
      </c>
      <c r="P97" s="204" t="n">
        <v>0</v>
      </c>
      <c r="Q97" s="203" t="n">
        <v>0</v>
      </c>
      <c r="R97" s="202" t="n">
        <f aca="false">O97*P97</f>
        <v>0</v>
      </c>
    </row>
    <row r="98" customFormat="false" ht="15" hidden="false" customHeight="false" outlineLevel="0" collapsed="false">
      <c r="A98" s="249" t="n">
        <v>4</v>
      </c>
      <c r="B98" s="243" t="s">
        <v>97</v>
      </c>
      <c r="C98" s="200" t="n">
        <v>0</v>
      </c>
      <c r="D98" s="200" t="n">
        <v>0</v>
      </c>
      <c r="E98" s="201" t="n">
        <v>0</v>
      </c>
      <c r="F98" s="200" t="n">
        <v>0</v>
      </c>
      <c r="G98" s="200" t="n">
        <v>0</v>
      </c>
      <c r="H98" s="201" t="n">
        <v>0</v>
      </c>
      <c r="I98" s="200" t="n">
        <v>6582</v>
      </c>
      <c r="J98" s="200" t="n">
        <v>9664</v>
      </c>
      <c r="K98" s="201" t="n">
        <f aca="false">I98/J98*100-100</f>
        <v>-31.8915562913907</v>
      </c>
      <c r="L98" s="200" t="n">
        <v>0</v>
      </c>
      <c r="M98" s="200" t="n">
        <v>0</v>
      </c>
      <c r="N98" s="201" t="n">
        <v>0</v>
      </c>
      <c r="O98" s="203"/>
      <c r="P98" s="250" t="n">
        <v>0</v>
      </c>
      <c r="Q98" s="203" t="n">
        <v>0</v>
      </c>
      <c r="R98" s="202" t="n">
        <f aca="false">O98*P98</f>
        <v>0</v>
      </c>
    </row>
    <row r="99" customFormat="false" ht="15" hidden="false" customHeight="false" outlineLevel="0" collapsed="false">
      <c r="A99" s="249" t="n">
        <v>5</v>
      </c>
      <c r="B99" s="245" t="s">
        <v>98</v>
      </c>
      <c r="C99" s="250" t="n">
        <v>549658</v>
      </c>
      <c r="D99" s="250" t="n">
        <v>690555</v>
      </c>
      <c r="E99" s="201" t="n">
        <f aca="false">C99/D99*100-100</f>
        <v>-20.4034436069538</v>
      </c>
      <c r="F99" s="250" t="n">
        <v>0</v>
      </c>
      <c r="G99" s="250" t="n">
        <v>0</v>
      </c>
      <c r="H99" s="201" t="n">
        <v>0</v>
      </c>
      <c r="I99" s="250" t="n">
        <v>625478</v>
      </c>
      <c r="J99" s="250" t="n">
        <v>737585</v>
      </c>
      <c r="K99" s="201" t="n">
        <f aca="false">I99/J99*100-100</f>
        <v>-15.1991973806409</v>
      </c>
      <c r="L99" s="250" t="n">
        <f aca="false">568+624910</f>
        <v>625478</v>
      </c>
      <c r="M99" s="250" t="n">
        <f aca="false">2640+735945</f>
        <v>738585</v>
      </c>
      <c r="N99" s="201" t="n">
        <f aca="false">L99/M99*100-100</f>
        <v>-15.3140126051842</v>
      </c>
      <c r="O99" s="252" t="n">
        <v>409</v>
      </c>
      <c r="P99" s="250" t="n">
        <v>52</v>
      </c>
      <c r="Q99" s="252" t="n">
        <v>471</v>
      </c>
      <c r="R99" s="202" t="n">
        <f aca="false">O99*P99</f>
        <v>21268</v>
      </c>
    </row>
    <row r="100" customFormat="false" ht="15" hidden="false" customHeight="false" outlineLevel="0" collapsed="false">
      <c r="A100" s="249" t="n">
        <v>6</v>
      </c>
      <c r="B100" s="245" t="s">
        <v>99</v>
      </c>
      <c r="C100" s="200" t="n">
        <v>0</v>
      </c>
      <c r="D100" s="200" t="n">
        <v>0</v>
      </c>
      <c r="E100" s="201" t="n">
        <v>0</v>
      </c>
      <c r="F100" s="200" t="n">
        <v>0</v>
      </c>
      <c r="G100" s="200" t="n">
        <v>0</v>
      </c>
      <c r="H100" s="201" t="n">
        <v>0</v>
      </c>
      <c r="I100" s="200" t="n">
        <v>0</v>
      </c>
      <c r="J100" s="200" t="n">
        <v>0</v>
      </c>
      <c r="K100" s="201" t="n">
        <v>0</v>
      </c>
      <c r="L100" s="200" t="n">
        <v>0</v>
      </c>
      <c r="M100" s="200" t="n">
        <v>0</v>
      </c>
      <c r="N100" s="201" t="n">
        <v>0</v>
      </c>
      <c r="O100" s="203" t="n">
        <v>0</v>
      </c>
      <c r="P100" s="204" t="n">
        <v>0</v>
      </c>
      <c r="Q100" s="203" t="n">
        <v>0</v>
      </c>
      <c r="R100" s="202" t="n">
        <f aca="false">O100*P100</f>
        <v>0</v>
      </c>
    </row>
    <row r="101" customFormat="false" ht="15" hidden="false" customHeight="false" outlineLevel="0" collapsed="false">
      <c r="A101" s="249" t="n">
        <v>7</v>
      </c>
      <c r="B101" s="243" t="s">
        <v>100</v>
      </c>
      <c r="C101" s="200" t="n">
        <v>0</v>
      </c>
      <c r="D101" s="200" t="n">
        <v>0</v>
      </c>
      <c r="E101" s="201" t="n">
        <v>0</v>
      </c>
      <c r="F101" s="200" t="n">
        <v>0</v>
      </c>
      <c r="G101" s="200" t="n">
        <v>0</v>
      </c>
      <c r="H101" s="201" t="n">
        <v>0</v>
      </c>
      <c r="I101" s="200" t="n">
        <v>0</v>
      </c>
      <c r="J101" s="200" t="n">
        <v>0</v>
      </c>
      <c r="K101" s="201" t="n">
        <v>0</v>
      </c>
      <c r="L101" s="200" t="n">
        <v>0</v>
      </c>
      <c r="M101" s="200" t="n">
        <v>0</v>
      </c>
      <c r="N101" s="201" t="n">
        <v>0</v>
      </c>
      <c r="O101" s="203" t="n">
        <v>0</v>
      </c>
      <c r="P101" s="204" t="n">
        <v>0</v>
      </c>
      <c r="Q101" s="203" t="n">
        <v>0</v>
      </c>
      <c r="R101" s="202" t="n">
        <f aca="false">O101*P101</f>
        <v>0</v>
      </c>
    </row>
    <row r="102" customFormat="false" ht="15" hidden="false" customHeight="false" outlineLevel="0" collapsed="false">
      <c r="A102" s="249" t="n">
        <v>8</v>
      </c>
      <c r="B102" s="245" t="s">
        <v>101</v>
      </c>
      <c r="C102" s="208" t="n">
        <v>161166</v>
      </c>
      <c r="D102" s="208" t="n">
        <v>78720</v>
      </c>
      <c r="E102" s="201" t="n">
        <f aca="false">C102/D102*100-100</f>
        <v>104.733231707317</v>
      </c>
      <c r="F102" s="208" t="n">
        <v>31319</v>
      </c>
      <c r="G102" s="208" t="n">
        <v>18263</v>
      </c>
      <c r="H102" s="201" t="n">
        <f aca="false">F102/G102*100-100</f>
        <v>71.4888024968516</v>
      </c>
      <c r="I102" s="208" t="n">
        <v>152672</v>
      </c>
      <c r="J102" s="208" t="n">
        <v>49125</v>
      </c>
      <c r="K102" s="201" t="n">
        <f aca="false">I102/J102*100-100</f>
        <v>210.782697201018</v>
      </c>
      <c r="L102" s="208" t="n">
        <v>67551</v>
      </c>
      <c r="M102" s="208" t="n">
        <v>0</v>
      </c>
      <c r="N102" s="201" t="n">
        <v>0</v>
      </c>
      <c r="O102" s="208" t="n">
        <v>151</v>
      </c>
      <c r="P102" s="208" t="n">
        <v>89</v>
      </c>
      <c r="Q102" s="208" t="n">
        <v>153</v>
      </c>
      <c r="R102" s="202" t="n">
        <f aca="false">O102*P102</f>
        <v>13439</v>
      </c>
    </row>
    <row r="103" customFormat="false" ht="15" hidden="false" customHeight="false" outlineLevel="0" collapsed="false">
      <c r="A103" s="249" t="n">
        <v>9</v>
      </c>
      <c r="B103" s="245" t="s">
        <v>102</v>
      </c>
      <c r="C103" s="200" t="n">
        <v>0</v>
      </c>
      <c r="D103" s="200" t="n">
        <v>0</v>
      </c>
      <c r="E103" s="201" t="n">
        <v>0</v>
      </c>
      <c r="F103" s="200" t="n">
        <v>0</v>
      </c>
      <c r="G103" s="200" t="n">
        <v>0</v>
      </c>
      <c r="H103" s="201" t="n">
        <v>0</v>
      </c>
      <c r="I103" s="200" t="n">
        <v>0</v>
      </c>
      <c r="J103" s="200" t="n">
        <v>0</v>
      </c>
      <c r="K103" s="201" t="n">
        <v>0</v>
      </c>
      <c r="L103" s="200" t="n">
        <v>0</v>
      </c>
      <c r="M103" s="200" t="n">
        <v>0</v>
      </c>
      <c r="N103" s="201" t="n">
        <v>0</v>
      </c>
      <c r="O103" s="203" t="n">
        <v>0</v>
      </c>
      <c r="P103" s="204" t="n">
        <v>0</v>
      </c>
      <c r="Q103" s="203" t="n">
        <v>0</v>
      </c>
      <c r="R103" s="202" t="n">
        <f aca="false">O103*P103</f>
        <v>0</v>
      </c>
    </row>
    <row r="104" customFormat="false" ht="15" hidden="false" customHeight="false" outlineLevel="0" collapsed="false">
      <c r="A104" s="249" t="n">
        <v>10</v>
      </c>
      <c r="B104" s="243" t="s">
        <v>103</v>
      </c>
      <c r="C104" s="203" t="n">
        <v>50011</v>
      </c>
      <c r="D104" s="203" t="n">
        <v>23009</v>
      </c>
      <c r="E104" s="201" t="n">
        <f aca="false">C104/D104*100-100</f>
        <v>117.354078838715</v>
      </c>
      <c r="F104" s="203" t="n">
        <v>15128</v>
      </c>
      <c r="G104" s="203" t="n">
        <v>0</v>
      </c>
      <c r="H104" s="201" t="n">
        <v>0</v>
      </c>
      <c r="I104" s="203" t="n">
        <v>50011</v>
      </c>
      <c r="J104" s="203" t="n">
        <v>23009</v>
      </c>
      <c r="K104" s="201" t="n">
        <f aca="false">I104/J104*100-100</f>
        <v>117.354078838715</v>
      </c>
      <c r="L104" s="203" t="n">
        <v>50011</v>
      </c>
      <c r="M104" s="203" t="n">
        <v>23009</v>
      </c>
      <c r="N104" s="201" t="n">
        <f aca="false">L104/M104*100-100</f>
        <v>117.354078838715</v>
      </c>
      <c r="O104" s="252" t="n">
        <v>94</v>
      </c>
      <c r="P104" s="250" t="n">
        <v>43</v>
      </c>
      <c r="Q104" s="252" t="n">
        <v>77</v>
      </c>
      <c r="R104" s="202" t="n">
        <f aca="false">O104*P104</f>
        <v>4042</v>
      </c>
    </row>
    <row r="105" customFormat="false" ht="15" hidden="false" customHeight="false" outlineLevel="0" collapsed="false">
      <c r="A105" s="249" t="n">
        <v>11</v>
      </c>
      <c r="B105" s="245" t="s">
        <v>104</v>
      </c>
      <c r="C105" s="200" t="n">
        <v>0</v>
      </c>
      <c r="D105" s="200" t="n">
        <v>0</v>
      </c>
      <c r="E105" s="201" t="n">
        <v>0</v>
      </c>
      <c r="F105" s="200" t="n">
        <v>0</v>
      </c>
      <c r="G105" s="200" t="n">
        <v>0</v>
      </c>
      <c r="H105" s="201" t="n">
        <v>0</v>
      </c>
      <c r="I105" s="200" t="n">
        <v>0</v>
      </c>
      <c r="J105" s="200" t="n">
        <v>0</v>
      </c>
      <c r="K105" s="201" t="n">
        <v>0</v>
      </c>
      <c r="L105" s="200" t="n">
        <v>0</v>
      </c>
      <c r="M105" s="200" t="n">
        <v>0</v>
      </c>
      <c r="N105" s="201" t="n">
        <v>0</v>
      </c>
      <c r="O105" s="203" t="n">
        <v>0</v>
      </c>
      <c r="P105" s="204" t="n">
        <v>0</v>
      </c>
      <c r="Q105" s="203" t="n">
        <v>0</v>
      </c>
      <c r="R105" s="202" t="n">
        <f aca="false">O105*P105</f>
        <v>0</v>
      </c>
    </row>
    <row r="106" customFormat="false" ht="15" hidden="false" customHeight="false" outlineLevel="0" collapsed="false">
      <c r="A106" s="249" t="n">
        <v>12</v>
      </c>
      <c r="B106" s="245" t="s">
        <v>105</v>
      </c>
      <c r="C106" s="251" t="n">
        <v>21230</v>
      </c>
      <c r="D106" s="250" t="n">
        <v>23920</v>
      </c>
      <c r="E106" s="201" t="n">
        <f aca="false">C106/D106*100-100</f>
        <v>-11.2458193979933</v>
      </c>
      <c r="F106" s="251" t="n">
        <v>8500</v>
      </c>
      <c r="G106" s="250" t="n">
        <v>10250</v>
      </c>
      <c r="H106" s="201" t="n">
        <f aca="false">F106/G106*100-100</f>
        <v>-17.0731707317073</v>
      </c>
      <c r="I106" s="251" t="n">
        <v>17500</v>
      </c>
      <c r="J106" s="251" t="n">
        <v>18600</v>
      </c>
      <c r="K106" s="201" t="n">
        <f aca="false">I106/J106*100-100</f>
        <v>-5.91397849462365</v>
      </c>
      <c r="L106" s="250" t="n">
        <v>0</v>
      </c>
      <c r="M106" s="250" t="n">
        <v>0</v>
      </c>
      <c r="N106" s="201" t="n">
        <v>0</v>
      </c>
      <c r="O106" s="252" t="n">
        <v>0</v>
      </c>
      <c r="P106" s="250" t="n">
        <v>53</v>
      </c>
      <c r="Q106" s="252" t="n">
        <v>20</v>
      </c>
      <c r="R106" s="202" t="n">
        <f aca="false">O106*P106</f>
        <v>0</v>
      </c>
    </row>
    <row r="107" customFormat="false" ht="15" hidden="false" customHeight="false" outlineLevel="0" collapsed="false">
      <c r="A107" s="249" t="n">
        <v>13</v>
      </c>
      <c r="B107" s="245" t="s">
        <v>106</v>
      </c>
      <c r="C107" s="251" t="n">
        <v>3940</v>
      </c>
      <c r="D107" s="250" t="n">
        <v>25600</v>
      </c>
      <c r="E107" s="201" t="n">
        <f aca="false">C107/D107*100-100</f>
        <v>-84.609375</v>
      </c>
      <c r="F107" s="251" t="n">
        <v>1241</v>
      </c>
      <c r="G107" s="251" t="n">
        <v>1664</v>
      </c>
      <c r="H107" s="201" t="n">
        <f aca="false">F107/G107*100-100</f>
        <v>-25.4206730769231</v>
      </c>
      <c r="I107" s="251" t="n">
        <v>5978</v>
      </c>
      <c r="J107" s="251" t="n">
        <v>66707</v>
      </c>
      <c r="K107" s="201" t="n">
        <f aca="false">I107/J107*100-100</f>
        <v>-91.0384217548383</v>
      </c>
      <c r="L107" s="250" t="n">
        <v>1529</v>
      </c>
      <c r="M107" s="250" t="n">
        <f aca="false">982+34919</f>
        <v>35901</v>
      </c>
      <c r="N107" s="201" t="n">
        <f aca="false">L107/M107*100-100</f>
        <v>-95.7410657084761</v>
      </c>
      <c r="O107" s="252" t="n">
        <v>56</v>
      </c>
      <c r="P107" s="250" t="n">
        <v>49</v>
      </c>
      <c r="Q107" s="252" t="n">
        <v>61</v>
      </c>
      <c r="R107" s="202" t="n">
        <f aca="false">O107*P107</f>
        <v>2744</v>
      </c>
    </row>
    <row r="108" customFormat="false" ht="15" hidden="false" customHeight="false" outlineLevel="0" collapsed="false">
      <c r="A108" s="249" t="n">
        <v>14</v>
      </c>
      <c r="B108" s="245" t="s">
        <v>107</v>
      </c>
      <c r="C108" s="200" t="n">
        <v>0</v>
      </c>
      <c r="D108" s="200" t="n">
        <v>0</v>
      </c>
      <c r="E108" s="201" t="n">
        <v>0</v>
      </c>
      <c r="F108" s="200" t="n">
        <v>0</v>
      </c>
      <c r="G108" s="200" t="n">
        <v>0</v>
      </c>
      <c r="H108" s="201" t="n">
        <v>0</v>
      </c>
      <c r="I108" s="200" t="n">
        <v>0</v>
      </c>
      <c r="J108" s="200" t="n">
        <v>0</v>
      </c>
      <c r="K108" s="201" t="n">
        <v>0</v>
      </c>
      <c r="L108" s="200" t="n">
        <v>0</v>
      </c>
      <c r="M108" s="200" t="n">
        <v>0</v>
      </c>
      <c r="N108" s="201" t="n">
        <v>0</v>
      </c>
      <c r="O108" s="203" t="n">
        <v>0</v>
      </c>
      <c r="P108" s="204" t="n">
        <v>0</v>
      </c>
      <c r="Q108" s="203" t="n">
        <v>0</v>
      </c>
      <c r="R108" s="202" t="n">
        <f aca="false">O108*P108</f>
        <v>0</v>
      </c>
    </row>
    <row r="109" customFormat="false" ht="15" hidden="false" customHeight="false" outlineLevel="0" collapsed="false">
      <c r="A109" s="249" t="n">
        <v>15</v>
      </c>
      <c r="B109" s="245" t="s">
        <v>108</v>
      </c>
      <c r="C109" s="208" t="n">
        <v>68395</v>
      </c>
      <c r="D109" s="208" t="n">
        <v>26490</v>
      </c>
      <c r="E109" s="201" t="n">
        <f aca="false">C109/D109*100-100</f>
        <v>158.191770479426</v>
      </c>
      <c r="F109" s="208" t="n">
        <v>17036</v>
      </c>
      <c r="G109" s="208" t="n">
        <v>9877</v>
      </c>
      <c r="H109" s="201" t="n">
        <f aca="false">F109/G109*100-100</f>
        <v>72.4815227295738</v>
      </c>
      <c r="I109" s="208" t="n">
        <v>68395</v>
      </c>
      <c r="J109" s="208" t="n">
        <v>26490</v>
      </c>
      <c r="K109" s="201" t="n">
        <f aca="false">I109/J109*100-100</f>
        <v>158.191770479426</v>
      </c>
      <c r="L109" s="208" t="n">
        <v>68395</v>
      </c>
      <c r="M109" s="208" t="n">
        <v>26490</v>
      </c>
      <c r="N109" s="201" t="n">
        <f aca="false">L109/M109*100-100</f>
        <v>158.191770479426</v>
      </c>
      <c r="O109" s="203" t="n">
        <v>87</v>
      </c>
      <c r="P109" s="204" t="n">
        <v>80</v>
      </c>
      <c r="Q109" s="203" t="n">
        <v>87</v>
      </c>
      <c r="R109" s="202" t="n">
        <f aca="false">O109*P109</f>
        <v>6960</v>
      </c>
    </row>
    <row r="110" customFormat="false" ht="15" hidden="false" customHeight="false" outlineLevel="0" collapsed="false">
      <c r="A110" s="249" t="n">
        <v>16</v>
      </c>
      <c r="B110" s="245" t="s">
        <v>109</v>
      </c>
      <c r="C110" s="208" t="n">
        <v>56110</v>
      </c>
      <c r="D110" s="208" t="n">
        <v>170477</v>
      </c>
      <c r="E110" s="201" t="n">
        <f aca="false">C110/D110*100-100</f>
        <v>-67.086469142465</v>
      </c>
      <c r="F110" s="208" t="n">
        <v>28455</v>
      </c>
      <c r="G110" s="208" t="n">
        <v>67171</v>
      </c>
      <c r="H110" s="201" t="n">
        <f aca="false">F110/G110*100-100</f>
        <v>-57.6379687662831</v>
      </c>
      <c r="I110" s="208" t="n">
        <v>57589</v>
      </c>
      <c r="J110" s="208" t="n">
        <v>158350</v>
      </c>
      <c r="K110" s="201" t="n">
        <f aca="false">I110/J110*100-100</f>
        <v>-63.6318282286075</v>
      </c>
      <c r="L110" s="208" t="n">
        <v>0</v>
      </c>
      <c r="M110" s="208" t="n">
        <v>0</v>
      </c>
      <c r="N110" s="201" t="n">
        <v>0</v>
      </c>
      <c r="O110" s="252" t="n">
        <v>65</v>
      </c>
      <c r="P110" s="204" t="n">
        <v>70</v>
      </c>
      <c r="Q110" s="252" t="n">
        <v>38</v>
      </c>
      <c r="R110" s="202" t="n">
        <f aca="false">O110*P110</f>
        <v>4550</v>
      </c>
    </row>
    <row r="111" customFormat="false" ht="15" hidden="false" customHeight="false" outlineLevel="0" collapsed="false">
      <c r="A111" s="249" t="n">
        <v>17</v>
      </c>
      <c r="B111" s="245" t="s">
        <v>110</v>
      </c>
      <c r="C111" s="251" t="n">
        <v>181978</v>
      </c>
      <c r="D111" s="250" t="n">
        <v>226065</v>
      </c>
      <c r="E111" s="201" t="n">
        <f aca="false">C111/D111*100-100</f>
        <v>-19.5019131665671</v>
      </c>
      <c r="F111" s="251" t="n">
        <v>37910</v>
      </c>
      <c r="G111" s="251" t="n">
        <v>77934</v>
      </c>
      <c r="H111" s="201" t="n">
        <f aca="false">F111/G111*100-100</f>
        <v>-51.3562758231324</v>
      </c>
      <c r="I111" s="251" t="n">
        <v>105563</v>
      </c>
      <c r="J111" s="251" t="n">
        <v>152511</v>
      </c>
      <c r="K111" s="201" t="n">
        <f aca="false">I111/J111*100-100</f>
        <v>-30.7833533318908</v>
      </c>
      <c r="L111" s="250" t="n">
        <v>0</v>
      </c>
      <c r="M111" s="250" t="n">
        <v>0</v>
      </c>
      <c r="N111" s="201" t="n">
        <v>0</v>
      </c>
      <c r="O111" s="252" t="n">
        <v>171</v>
      </c>
      <c r="P111" s="250" t="n">
        <v>60</v>
      </c>
      <c r="Q111" s="252" t="n">
        <v>176</v>
      </c>
      <c r="R111" s="202" t="n">
        <f aca="false">O111*P111</f>
        <v>10260</v>
      </c>
    </row>
    <row r="112" customFormat="false" ht="15" hidden="false" customHeight="false" outlineLevel="0" collapsed="false">
      <c r="A112" s="249" t="n">
        <v>18</v>
      </c>
      <c r="B112" s="243" t="s">
        <v>111</v>
      </c>
      <c r="C112" s="208" t="n">
        <v>204103</v>
      </c>
      <c r="D112" s="208" t="n">
        <v>123387</v>
      </c>
      <c r="E112" s="201" t="n">
        <f aca="false">C112/D112*100-100</f>
        <v>65.416940196293</v>
      </c>
      <c r="F112" s="208" t="n">
        <v>52757</v>
      </c>
      <c r="G112" s="208" t="n">
        <v>29170</v>
      </c>
      <c r="H112" s="201" t="n">
        <f aca="false">F112/G112*100-100</f>
        <v>80.8604730887899</v>
      </c>
      <c r="I112" s="208" t="n">
        <v>204103</v>
      </c>
      <c r="J112" s="208" t="n">
        <v>123387</v>
      </c>
      <c r="K112" s="201" t="n">
        <f aca="false">I112/J112*100-100</f>
        <v>65.416940196293</v>
      </c>
      <c r="L112" s="208" t="n">
        <v>204103</v>
      </c>
      <c r="M112" s="208" t="n">
        <v>123387</v>
      </c>
      <c r="N112" s="201" t="n">
        <f aca="false">L112/M112*100-100</f>
        <v>65.416940196293</v>
      </c>
      <c r="O112" s="252" t="n">
        <v>398</v>
      </c>
      <c r="P112" s="250" t="n">
        <v>68</v>
      </c>
      <c r="Q112" s="252" t="n">
        <v>370</v>
      </c>
      <c r="R112" s="202" t="n">
        <f aca="false">O112*P112</f>
        <v>27064</v>
      </c>
    </row>
    <row r="113" customFormat="false" ht="15" hidden="false" customHeight="false" outlineLevel="0" collapsed="false">
      <c r="A113" s="249" t="n">
        <v>19</v>
      </c>
      <c r="B113" s="245" t="s">
        <v>112</v>
      </c>
      <c r="C113" s="200" t="n">
        <v>0</v>
      </c>
      <c r="D113" s="200" t="n">
        <v>0</v>
      </c>
      <c r="E113" s="201" t="n">
        <v>0</v>
      </c>
      <c r="F113" s="200" t="n">
        <v>0</v>
      </c>
      <c r="G113" s="200" t="n">
        <v>0</v>
      </c>
      <c r="H113" s="201" t="n">
        <v>0</v>
      </c>
      <c r="I113" s="200" t="n">
        <v>0</v>
      </c>
      <c r="J113" s="200" t="n">
        <v>0</v>
      </c>
      <c r="K113" s="201" t="n">
        <v>0</v>
      </c>
      <c r="L113" s="200" t="n">
        <v>0</v>
      </c>
      <c r="M113" s="200" t="n">
        <v>0</v>
      </c>
      <c r="N113" s="201" t="n">
        <v>0</v>
      </c>
      <c r="O113" s="203" t="n">
        <v>0</v>
      </c>
      <c r="P113" s="204" t="n">
        <v>0</v>
      </c>
      <c r="Q113" s="203" t="n">
        <v>0</v>
      </c>
      <c r="R113" s="202" t="n">
        <f aca="false">O113*P113</f>
        <v>0</v>
      </c>
    </row>
    <row r="114" customFormat="false" ht="15" hidden="false" customHeight="false" outlineLevel="0" collapsed="false">
      <c r="A114" s="249" t="n">
        <v>20</v>
      </c>
      <c r="B114" s="245" t="s">
        <v>113</v>
      </c>
      <c r="C114" s="200" t="n">
        <v>0</v>
      </c>
      <c r="D114" s="200" t="n">
        <v>0</v>
      </c>
      <c r="E114" s="201" t="n">
        <v>0</v>
      </c>
      <c r="F114" s="200" t="n">
        <v>0</v>
      </c>
      <c r="G114" s="200" t="n">
        <v>0</v>
      </c>
      <c r="H114" s="201" t="n">
        <v>0</v>
      </c>
      <c r="I114" s="200" t="n">
        <v>0</v>
      </c>
      <c r="J114" s="200" t="n">
        <v>0</v>
      </c>
      <c r="K114" s="201" t="n">
        <v>0</v>
      </c>
      <c r="L114" s="200" t="n">
        <v>0</v>
      </c>
      <c r="M114" s="200" t="n">
        <v>0</v>
      </c>
      <c r="N114" s="201" t="n">
        <v>0</v>
      </c>
      <c r="O114" s="203" t="n">
        <v>0</v>
      </c>
      <c r="P114" s="204" t="n">
        <v>0</v>
      </c>
      <c r="Q114" s="203" t="n">
        <v>0</v>
      </c>
      <c r="R114" s="202" t="n">
        <f aca="false">O114*P114</f>
        <v>0</v>
      </c>
    </row>
    <row r="115" customFormat="false" ht="15" hidden="false" customHeight="false" outlineLevel="0" collapsed="false">
      <c r="A115" s="249" t="n">
        <v>21</v>
      </c>
      <c r="B115" s="245" t="s">
        <v>114</v>
      </c>
      <c r="C115" s="250" t="n">
        <v>21872</v>
      </c>
      <c r="D115" s="250" t="n">
        <v>9035</v>
      </c>
      <c r="E115" s="201" t="n">
        <f aca="false">C115/D115*100-100</f>
        <v>142.080796900941</v>
      </c>
      <c r="F115" s="250" t="n">
        <v>7884</v>
      </c>
      <c r="G115" s="250" t="n">
        <v>3345</v>
      </c>
      <c r="H115" s="201" t="n">
        <f aca="false">F115/G115*100-100</f>
        <v>135.695067264574</v>
      </c>
      <c r="I115" s="250" t="n">
        <v>21872</v>
      </c>
      <c r="J115" s="250" t="n">
        <v>9035</v>
      </c>
      <c r="K115" s="201" t="n">
        <f aca="false">I115/J115*100-100</f>
        <v>142.080796900941</v>
      </c>
      <c r="L115" s="250" t="n">
        <v>21018</v>
      </c>
      <c r="M115" s="250" t="n">
        <v>9035</v>
      </c>
      <c r="N115" s="201" t="n">
        <f aca="false">L115/M115*100-100</f>
        <v>132.628666297731</v>
      </c>
      <c r="O115" s="252" t="n">
        <v>13</v>
      </c>
      <c r="P115" s="250" t="n">
        <v>59</v>
      </c>
      <c r="Q115" s="252" t="n">
        <v>12</v>
      </c>
      <c r="R115" s="202" t="n">
        <f aca="false">O115*P115</f>
        <v>767</v>
      </c>
    </row>
    <row r="116" customFormat="false" ht="15" hidden="false" customHeight="false" outlineLevel="0" collapsed="false">
      <c r="A116" s="249" t="n">
        <v>22</v>
      </c>
      <c r="B116" s="243" t="s">
        <v>115</v>
      </c>
      <c r="C116" s="251" t="n">
        <v>7130</v>
      </c>
      <c r="D116" s="251" t="n">
        <v>5530</v>
      </c>
      <c r="E116" s="201" t="n">
        <f aca="false">C116/D116*100-100</f>
        <v>28.9330922242315</v>
      </c>
      <c r="F116" s="251" t="n">
        <v>2640</v>
      </c>
      <c r="G116" s="251" t="n">
        <v>1890</v>
      </c>
      <c r="H116" s="201" t="n">
        <f aca="false">F116/G116*100-100</f>
        <v>39.6825396825397</v>
      </c>
      <c r="I116" s="251" t="n">
        <v>13384</v>
      </c>
      <c r="J116" s="251" t="n">
        <v>11819</v>
      </c>
      <c r="K116" s="201" t="n">
        <f aca="false">I116/J116*100-100</f>
        <v>13.2413909806244</v>
      </c>
      <c r="L116" s="250" t="n">
        <v>0</v>
      </c>
      <c r="M116" s="251" t="n">
        <v>0</v>
      </c>
      <c r="N116" s="201" t="n">
        <v>0</v>
      </c>
      <c r="O116" s="252" t="n">
        <v>12</v>
      </c>
      <c r="P116" s="250" t="n">
        <v>78</v>
      </c>
      <c r="Q116" s="252" t="n">
        <v>12</v>
      </c>
      <c r="R116" s="202" t="n">
        <f aca="false">O116*P116</f>
        <v>936</v>
      </c>
    </row>
    <row r="117" customFormat="false" ht="15" hidden="false" customHeight="false" outlineLevel="0" collapsed="false">
      <c r="A117" s="249" t="n">
        <v>23</v>
      </c>
      <c r="B117" s="243" t="s">
        <v>116</v>
      </c>
      <c r="C117" s="251" t="n">
        <v>0</v>
      </c>
      <c r="D117" s="250" t="n">
        <v>0</v>
      </c>
      <c r="E117" s="201" t="n">
        <v>0</v>
      </c>
      <c r="F117" s="251" t="n">
        <v>0</v>
      </c>
      <c r="G117" s="251" t="n">
        <v>0</v>
      </c>
      <c r="H117" s="201" t="n">
        <v>0</v>
      </c>
      <c r="I117" s="251" t="n">
        <v>0</v>
      </c>
      <c r="J117" s="251" t="n">
        <v>0</v>
      </c>
      <c r="K117" s="201" t="n">
        <v>0</v>
      </c>
      <c r="L117" s="250" t="n">
        <v>0</v>
      </c>
      <c r="M117" s="250" t="n">
        <v>0</v>
      </c>
      <c r="N117" s="201" t="n">
        <v>0</v>
      </c>
      <c r="O117" s="252" t="n">
        <v>0</v>
      </c>
      <c r="P117" s="250" t="n">
        <v>57</v>
      </c>
      <c r="Q117" s="252" t="n">
        <v>24</v>
      </c>
      <c r="R117" s="202" t="n">
        <f aca="false">O117*P117</f>
        <v>0</v>
      </c>
    </row>
    <row r="118" customFormat="false" ht="15" hidden="false" customHeight="false" outlineLevel="0" collapsed="false">
      <c r="A118" s="249" t="n">
        <v>24</v>
      </c>
      <c r="B118" s="245" t="s">
        <v>117</v>
      </c>
      <c r="C118" s="250" t="n">
        <v>16993</v>
      </c>
      <c r="D118" s="250" t="n">
        <v>8474</v>
      </c>
      <c r="E118" s="201" t="n">
        <f aca="false">C118/D118*100-100</f>
        <v>100.531036110456</v>
      </c>
      <c r="F118" s="250" t="n">
        <v>0</v>
      </c>
      <c r="G118" s="251" t="n">
        <v>2061</v>
      </c>
      <c r="H118" s="201" t="n">
        <v>0</v>
      </c>
      <c r="I118" s="250" t="n">
        <v>26654</v>
      </c>
      <c r="J118" s="250" t="n">
        <v>45040</v>
      </c>
      <c r="K118" s="201" t="n">
        <f aca="false">I118/J118*100-100</f>
        <v>-40.8214920071048</v>
      </c>
      <c r="L118" s="254" t="n">
        <v>0</v>
      </c>
      <c r="M118" s="250" t="n">
        <v>0</v>
      </c>
      <c r="N118" s="201" t="n">
        <v>0</v>
      </c>
      <c r="O118" s="252" t="n">
        <v>56</v>
      </c>
      <c r="P118" s="250" t="n">
        <v>57</v>
      </c>
      <c r="Q118" s="252" t="n">
        <v>56</v>
      </c>
      <c r="R118" s="202" t="n">
        <f aca="false">O118*P118</f>
        <v>3192</v>
      </c>
    </row>
    <row r="119" customFormat="false" ht="15" hidden="false" customHeight="false" outlineLevel="0" collapsed="false">
      <c r="A119" s="249" t="n">
        <v>25</v>
      </c>
      <c r="B119" s="245" t="s">
        <v>118</v>
      </c>
      <c r="C119" s="250" t="n">
        <v>4793</v>
      </c>
      <c r="D119" s="250" t="n">
        <v>12131</v>
      </c>
      <c r="E119" s="201" t="n">
        <f aca="false">C119/D119*100-100</f>
        <v>-60.4896546039073</v>
      </c>
      <c r="F119" s="250" t="n">
        <v>1635</v>
      </c>
      <c r="G119" s="250" t="n">
        <v>4112</v>
      </c>
      <c r="H119" s="201" t="n">
        <f aca="false">F119/G119*100-100</f>
        <v>-60.238326848249</v>
      </c>
      <c r="I119" s="250" t="n">
        <v>4665</v>
      </c>
      <c r="J119" s="250" t="n">
        <v>11201</v>
      </c>
      <c r="K119" s="201" t="n">
        <f aca="false">I119/J119*100-100</f>
        <v>-58.3519328631372</v>
      </c>
      <c r="L119" s="250" t="n">
        <v>0</v>
      </c>
      <c r="M119" s="250" t="n">
        <v>0</v>
      </c>
      <c r="N119" s="201" t="n">
        <v>0</v>
      </c>
      <c r="O119" s="252" t="n">
        <v>22</v>
      </c>
      <c r="P119" s="250" t="n">
        <v>46</v>
      </c>
      <c r="Q119" s="252" t="n">
        <v>22</v>
      </c>
      <c r="R119" s="202" t="n">
        <f aca="false">O119*P119</f>
        <v>1012</v>
      </c>
    </row>
    <row r="120" customFormat="false" ht="15" hidden="false" customHeight="false" outlineLevel="0" collapsed="false">
      <c r="A120" s="215" t="s">
        <v>119</v>
      </c>
      <c r="B120" s="215" t="s">
        <v>119</v>
      </c>
      <c r="C120" s="216" t="n">
        <f aca="false">SUM(C95:C119)</f>
        <v>1412996</v>
      </c>
      <c r="D120" s="216" t="n">
        <f aca="false">SUM(D95:D119)</f>
        <v>1486579</v>
      </c>
      <c r="E120" s="313" t="n">
        <f aca="false">C120/D120*100-100</f>
        <v>-4.94982103204741</v>
      </c>
      <c r="F120" s="216" t="n">
        <f aca="false">SUM(F95:F119)</f>
        <v>243362</v>
      </c>
      <c r="G120" s="216" t="n">
        <f aca="false">SUM(G95:G119)</f>
        <v>258780</v>
      </c>
      <c r="H120" s="313" t="n">
        <f aca="false">F120/G120*100-100</f>
        <v>-5.95795656542236</v>
      </c>
      <c r="I120" s="216" t="n">
        <f aca="false">SUM(I95:I119)</f>
        <v>1412060</v>
      </c>
      <c r="J120" s="216" t="n">
        <f aca="false">SUM(J95:J119)</f>
        <v>1489037</v>
      </c>
      <c r="K120" s="313" t="n">
        <f aca="false">I120/J120*100-100</f>
        <v>-5.16958275717796</v>
      </c>
      <c r="L120" s="216" t="n">
        <f aca="false">SUM(L95:L119)</f>
        <v>1089679</v>
      </c>
      <c r="M120" s="216" t="n">
        <f aca="false">SUM(M95:M119)</f>
        <v>1002876</v>
      </c>
      <c r="N120" s="313" t="n">
        <f aca="false">L120/M120*100-100</f>
        <v>8.65540704932614</v>
      </c>
      <c r="O120" s="216" t="n">
        <f aca="false">SUM(O95:O119)</f>
        <v>1871</v>
      </c>
      <c r="P120" s="217" t="n">
        <f aca="false">R120/O120</f>
        <v>68.5456974879744</v>
      </c>
      <c r="Q120" s="216" t="n">
        <f aca="false">SUM(Q95:Q119)</f>
        <v>1768</v>
      </c>
      <c r="R120" s="232" t="n">
        <f aca="false">SUM(R95:R119)</f>
        <v>128249</v>
      </c>
    </row>
    <row r="121" customFormat="false" ht="15" hidden="false" customHeight="false" outlineLevel="0" collapsed="false">
      <c r="A121" s="249"/>
      <c r="B121" s="245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51"/>
      <c r="O121" s="203"/>
      <c r="P121" s="204"/>
      <c r="Q121" s="203"/>
      <c r="R121" s="202"/>
    </row>
    <row r="122" customFormat="false" ht="15" hidden="false" customHeight="false" outlineLevel="0" collapsed="false">
      <c r="A122" s="255"/>
      <c r="B122" s="255"/>
      <c r="C122" s="256"/>
      <c r="D122" s="256"/>
      <c r="E122" s="257"/>
      <c r="F122" s="256"/>
      <c r="G122" s="256"/>
      <c r="H122" s="257"/>
      <c r="I122" s="256"/>
      <c r="J122" s="256"/>
      <c r="K122" s="257"/>
      <c r="L122" s="256"/>
      <c r="M122" s="256"/>
      <c r="N122" s="257"/>
      <c r="O122" s="256"/>
      <c r="P122" s="257"/>
      <c r="Q122" s="256"/>
      <c r="R122" s="202" t="n">
        <f aca="false">O122*P122</f>
        <v>0</v>
      </c>
    </row>
    <row r="123" customFormat="false" ht="15" hidden="false" customHeight="false" outlineLevel="0" collapsed="false">
      <c r="A123" s="195"/>
      <c r="B123" s="195" t="s">
        <v>120</v>
      </c>
      <c r="C123" s="195" t="n">
        <v>3</v>
      </c>
      <c r="D123" s="195" t="n">
        <v>4</v>
      </c>
      <c r="E123" s="196" t="n">
        <v>5</v>
      </c>
      <c r="F123" s="195" t="n">
        <v>6</v>
      </c>
      <c r="G123" s="195" t="n">
        <v>7</v>
      </c>
      <c r="H123" s="195" t="n">
        <v>8</v>
      </c>
      <c r="I123" s="195" t="n">
        <v>9</v>
      </c>
      <c r="J123" s="195" t="n">
        <v>10</v>
      </c>
      <c r="K123" s="195" t="n">
        <v>11</v>
      </c>
      <c r="L123" s="195" t="n">
        <v>12</v>
      </c>
      <c r="M123" s="195" t="n">
        <v>13</v>
      </c>
      <c r="N123" s="195" t="n">
        <v>14</v>
      </c>
      <c r="O123" s="195" t="n">
        <v>15</v>
      </c>
      <c r="P123" s="196" t="n">
        <v>16</v>
      </c>
      <c r="Q123" s="195" t="n">
        <v>15</v>
      </c>
      <c r="R123" s="202" t="n">
        <f aca="false">O123*P123</f>
        <v>240</v>
      </c>
    </row>
    <row r="124" customFormat="false" ht="15" hidden="false" customHeight="false" outlineLevel="0" collapsed="false">
      <c r="A124" s="210" t="n">
        <v>1</v>
      </c>
      <c r="B124" s="258" t="s">
        <v>121</v>
      </c>
      <c r="C124" s="200" t="n">
        <v>0</v>
      </c>
      <c r="D124" s="200" t="n">
        <v>0</v>
      </c>
      <c r="E124" s="201" t="n">
        <v>0</v>
      </c>
      <c r="F124" s="200" t="n">
        <v>0</v>
      </c>
      <c r="G124" s="200" t="n">
        <v>0</v>
      </c>
      <c r="H124" s="201" t="n">
        <v>0</v>
      </c>
      <c r="I124" s="200" t="n">
        <v>0</v>
      </c>
      <c r="J124" s="200" t="n">
        <v>0</v>
      </c>
      <c r="K124" s="201" t="n">
        <v>0</v>
      </c>
      <c r="L124" s="200" t="n">
        <v>0</v>
      </c>
      <c r="M124" s="200" t="n">
        <v>0</v>
      </c>
      <c r="N124" s="201" t="n">
        <v>0</v>
      </c>
      <c r="O124" s="203" t="n">
        <v>0</v>
      </c>
      <c r="P124" s="204" t="n">
        <v>0</v>
      </c>
      <c r="Q124" s="203" t="n">
        <v>0</v>
      </c>
      <c r="R124" s="202" t="n">
        <f aca="false">O124*P124</f>
        <v>0</v>
      </c>
    </row>
    <row r="125" s="211" customFormat="true" ht="15" hidden="false" customHeight="false" outlineLevel="0" collapsed="false">
      <c r="A125" s="210" t="n">
        <v>2</v>
      </c>
      <c r="B125" s="258" t="s">
        <v>122</v>
      </c>
      <c r="C125" s="203" t="n">
        <v>33834</v>
      </c>
      <c r="D125" s="203" t="n">
        <v>94177</v>
      </c>
      <c r="E125" s="201" t="n">
        <f aca="false">C125/D125*100-100</f>
        <v>-64.0740308143177</v>
      </c>
      <c r="F125" s="203" t="n">
        <v>3415</v>
      </c>
      <c r="G125" s="203" t="n">
        <v>21847</v>
      </c>
      <c r="H125" s="201" t="n">
        <f aca="false">F125/G125*100-100</f>
        <v>-84.3685631894539</v>
      </c>
      <c r="I125" s="203" t="n">
        <v>35390</v>
      </c>
      <c r="J125" s="203" t="n">
        <v>124422</v>
      </c>
      <c r="K125" s="201" t="n">
        <f aca="false">I125/J125*100-100</f>
        <v>-71.5564771503432</v>
      </c>
      <c r="L125" s="203" t="n">
        <v>0</v>
      </c>
      <c r="M125" s="203" t="n">
        <v>0</v>
      </c>
      <c r="N125" s="192" t="n">
        <v>0</v>
      </c>
      <c r="O125" s="219" t="n">
        <v>74</v>
      </c>
      <c r="P125" s="204" t="n">
        <v>80</v>
      </c>
      <c r="Q125" s="219" t="n">
        <v>74</v>
      </c>
      <c r="R125" s="202" t="n">
        <f aca="false">O125*P125</f>
        <v>5920</v>
      </c>
    </row>
    <row r="126" customFormat="false" ht="15" hidden="false" customHeight="false" outlineLevel="0" collapsed="false">
      <c r="A126" s="210" t="n">
        <v>3</v>
      </c>
      <c r="B126" s="258" t="s">
        <v>123</v>
      </c>
      <c r="C126" s="200" t="n">
        <v>0</v>
      </c>
      <c r="D126" s="200" t="n">
        <v>0</v>
      </c>
      <c r="E126" s="201" t="n">
        <v>0</v>
      </c>
      <c r="F126" s="200" t="n">
        <v>0</v>
      </c>
      <c r="G126" s="200" t="n">
        <v>0</v>
      </c>
      <c r="H126" s="201" t="n">
        <v>0</v>
      </c>
      <c r="I126" s="200" t="n">
        <v>0</v>
      </c>
      <c r="J126" s="200" t="n">
        <v>0</v>
      </c>
      <c r="K126" s="201" t="n">
        <v>0</v>
      </c>
      <c r="L126" s="200" t="n">
        <v>0</v>
      </c>
      <c r="M126" s="200" t="n">
        <v>0</v>
      </c>
      <c r="N126" s="214" t="n">
        <v>0</v>
      </c>
      <c r="O126" s="203" t="n">
        <v>0</v>
      </c>
      <c r="P126" s="204" t="n">
        <v>0</v>
      </c>
      <c r="Q126" s="203" t="n">
        <v>0</v>
      </c>
      <c r="R126" s="202" t="n">
        <f aca="false">O126*P126</f>
        <v>0</v>
      </c>
    </row>
    <row r="127" customFormat="false" ht="15" hidden="false" customHeight="false" outlineLevel="0" collapsed="false">
      <c r="A127" s="210" t="n">
        <v>4</v>
      </c>
      <c r="B127" s="258" t="s">
        <v>124</v>
      </c>
      <c r="C127" s="200" t="n">
        <v>0</v>
      </c>
      <c r="D127" s="200" t="n">
        <v>0</v>
      </c>
      <c r="E127" s="201" t="n">
        <v>0</v>
      </c>
      <c r="F127" s="200" t="n">
        <v>0</v>
      </c>
      <c r="G127" s="200" t="n">
        <v>0</v>
      </c>
      <c r="H127" s="201" t="n">
        <v>0</v>
      </c>
      <c r="I127" s="200" t="n">
        <v>0</v>
      </c>
      <c r="J127" s="200" t="n">
        <v>0</v>
      </c>
      <c r="K127" s="201" t="n">
        <v>0</v>
      </c>
      <c r="L127" s="200" t="n">
        <v>0</v>
      </c>
      <c r="M127" s="200" t="n">
        <v>0</v>
      </c>
      <c r="N127" s="214" t="n">
        <v>0</v>
      </c>
      <c r="O127" s="203" t="n">
        <v>0</v>
      </c>
      <c r="P127" s="204" t="n">
        <v>0</v>
      </c>
      <c r="Q127" s="203" t="n">
        <v>0</v>
      </c>
      <c r="R127" s="202" t="n">
        <f aca="false">O127*P127</f>
        <v>0</v>
      </c>
    </row>
    <row r="128" customFormat="false" ht="15" hidden="false" customHeight="false" outlineLevel="0" collapsed="false">
      <c r="A128" s="210" t="n">
        <v>5</v>
      </c>
      <c r="B128" s="259" t="s">
        <v>125</v>
      </c>
      <c r="C128" s="251" t="n">
        <v>1050</v>
      </c>
      <c r="D128" s="251" t="n">
        <v>0</v>
      </c>
      <c r="E128" s="201" t="n">
        <v>0</v>
      </c>
      <c r="F128" s="251" t="n">
        <v>0</v>
      </c>
      <c r="G128" s="251" t="n">
        <v>0</v>
      </c>
      <c r="H128" s="201" t="n">
        <v>0</v>
      </c>
      <c r="I128" s="251" t="n">
        <v>1441</v>
      </c>
      <c r="J128" s="251" t="n">
        <v>1962</v>
      </c>
      <c r="K128" s="201" t="n">
        <f aca="false">I128/J128*100-100</f>
        <v>-26.5545361875637</v>
      </c>
      <c r="L128" s="251" t="n">
        <v>0</v>
      </c>
      <c r="M128" s="251" t="n">
        <v>0</v>
      </c>
      <c r="N128" s="251" t="n">
        <v>0</v>
      </c>
      <c r="O128" s="219" t="n">
        <v>8</v>
      </c>
      <c r="P128" s="261" t="n">
        <v>70</v>
      </c>
      <c r="Q128" s="219" t="n">
        <v>8</v>
      </c>
      <c r="R128" s="202" t="n">
        <f aca="false">O128*P128</f>
        <v>560</v>
      </c>
    </row>
    <row r="129" customFormat="false" ht="15" hidden="false" customHeight="false" outlineLevel="0" collapsed="false">
      <c r="A129" s="210" t="n">
        <v>6</v>
      </c>
      <c r="B129" s="259" t="s">
        <v>126</v>
      </c>
      <c r="C129" s="200" t="n">
        <v>0</v>
      </c>
      <c r="D129" s="200" t="n">
        <v>0</v>
      </c>
      <c r="E129" s="201" t="n">
        <v>0</v>
      </c>
      <c r="F129" s="200" t="n">
        <v>0</v>
      </c>
      <c r="G129" s="200" t="n">
        <v>0</v>
      </c>
      <c r="H129" s="201" t="n">
        <v>0</v>
      </c>
      <c r="I129" s="200" t="n">
        <v>0</v>
      </c>
      <c r="J129" s="200" t="n">
        <v>0</v>
      </c>
      <c r="K129" s="201" t="n">
        <v>0</v>
      </c>
      <c r="L129" s="200" t="n">
        <v>0</v>
      </c>
      <c r="M129" s="200" t="n">
        <v>0</v>
      </c>
      <c r="N129" s="214" t="n">
        <v>0</v>
      </c>
      <c r="O129" s="203" t="n">
        <v>0</v>
      </c>
      <c r="P129" s="204" t="n">
        <v>0</v>
      </c>
      <c r="Q129" s="203" t="n">
        <v>0</v>
      </c>
      <c r="R129" s="202" t="n">
        <f aca="false">O129*P129</f>
        <v>0</v>
      </c>
    </row>
    <row r="130" customFormat="false" ht="15" hidden="false" customHeight="false" outlineLevel="0" collapsed="false">
      <c r="A130" s="210" t="n">
        <v>7</v>
      </c>
      <c r="B130" s="258" t="s">
        <v>127</v>
      </c>
      <c r="C130" s="208" t="n">
        <v>5726</v>
      </c>
      <c r="D130" s="208" t="n">
        <v>7397</v>
      </c>
      <c r="E130" s="201" t="n">
        <f aca="false">C130/D130*100-100</f>
        <v>-22.5902392861971</v>
      </c>
      <c r="F130" s="208" t="n">
        <v>0</v>
      </c>
      <c r="G130" s="208" t="n">
        <v>1147</v>
      </c>
      <c r="H130" s="201" t="n">
        <v>0</v>
      </c>
      <c r="I130" s="208" t="n">
        <v>5726</v>
      </c>
      <c r="J130" s="208" t="n">
        <v>7397</v>
      </c>
      <c r="K130" s="201" t="n">
        <f aca="false">I130/J130*100-100</f>
        <v>-22.5902392861971</v>
      </c>
      <c r="L130" s="208" t="n">
        <v>0</v>
      </c>
      <c r="M130" s="208" t="n">
        <v>0</v>
      </c>
      <c r="N130" s="192" t="n">
        <v>0</v>
      </c>
      <c r="O130" s="219" t="n">
        <v>14</v>
      </c>
      <c r="P130" s="250" t="n">
        <v>65</v>
      </c>
      <c r="Q130" s="219" t="n">
        <v>14</v>
      </c>
      <c r="R130" s="202" t="n">
        <f aca="false">O130*P130</f>
        <v>910</v>
      </c>
    </row>
    <row r="131" customFormat="false" ht="15" hidden="false" customHeight="false" outlineLevel="0" collapsed="false">
      <c r="A131" s="215" t="s">
        <v>128</v>
      </c>
      <c r="B131" s="215" t="s">
        <v>128</v>
      </c>
      <c r="C131" s="216" t="n">
        <f aca="false">SUM(C124:C130)</f>
        <v>40610</v>
      </c>
      <c r="D131" s="216" t="n">
        <f aca="false">SUM(D124:D130)</f>
        <v>101574</v>
      </c>
      <c r="E131" s="313" t="n">
        <f aca="false">C131/D131*100-100</f>
        <v>-60.0192962766062</v>
      </c>
      <c r="F131" s="216" t="n">
        <f aca="false">SUM(F124:F130)</f>
        <v>3415</v>
      </c>
      <c r="G131" s="216" t="n">
        <f aca="false">SUM(G124:G130)</f>
        <v>22994</v>
      </c>
      <c r="H131" s="313" t="n">
        <f aca="false">F131/G131*100-100</f>
        <v>-85.148299556406</v>
      </c>
      <c r="I131" s="216" t="n">
        <f aca="false">SUM(I124:I130)</f>
        <v>42557</v>
      </c>
      <c r="J131" s="216" t="n">
        <f aca="false">SUM(J124:J130)</f>
        <v>133781</v>
      </c>
      <c r="K131" s="313" t="n">
        <f aca="false">I131/J131*100-100</f>
        <v>-68.1890552470082</v>
      </c>
      <c r="L131" s="216" t="n">
        <f aca="false">SUM(L124:L130)</f>
        <v>0</v>
      </c>
      <c r="M131" s="216" t="n">
        <f aca="false">SUM(M124:M130)</f>
        <v>0</v>
      </c>
      <c r="N131" s="237" t="n">
        <v>0</v>
      </c>
      <c r="O131" s="216" t="n">
        <f aca="false">SUM(O124:O130)</f>
        <v>96</v>
      </c>
      <c r="P131" s="237" t="n">
        <f aca="false">R131/O131</f>
        <v>76.9791666666667</v>
      </c>
      <c r="Q131" s="216" t="n">
        <f aca="false">SUM(Q124:Q130)</f>
        <v>96</v>
      </c>
      <c r="R131" s="232" t="n">
        <f aca="false">SUM(R124:R130)</f>
        <v>7390</v>
      </c>
    </row>
    <row r="132" customFormat="false" ht="15" hidden="false" customHeight="false" outlineLevel="0" collapsed="false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192"/>
      <c r="L132" s="203"/>
      <c r="M132" s="203"/>
      <c r="N132" s="203"/>
      <c r="O132" s="203"/>
      <c r="P132" s="219"/>
      <c r="Q132" s="203"/>
      <c r="R132" s="197"/>
    </row>
    <row r="133" customFormat="false" ht="15" hidden="false" customHeight="false" outlineLevel="0" collapsed="false">
      <c r="A133" s="190" t="s">
        <v>129</v>
      </c>
      <c r="B133" s="190"/>
      <c r="C133" s="195" t="n">
        <v>3</v>
      </c>
      <c r="D133" s="195" t="n">
        <v>4</v>
      </c>
      <c r="E133" s="196" t="n">
        <v>5</v>
      </c>
      <c r="F133" s="195" t="n">
        <v>6</v>
      </c>
      <c r="G133" s="195" t="n">
        <v>7</v>
      </c>
      <c r="H133" s="195" t="n">
        <v>8</v>
      </c>
      <c r="I133" s="195" t="n">
        <v>9</v>
      </c>
      <c r="J133" s="195" t="n">
        <v>10</v>
      </c>
      <c r="K133" s="195" t="n">
        <v>11</v>
      </c>
      <c r="L133" s="195" t="n">
        <v>12</v>
      </c>
      <c r="M133" s="195" t="n">
        <v>13</v>
      </c>
      <c r="N133" s="195" t="n">
        <v>14</v>
      </c>
      <c r="O133" s="195" t="n">
        <v>15</v>
      </c>
      <c r="P133" s="196" t="n">
        <v>16</v>
      </c>
      <c r="Q133" s="195" t="n">
        <v>15</v>
      </c>
      <c r="R133" s="189"/>
    </row>
    <row r="134" customFormat="false" ht="15" hidden="false" customHeight="false" outlineLevel="0" collapsed="false">
      <c r="A134" s="262" t="n">
        <v>1</v>
      </c>
      <c r="B134" s="243" t="s">
        <v>130</v>
      </c>
      <c r="C134" s="219" t="n">
        <v>40804533</v>
      </c>
      <c r="D134" s="219" t="n">
        <v>35848013</v>
      </c>
      <c r="E134" s="201" t="n">
        <f aca="false">C134/D134*100-100</f>
        <v>13.8264846087843</v>
      </c>
      <c r="F134" s="219" t="n">
        <v>9728442</v>
      </c>
      <c r="G134" s="219" t="n">
        <v>10509101</v>
      </c>
      <c r="H134" s="201" t="n">
        <f aca="false">F134/G134*100-100</f>
        <v>-7.42840895715057</v>
      </c>
      <c r="I134" s="262" t="n">
        <v>42263865</v>
      </c>
      <c r="J134" s="262" t="n">
        <v>35091108</v>
      </c>
      <c r="K134" s="201" t="n">
        <f aca="false">I134/J134*100-100</f>
        <v>20.440383358656</v>
      </c>
      <c r="L134" s="262" t="n">
        <v>21034481</v>
      </c>
      <c r="M134" s="262" t="n">
        <v>15034380</v>
      </c>
      <c r="N134" s="201" t="n">
        <f aca="false">L134/M134*100-100</f>
        <v>39.9092014436246</v>
      </c>
      <c r="O134" s="203" t="n">
        <v>2965</v>
      </c>
      <c r="P134" s="219" t="n">
        <v>145</v>
      </c>
      <c r="Q134" s="203" t="n">
        <v>2965</v>
      </c>
      <c r="R134" s="202" t="n">
        <f aca="false">O134*P134</f>
        <v>429925</v>
      </c>
    </row>
    <row r="135" customFormat="false" ht="15" hidden="false" customHeight="false" outlineLevel="0" collapsed="false">
      <c r="A135" s="262" t="n">
        <v>2</v>
      </c>
      <c r="B135" s="243" t="s">
        <v>131</v>
      </c>
      <c r="C135" s="219" t="n">
        <v>7612232</v>
      </c>
      <c r="D135" s="219" t="n">
        <v>8980729</v>
      </c>
      <c r="E135" s="201" t="n">
        <f aca="false">C135/D135*100-100</f>
        <v>-15.2381504886741</v>
      </c>
      <c r="F135" s="219" t="n">
        <v>1926288</v>
      </c>
      <c r="G135" s="219" t="n">
        <v>2054539</v>
      </c>
      <c r="H135" s="201" t="n">
        <f aca="false">F135/G135*100-100</f>
        <v>-6.24232492057828</v>
      </c>
      <c r="I135" s="262" t="n">
        <v>5588556</v>
      </c>
      <c r="J135" s="262" t="n">
        <v>6789413</v>
      </c>
      <c r="K135" s="201" t="n">
        <f aca="false">I135/J135*100-100</f>
        <v>-17.6871991731833</v>
      </c>
      <c r="L135" s="262" t="n">
        <v>5588556</v>
      </c>
      <c r="M135" s="262" t="n">
        <v>6789413</v>
      </c>
      <c r="N135" s="201" t="n">
        <f aca="false">L135/M135*100-100</f>
        <v>-17.6871991731833</v>
      </c>
      <c r="O135" s="203" t="n">
        <v>1005</v>
      </c>
      <c r="P135" s="219" t="n">
        <v>120</v>
      </c>
      <c r="Q135" s="203" t="n">
        <v>986</v>
      </c>
      <c r="R135" s="202" t="n">
        <f aca="false">O135*P135</f>
        <v>120600</v>
      </c>
    </row>
    <row r="136" customFormat="false" ht="15" hidden="false" customHeight="false" outlineLevel="0" collapsed="false">
      <c r="A136" s="262" t="n">
        <v>3</v>
      </c>
      <c r="B136" s="243" t="s">
        <v>132</v>
      </c>
      <c r="C136" s="219" t="n">
        <v>7230506</v>
      </c>
      <c r="D136" s="219" t="n">
        <v>8401727</v>
      </c>
      <c r="E136" s="201" t="n">
        <f aca="false">C136/D136*100-100</f>
        <v>-13.94024109567</v>
      </c>
      <c r="F136" s="219" t="n">
        <v>1885603</v>
      </c>
      <c r="G136" s="219" t="n">
        <v>1884243</v>
      </c>
      <c r="H136" s="201" t="n">
        <f aca="false">F136/G136*100-100</f>
        <v>0.0721775269962421</v>
      </c>
      <c r="I136" s="262" t="n">
        <v>6751305</v>
      </c>
      <c r="J136" s="262" t="n">
        <v>4569383</v>
      </c>
      <c r="K136" s="201" t="n">
        <f aca="false">I136/J136*100-100</f>
        <v>47.7509107903627</v>
      </c>
      <c r="L136" s="262" t="n">
        <v>6751305</v>
      </c>
      <c r="M136" s="262" t="n">
        <v>4569383</v>
      </c>
      <c r="N136" s="201" t="n">
        <f aca="false">L136/M136*100-100</f>
        <v>47.7509107903627</v>
      </c>
      <c r="O136" s="203" t="n">
        <v>1206</v>
      </c>
      <c r="P136" s="236" t="n">
        <v>306</v>
      </c>
      <c r="Q136" s="203" t="n">
        <v>1206</v>
      </c>
      <c r="R136" s="202" t="n">
        <f aca="false">O136*P136</f>
        <v>369036</v>
      </c>
    </row>
    <row r="137" customFormat="false" ht="15" hidden="false" customHeight="false" outlineLevel="0" collapsed="false">
      <c r="A137" s="262" t="n">
        <v>4</v>
      </c>
      <c r="B137" s="243" t="s">
        <v>133</v>
      </c>
      <c r="C137" s="236" t="n">
        <v>1623055</v>
      </c>
      <c r="D137" s="236" t="n">
        <v>1556850</v>
      </c>
      <c r="E137" s="201" t="n">
        <f aca="false">C137/D137*100-100</f>
        <v>4.25249702925781</v>
      </c>
      <c r="F137" s="203" t="n">
        <v>573811</v>
      </c>
      <c r="G137" s="203" t="n">
        <v>333116</v>
      </c>
      <c r="H137" s="201" t="n">
        <f aca="false">F137/G137*100-100</f>
        <v>72.2556106581491</v>
      </c>
      <c r="I137" s="203" t="n">
        <v>1652673</v>
      </c>
      <c r="J137" s="203" t="n">
        <v>1336130</v>
      </c>
      <c r="K137" s="201" t="n">
        <f aca="false">I137/J137*100-100</f>
        <v>23.6910330581605</v>
      </c>
      <c r="L137" s="203" t="n">
        <v>1652673</v>
      </c>
      <c r="M137" s="203" t="n">
        <v>1336130</v>
      </c>
      <c r="N137" s="201" t="n">
        <f aca="false">L137/M137*100-100</f>
        <v>23.6910330581605</v>
      </c>
      <c r="O137" s="203" t="n">
        <v>527</v>
      </c>
      <c r="P137" s="219" t="n">
        <v>150</v>
      </c>
      <c r="Q137" s="203" t="n">
        <v>538</v>
      </c>
      <c r="R137" s="202" t="n">
        <f aca="false">O137*P137</f>
        <v>79050</v>
      </c>
    </row>
    <row r="138" customFormat="false" ht="15" hidden="false" customHeight="false" outlineLevel="0" collapsed="false">
      <c r="A138" s="262" t="n">
        <v>5</v>
      </c>
      <c r="B138" s="243" t="s">
        <v>134</v>
      </c>
      <c r="C138" s="203" t="n">
        <v>1030951</v>
      </c>
      <c r="D138" s="203" t="n">
        <v>1308041</v>
      </c>
      <c r="E138" s="201" t="n">
        <f aca="false">C138/D138*100-100</f>
        <v>-21.1835867530146</v>
      </c>
      <c r="F138" s="203" t="n">
        <v>319073</v>
      </c>
      <c r="G138" s="203" t="n">
        <v>596374</v>
      </c>
      <c r="H138" s="201" t="n">
        <f aca="false">F138/G138*100-100</f>
        <v>-46.4978352510338</v>
      </c>
      <c r="I138" s="203" t="n">
        <v>1172890</v>
      </c>
      <c r="J138" s="203" t="n">
        <v>803050</v>
      </c>
      <c r="K138" s="201" t="n">
        <f aca="false">I138/J138*100-100</f>
        <v>46.0544175331548</v>
      </c>
      <c r="L138" s="203" t="n">
        <v>1172890</v>
      </c>
      <c r="M138" s="203" t="n">
        <v>803050</v>
      </c>
      <c r="N138" s="201" t="n">
        <f aca="false">L138/M138*100-100</f>
        <v>46.0544175331548</v>
      </c>
      <c r="O138" s="203" t="n">
        <v>420</v>
      </c>
      <c r="P138" s="204" t="n">
        <v>210</v>
      </c>
      <c r="Q138" s="203" t="n">
        <v>429</v>
      </c>
      <c r="R138" s="202" t="n">
        <f aca="false">O138*P138</f>
        <v>88200</v>
      </c>
    </row>
    <row r="139" customFormat="false" ht="15" hidden="false" customHeight="false" outlineLevel="0" collapsed="false">
      <c r="A139" s="215" t="s">
        <v>135</v>
      </c>
      <c r="B139" s="215" t="s">
        <v>136</v>
      </c>
      <c r="C139" s="237" t="n">
        <f aca="false">SUM(C134:C138)</f>
        <v>58301277</v>
      </c>
      <c r="D139" s="237" t="n">
        <f aca="false">SUM(D134:D138)</f>
        <v>56095360</v>
      </c>
      <c r="E139" s="313" t="n">
        <f aca="false">C139/D139*100-100</f>
        <v>3.93244111455921</v>
      </c>
      <c r="F139" s="237" t="n">
        <f aca="false">SUM(F134:F138)</f>
        <v>14433217</v>
      </c>
      <c r="G139" s="237" t="n">
        <f aca="false">SUM(G134:G138)</f>
        <v>15377373</v>
      </c>
      <c r="H139" s="313" t="n">
        <f aca="false">F139/G139*100-100</f>
        <v>-6.13990439069144</v>
      </c>
      <c r="I139" s="237" t="n">
        <f aca="false">SUM(I134:I138)</f>
        <v>57429289</v>
      </c>
      <c r="J139" s="237" t="n">
        <f aca="false">SUM(J134:J138)</f>
        <v>48589084</v>
      </c>
      <c r="K139" s="313" t="n">
        <f aca="false">I139/J139*100-100</f>
        <v>18.1938087163775</v>
      </c>
      <c r="L139" s="237" t="n">
        <f aca="false">SUM(L134:L138)</f>
        <v>36199905</v>
      </c>
      <c r="M139" s="237" t="n">
        <f aca="false">SUM(M134:M138)</f>
        <v>28532356</v>
      </c>
      <c r="N139" s="313" t="n">
        <f aca="false">L139/M139*100-100</f>
        <v>26.8731716371406</v>
      </c>
      <c r="O139" s="237" t="n">
        <f aca="false">SUM(O134:O138)</f>
        <v>6123</v>
      </c>
      <c r="P139" s="237" t="n">
        <f aca="false">R139/O139</f>
        <v>177.496488649355</v>
      </c>
      <c r="Q139" s="237" t="n">
        <f aca="false">SUM(Q134:Q138)</f>
        <v>6124</v>
      </c>
      <c r="R139" s="237" t="n">
        <f aca="false">SUM(R134:R138)</f>
        <v>1086811</v>
      </c>
    </row>
    <row r="140" customFormat="false" ht="15" hidden="false" customHeight="false" outlineLevel="0" collapsed="false">
      <c r="A140" s="263"/>
      <c r="B140" s="263"/>
      <c r="C140" s="264"/>
      <c r="D140" s="264"/>
      <c r="E140" s="265"/>
      <c r="F140" s="266"/>
      <c r="G140" s="266"/>
      <c r="H140" s="265"/>
      <c r="I140" s="266"/>
      <c r="J140" s="266"/>
      <c r="K140" s="265"/>
      <c r="L140" s="266"/>
      <c r="M140" s="266"/>
      <c r="N140" s="265"/>
      <c r="O140" s="266"/>
      <c r="P140" s="264"/>
      <c r="Q140" s="266"/>
      <c r="R140" s="267"/>
    </row>
    <row r="141" customFormat="false" ht="15" hidden="false" customHeight="false" outlineLevel="0" collapsed="false">
      <c r="A141" s="263"/>
      <c r="B141" s="263" t="s">
        <v>137</v>
      </c>
      <c r="C141" s="195" t="n">
        <v>3</v>
      </c>
      <c r="D141" s="195" t="n">
        <v>4</v>
      </c>
      <c r="E141" s="196" t="n">
        <v>5</v>
      </c>
      <c r="F141" s="195" t="n">
        <v>6</v>
      </c>
      <c r="G141" s="195" t="n">
        <v>7</v>
      </c>
      <c r="H141" s="195" t="n">
        <v>8</v>
      </c>
      <c r="I141" s="195" t="n">
        <v>9</v>
      </c>
      <c r="J141" s="195" t="n">
        <v>10</v>
      </c>
      <c r="K141" s="195" t="n">
        <v>11</v>
      </c>
      <c r="L141" s="195" t="n">
        <v>12</v>
      </c>
      <c r="M141" s="195" t="n">
        <v>13</v>
      </c>
      <c r="N141" s="195" t="n">
        <v>14</v>
      </c>
      <c r="O141" s="195" t="n">
        <v>15</v>
      </c>
      <c r="P141" s="196" t="n">
        <v>16</v>
      </c>
      <c r="Q141" s="195" t="n">
        <v>15</v>
      </c>
      <c r="R141" s="267"/>
    </row>
    <row r="142" customFormat="false" ht="15" hidden="false" customHeight="false" outlineLevel="0" collapsed="false">
      <c r="A142" s="262" t="n">
        <v>6</v>
      </c>
      <c r="B142" s="243" t="s">
        <v>138</v>
      </c>
      <c r="C142" s="219" t="n">
        <v>7067569</v>
      </c>
      <c r="D142" s="219" t="n">
        <v>6261202</v>
      </c>
      <c r="E142" s="201" t="n">
        <f aca="false">C142/D142*100-100</f>
        <v>12.8787890887405</v>
      </c>
      <c r="F142" s="219" t="n">
        <v>1769744</v>
      </c>
      <c r="G142" s="219" t="n">
        <v>1571734</v>
      </c>
      <c r="H142" s="201" t="n">
        <f aca="false">F142/G142*100-100</f>
        <v>12.5981877340568</v>
      </c>
      <c r="I142" s="262" t="n">
        <v>7064871</v>
      </c>
      <c r="J142" s="262" t="n">
        <v>6401753</v>
      </c>
      <c r="K142" s="201" t="n">
        <f aca="false">I142/J142*100-100</f>
        <v>10.3583815245605</v>
      </c>
      <c r="L142" s="262" t="n">
        <v>7064871</v>
      </c>
      <c r="M142" s="262" t="n">
        <v>6401753</v>
      </c>
      <c r="N142" s="201" t="n">
        <f aca="false">L142/M142*100-100</f>
        <v>10.3583815245605</v>
      </c>
      <c r="O142" s="203" t="n">
        <v>490</v>
      </c>
      <c r="P142" s="236" t="n">
        <v>150</v>
      </c>
      <c r="Q142" s="203" t="n">
        <v>488</v>
      </c>
      <c r="R142" s="202" t="n">
        <f aca="false">O142*P142</f>
        <v>73500</v>
      </c>
    </row>
    <row r="143" customFormat="false" ht="15" hidden="false" customHeight="false" outlineLevel="0" collapsed="false">
      <c r="A143" s="262" t="n">
        <v>10</v>
      </c>
      <c r="B143" s="243" t="s">
        <v>139</v>
      </c>
      <c r="C143" s="236" t="n">
        <v>15013454</v>
      </c>
      <c r="D143" s="236" t="n">
        <v>14140323</v>
      </c>
      <c r="E143" s="201" t="n">
        <f aca="false">C143/D143*100-100</f>
        <v>6.17475994006644</v>
      </c>
      <c r="F143" s="236" t="n">
        <v>3490248</v>
      </c>
      <c r="G143" s="236" t="n">
        <v>3661587</v>
      </c>
      <c r="H143" s="201" t="n">
        <f aca="false">F143/G143*100-100</f>
        <v>-4.67936443951761</v>
      </c>
      <c r="I143" s="203" t="n">
        <v>14776388</v>
      </c>
      <c r="J143" s="203" t="n">
        <v>12394954</v>
      </c>
      <c r="K143" s="201" t="n">
        <f aca="false">I143/J143*100-100</f>
        <v>19.2129313267318</v>
      </c>
      <c r="L143" s="203" t="n">
        <v>14748629</v>
      </c>
      <c r="M143" s="203" t="n">
        <v>12329943</v>
      </c>
      <c r="N143" s="201" t="n">
        <f aca="false">L143/M143*100-100</f>
        <v>19.6163599458651</v>
      </c>
      <c r="O143" s="203" t="n">
        <v>659</v>
      </c>
      <c r="P143" s="219" t="n">
        <v>134</v>
      </c>
      <c r="Q143" s="203" t="n">
        <v>657</v>
      </c>
      <c r="R143" s="202" t="n">
        <f aca="false">O143*P143</f>
        <v>88306</v>
      </c>
    </row>
    <row r="144" customFormat="false" ht="15" hidden="false" customHeight="false" outlineLevel="0" collapsed="false">
      <c r="A144" s="262" t="n">
        <v>11</v>
      </c>
      <c r="B144" s="243" t="s">
        <v>140</v>
      </c>
      <c r="C144" s="219" t="n">
        <v>10393676</v>
      </c>
      <c r="D144" s="219" t="n">
        <v>9322584</v>
      </c>
      <c r="E144" s="201" t="n">
        <f aca="false">C144/D144*100-100</f>
        <v>11.4892180108004</v>
      </c>
      <c r="F144" s="203" t="n">
        <v>2766881</v>
      </c>
      <c r="G144" s="203" t="n">
        <v>2392104</v>
      </c>
      <c r="H144" s="201" t="n">
        <f aca="false">F144/G144*100-100</f>
        <v>15.6672535976697</v>
      </c>
      <c r="I144" s="203" t="n">
        <v>10429194</v>
      </c>
      <c r="J144" s="203" t="n">
        <v>9826084</v>
      </c>
      <c r="K144" s="201" t="n">
        <f aca="false">I144/J144*100-100</f>
        <v>6.13784697952917</v>
      </c>
      <c r="L144" s="203" t="n">
        <v>10429194</v>
      </c>
      <c r="M144" s="203" t="n">
        <v>9826084</v>
      </c>
      <c r="N144" s="201" t="n">
        <f aca="false">L144/M144*100-100</f>
        <v>6.13784697952917</v>
      </c>
      <c r="O144" s="203" t="n">
        <v>557</v>
      </c>
      <c r="P144" s="219" t="n">
        <v>180</v>
      </c>
      <c r="Q144" s="203" t="n">
        <v>557</v>
      </c>
      <c r="R144" s="202" t="n">
        <f aca="false">O144*P144</f>
        <v>100260</v>
      </c>
    </row>
    <row r="145" customFormat="false" ht="15" hidden="false" customHeight="false" outlineLevel="0" collapsed="false">
      <c r="A145" s="262" t="n">
        <v>14</v>
      </c>
      <c r="B145" s="243" t="s">
        <v>141</v>
      </c>
      <c r="C145" s="236" t="n">
        <v>1509709</v>
      </c>
      <c r="D145" s="236" t="n">
        <v>1321398</v>
      </c>
      <c r="E145" s="201" t="n">
        <f aca="false">C145/D145*100-100</f>
        <v>14.2508918584711</v>
      </c>
      <c r="F145" s="262" t="n">
        <v>388801</v>
      </c>
      <c r="G145" s="262" t="n">
        <v>383367</v>
      </c>
      <c r="H145" s="201" t="n">
        <f aca="false">F145/G145*100-100</f>
        <v>1.41744072911858</v>
      </c>
      <c r="I145" s="262" t="n">
        <v>1690632</v>
      </c>
      <c r="J145" s="262" t="n">
        <v>1257688</v>
      </c>
      <c r="K145" s="201" t="n">
        <f aca="false">I145/J145*100-100</f>
        <v>34.4237998613329</v>
      </c>
      <c r="L145" s="262" t="n">
        <v>0</v>
      </c>
      <c r="M145" s="262" t="n">
        <v>0</v>
      </c>
      <c r="N145" s="201" t="n">
        <v>0</v>
      </c>
      <c r="O145" s="203" t="n">
        <v>310</v>
      </c>
      <c r="P145" s="236" t="n">
        <v>58</v>
      </c>
      <c r="Q145" s="203" t="n">
        <v>308</v>
      </c>
      <c r="R145" s="202" t="n">
        <f aca="false">O145*P145</f>
        <v>17980</v>
      </c>
    </row>
    <row r="146" customFormat="false" ht="15" hidden="false" customHeight="false" outlineLevel="0" collapsed="false">
      <c r="A146" s="262" t="n">
        <v>9</v>
      </c>
      <c r="B146" s="243" t="s">
        <v>142</v>
      </c>
      <c r="C146" s="236" t="n">
        <v>9864271</v>
      </c>
      <c r="D146" s="236" t="n">
        <v>7611394</v>
      </c>
      <c r="E146" s="201" t="n">
        <f aca="false">C146/D146*100-100</f>
        <v>29.5987436729724</v>
      </c>
      <c r="F146" s="236" t="n">
        <v>2635294</v>
      </c>
      <c r="G146" s="236" t="n">
        <v>2183056</v>
      </c>
      <c r="H146" s="201" t="n">
        <f aca="false">F146/G146*100-100</f>
        <v>20.7158222235252</v>
      </c>
      <c r="I146" s="203" t="n">
        <v>9135342</v>
      </c>
      <c r="J146" s="203" t="n">
        <v>7956678</v>
      </c>
      <c r="K146" s="201" t="n">
        <f aca="false">I146/J146*100-100</f>
        <v>14.813518908268</v>
      </c>
      <c r="L146" s="203" t="n">
        <v>9135342</v>
      </c>
      <c r="M146" s="203" t="n">
        <v>7956678</v>
      </c>
      <c r="N146" s="201" t="n">
        <f aca="false">L146/M146*100-100</f>
        <v>14.813518908268</v>
      </c>
      <c r="O146" s="203" t="n">
        <v>968</v>
      </c>
      <c r="P146" s="219" t="n">
        <v>100</v>
      </c>
      <c r="Q146" s="203" t="n">
        <v>962</v>
      </c>
      <c r="R146" s="202" t="n">
        <f aca="false">O146*P146</f>
        <v>96800</v>
      </c>
    </row>
    <row r="147" customFormat="false" ht="15" hidden="false" customHeight="false" outlineLevel="0" collapsed="false">
      <c r="A147" s="262" t="n">
        <v>15</v>
      </c>
      <c r="B147" s="243" t="s">
        <v>143</v>
      </c>
      <c r="C147" s="219" t="n">
        <v>11593460</v>
      </c>
      <c r="D147" s="219" t="n">
        <v>10313619</v>
      </c>
      <c r="E147" s="201" t="n">
        <f aca="false">C147/D147*100-100</f>
        <v>12.4092328793608</v>
      </c>
      <c r="F147" s="219" t="n">
        <v>2759735</v>
      </c>
      <c r="G147" s="219" t="n">
        <v>2838495</v>
      </c>
      <c r="H147" s="201" t="n">
        <f aca="false">F147/G147*100-100</f>
        <v>-2.77470983743146</v>
      </c>
      <c r="I147" s="203" t="n">
        <v>11824151</v>
      </c>
      <c r="J147" s="203" t="n">
        <v>9456585</v>
      </c>
      <c r="K147" s="201" t="n">
        <f aca="false">I147/J147*100-100</f>
        <v>25.0361626316477</v>
      </c>
      <c r="L147" s="203" t="n">
        <v>11809706</v>
      </c>
      <c r="M147" s="203" t="n">
        <v>9420728</v>
      </c>
      <c r="N147" s="201" t="n">
        <f aca="false">L147/M147*100-100</f>
        <v>25.3587408531485</v>
      </c>
      <c r="O147" s="203" t="n">
        <v>641</v>
      </c>
      <c r="P147" s="219" t="n">
        <v>130</v>
      </c>
      <c r="Q147" s="203" t="n">
        <v>642</v>
      </c>
      <c r="R147" s="202" t="n">
        <f aca="false">O147*P147</f>
        <v>83330</v>
      </c>
    </row>
    <row r="148" customFormat="false" ht="15" hidden="false" customHeight="false" outlineLevel="0" collapsed="false">
      <c r="A148" s="262" t="n">
        <v>13</v>
      </c>
      <c r="B148" s="243" t="s">
        <v>144</v>
      </c>
      <c r="C148" s="200" t="n">
        <v>0</v>
      </c>
      <c r="D148" s="200" t="n">
        <v>0</v>
      </c>
      <c r="E148" s="201" t="n">
        <v>0</v>
      </c>
      <c r="F148" s="200" t="n">
        <v>0</v>
      </c>
      <c r="G148" s="200" t="n">
        <v>0</v>
      </c>
      <c r="H148" s="201" t="n">
        <v>0</v>
      </c>
      <c r="I148" s="200" t="n">
        <v>0</v>
      </c>
      <c r="J148" s="200" t="n">
        <v>0</v>
      </c>
      <c r="K148" s="201" t="n">
        <v>0</v>
      </c>
      <c r="L148" s="200" t="n">
        <v>0</v>
      </c>
      <c r="M148" s="200" t="n">
        <v>0</v>
      </c>
      <c r="N148" s="201" t="n">
        <v>0</v>
      </c>
      <c r="O148" s="203" t="n">
        <v>0</v>
      </c>
      <c r="P148" s="204" t="n">
        <v>0</v>
      </c>
      <c r="Q148" s="203" t="n">
        <v>0</v>
      </c>
      <c r="R148" s="202" t="n">
        <f aca="false">O148*P148</f>
        <v>0</v>
      </c>
    </row>
    <row r="149" customFormat="false" ht="15" hidden="false" customHeight="false" outlineLevel="0" collapsed="false">
      <c r="A149" s="215" t="s">
        <v>145</v>
      </c>
      <c r="B149" s="215" t="s">
        <v>136</v>
      </c>
      <c r="C149" s="237" t="n">
        <f aca="false">SUM(C142:C148)</f>
        <v>55442139</v>
      </c>
      <c r="D149" s="237" t="n">
        <f aca="false">SUM(D142:D148)</f>
        <v>48970520</v>
      </c>
      <c r="E149" s="313" t="n">
        <f aca="false">C149/D149*100-100</f>
        <v>13.2153364922407</v>
      </c>
      <c r="F149" s="237" t="n">
        <f aca="false">SUM(F142:F148)</f>
        <v>13810703</v>
      </c>
      <c r="G149" s="237" t="n">
        <f aca="false">SUM(G142:G148)</f>
        <v>13030343</v>
      </c>
      <c r="H149" s="313" t="n">
        <f aca="false">F149/G149*100-100</f>
        <v>5.98879093205757</v>
      </c>
      <c r="I149" s="237" t="n">
        <f aca="false">SUM(I142:I148)</f>
        <v>54920578</v>
      </c>
      <c r="J149" s="237" t="n">
        <f aca="false">SUM(J142:J148)</f>
        <v>47293742</v>
      </c>
      <c r="K149" s="313" t="n">
        <f aca="false">I149/J149*100-100</f>
        <v>16.1265226168824</v>
      </c>
      <c r="L149" s="237" t="n">
        <f aca="false">SUM(L142:L148)</f>
        <v>53187742</v>
      </c>
      <c r="M149" s="237" t="n">
        <f aca="false">SUM(M142:M148)</f>
        <v>45935186</v>
      </c>
      <c r="N149" s="313" t="n">
        <f aca="false">L149/M149*100-100</f>
        <v>15.7886723262642</v>
      </c>
      <c r="O149" s="216" t="n">
        <f aca="false">SUM(O142:O148)</f>
        <v>3625</v>
      </c>
      <c r="P149" s="237" t="n">
        <f aca="false">R149/O149</f>
        <v>126.945103448276</v>
      </c>
      <c r="Q149" s="216" t="n">
        <f aca="false">SUM(Q142:Q148)</f>
        <v>3614</v>
      </c>
      <c r="R149" s="232" t="n">
        <f aca="false">SUM(R142:R148)</f>
        <v>460176</v>
      </c>
    </row>
    <row r="150" customFormat="false" ht="15" hidden="false" customHeight="false" outlineLevel="0" collapsed="false">
      <c r="A150" s="319" t="s">
        <v>146</v>
      </c>
      <c r="B150" s="319" t="s">
        <v>78</v>
      </c>
      <c r="C150" s="320" t="n">
        <f aca="false">C139+C149</f>
        <v>113743416</v>
      </c>
      <c r="D150" s="320" t="n">
        <f aca="false">D139+D149</f>
        <v>105065880</v>
      </c>
      <c r="E150" s="310" t="n">
        <f aca="false">C150/D150*100-100</f>
        <v>8.25913798085544</v>
      </c>
      <c r="F150" s="320" t="n">
        <f aca="false">F139+F149</f>
        <v>28243920</v>
      </c>
      <c r="G150" s="320" t="n">
        <f aca="false">G139+G149</f>
        <v>28407716</v>
      </c>
      <c r="H150" s="310" t="n">
        <f aca="false">F150/G150*100-100</f>
        <v>-0.576589825102445</v>
      </c>
      <c r="I150" s="320" t="n">
        <f aca="false">I139+I149</f>
        <v>112349867</v>
      </c>
      <c r="J150" s="320" t="n">
        <f aca="false">J139+J149</f>
        <v>95882826</v>
      </c>
      <c r="K150" s="310" t="n">
        <f aca="false">I150/J150*100-100</f>
        <v>17.1741298071461</v>
      </c>
      <c r="L150" s="320" t="n">
        <f aca="false">L139+L149</f>
        <v>89387647</v>
      </c>
      <c r="M150" s="320" t="n">
        <f aca="false">M139+M149</f>
        <v>74467542</v>
      </c>
      <c r="N150" s="310" t="n">
        <f aca="false">L150/M150*100-100</f>
        <v>20.0357156947654</v>
      </c>
      <c r="O150" s="320" t="n">
        <f aca="false">O139+O149</f>
        <v>9748</v>
      </c>
      <c r="P150" s="321" t="n">
        <f aca="false">R150/O150</f>
        <v>158.697886745999</v>
      </c>
      <c r="Q150" s="320" t="n">
        <f aca="false">Q139+Q149</f>
        <v>9738</v>
      </c>
      <c r="R150" s="320" t="n">
        <f aca="false">R139+R149</f>
        <v>1546987</v>
      </c>
    </row>
    <row r="151" customFormat="false" ht="15" hidden="false" customHeight="false" outlineLevel="0" collapsed="false">
      <c r="A151" s="263"/>
      <c r="B151" s="263"/>
      <c r="C151" s="264"/>
      <c r="D151" s="264"/>
      <c r="E151" s="265"/>
      <c r="F151" s="266"/>
      <c r="G151" s="266"/>
      <c r="H151" s="265"/>
      <c r="I151" s="266"/>
      <c r="J151" s="266"/>
      <c r="K151" s="265"/>
      <c r="L151" s="266"/>
      <c r="M151" s="266"/>
      <c r="N151" s="265"/>
      <c r="O151" s="266"/>
      <c r="P151" s="264"/>
      <c r="Q151" s="266"/>
      <c r="R151" s="267"/>
    </row>
    <row r="152" customFormat="false" ht="15" hidden="false" customHeight="false" outlineLevel="0" collapsed="false">
      <c r="A152" s="179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189"/>
    </row>
    <row r="153" customFormat="false" ht="15" hidden="false" customHeight="false" outlineLevel="0" collapsed="false">
      <c r="A153" s="270"/>
      <c r="B153" s="270" t="s">
        <v>147</v>
      </c>
      <c r="C153" s="195" t="n">
        <v>3</v>
      </c>
      <c r="D153" s="195" t="n">
        <v>4</v>
      </c>
      <c r="E153" s="196" t="n">
        <v>5</v>
      </c>
      <c r="F153" s="195" t="n">
        <v>6</v>
      </c>
      <c r="G153" s="195" t="n">
        <v>7</v>
      </c>
      <c r="H153" s="195" t="n">
        <v>8</v>
      </c>
      <c r="I153" s="195" t="n">
        <v>9</v>
      </c>
      <c r="J153" s="195" t="n">
        <v>10</v>
      </c>
      <c r="K153" s="195" t="n">
        <v>11</v>
      </c>
      <c r="L153" s="195" t="n">
        <v>12</v>
      </c>
      <c r="M153" s="195" t="n">
        <v>13</v>
      </c>
      <c r="N153" s="195" t="n">
        <v>14</v>
      </c>
      <c r="O153" s="195" t="n">
        <v>15</v>
      </c>
      <c r="P153" s="196" t="n">
        <v>16</v>
      </c>
      <c r="Q153" s="195" t="n">
        <v>15</v>
      </c>
      <c r="R153" s="271"/>
    </row>
    <row r="154" customFormat="false" ht="15" hidden="false" customHeight="false" outlineLevel="0" collapsed="false">
      <c r="A154" s="262" t="n">
        <v>1</v>
      </c>
      <c r="B154" s="272" t="s">
        <v>148</v>
      </c>
      <c r="C154" s="262" t="n">
        <v>9791</v>
      </c>
      <c r="D154" s="262" t="n">
        <v>13213</v>
      </c>
      <c r="E154" s="201" t="n">
        <f aca="false">C154/D154*100-100</f>
        <v>-25.8987360932415</v>
      </c>
      <c r="F154" s="192" t="n">
        <v>4260</v>
      </c>
      <c r="G154" s="262" t="n">
        <v>5061</v>
      </c>
      <c r="H154" s="201" t="n">
        <f aca="false">F154/G154*100-100</f>
        <v>-15.8269116775341</v>
      </c>
      <c r="I154" s="262" t="n">
        <v>9791</v>
      </c>
      <c r="J154" s="262" t="n">
        <v>13213</v>
      </c>
      <c r="K154" s="201" t="n">
        <f aca="false">I154/J154*100-100</f>
        <v>-25.8987360932415</v>
      </c>
      <c r="L154" s="262" t="n">
        <v>0</v>
      </c>
      <c r="M154" s="262" t="n">
        <v>0</v>
      </c>
      <c r="N154" s="201" t="n">
        <v>0</v>
      </c>
      <c r="O154" s="262" t="n">
        <v>51</v>
      </c>
      <c r="P154" s="236" t="n">
        <v>88</v>
      </c>
      <c r="Q154" s="262" t="n">
        <v>49</v>
      </c>
      <c r="R154" s="202" t="n">
        <f aca="false">O154*P154</f>
        <v>4488</v>
      </c>
    </row>
    <row r="155" customFormat="false" ht="15" hidden="false" customHeight="false" outlineLevel="0" collapsed="false">
      <c r="A155" s="262" t="n">
        <v>2</v>
      </c>
      <c r="B155" s="272" t="s">
        <v>149</v>
      </c>
      <c r="C155" s="208" t="n">
        <v>3449187</v>
      </c>
      <c r="D155" s="208" t="n">
        <v>1670495</v>
      </c>
      <c r="E155" s="201" t="n">
        <f aca="false">C155/D155*100-100</f>
        <v>106.476942463162</v>
      </c>
      <c r="F155" s="208" t="n">
        <v>884786</v>
      </c>
      <c r="G155" s="208" t="n">
        <v>305909</v>
      </c>
      <c r="H155" s="201" t="n">
        <f aca="false">F155/G155*100-100</f>
        <v>189.23176500201</v>
      </c>
      <c r="I155" s="208" t="n">
        <v>2685257</v>
      </c>
      <c r="J155" s="208" t="n">
        <v>1833954</v>
      </c>
      <c r="K155" s="201" t="n">
        <f aca="false">I155/J155*100-100</f>
        <v>46.4189941514346</v>
      </c>
      <c r="L155" s="208" t="n">
        <v>1328367</v>
      </c>
      <c r="M155" s="208" t="n">
        <v>798486</v>
      </c>
      <c r="N155" s="201" t="n">
        <f aca="false">L155/M155*100-100</f>
        <v>66.3607126486876</v>
      </c>
      <c r="O155" s="262" t="n">
        <v>556</v>
      </c>
      <c r="P155" s="236" t="n">
        <v>110</v>
      </c>
      <c r="Q155" s="262" t="n">
        <v>550</v>
      </c>
      <c r="R155" s="202" t="n">
        <f aca="false">O155*P155</f>
        <v>61160</v>
      </c>
    </row>
    <row r="156" customFormat="false" ht="15" hidden="false" customHeight="false" outlineLevel="0" collapsed="false">
      <c r="A156" s="262" t="n">
        <v>3</v>
      </c>
      <c r="B156" s="272" t="s">
        <v>150</v>
      </c>
      <c r="C156" s="200" t="n">
        <v>0</v>
      </c>
      <c r="D156" s="200" t="n">
        <v>0</v>
      </c>
      <c r="E156" s="201" t="n">
        <v>0</v>
      </c>
      <c r="F156" s="200" t="n">
        <v>0</v>
      </c>
      <c r="G156" s="200" t="n">
        <v>0</v>
      </c>
      <c r="H156" s="201" t="n">
        <v>0</v>
      </c>
      <c r="I156" s="200" t="n">
        <v>0</v>
      </c>
      <c r="J156" s="200" t="n">
        <v>0</v>
      </c>
      <c r="K156" s="201" t="n">
        <v>0</v>
      </c>
      <c r="L156" s="200" t="n">
        <v>0</v>
      </c>
      <c r="M156" s="200" t="n">
        <v>0</v>
      </c>
      <c r="N156" s="201" t="n">
        <v>0</v>
      </c>
      <c r="O156" s="203" t="n">
        <v>0</v>
      </c>
      <c r="P156" s="204" t="n">
        <v>0</v>
      </c>
      <c r="Q156" s="203" t="n">
        <v>0</v>
      </c>
      <c r="R156" s="202" t="n">
        <f aca="false">O156*P156</f>
        <v>0</v>
      </c>
    </row>
    <row r="157" customFormat="false" ht="15" hidden="false" customHeight="false" outlineLevel="0" collapsed="false">
      <c r="A157" s="262" t="n">
        <v>4</v>
      </c>
      <c r="B157" s="272" t="s">
        <v>151</v>
      </c>
      <c r="C157" s="262" t="n">
        <v>554554</v>
      </c>
      <c r="D157" s="262" t="n">
        <v>649139</v>
      </c>
      <c r="E157" s="201" t="n">
        <f aca="false">C157/D157*100-100</f>
        <v>-14.5708392193352</v>
      </c>
      <c r="F157" s="262" t="n">
        <v>0</v>
      </c>
      <c r="G157" s="273" t="n">
        <v>378897</v>
      </c>
      <c r="H157" s="201" t="n">
        <v>0</v>
      </c>
      <c r="I157" s="273" t="n">
        <v>534055</v>
      </c>
      <c r="J157" s="273" t="n">
        <v>726837</v>
      </c>
      <c r="K157" s="201" t="n">
        <f aca="false">I157/J157*100-100</f>
        <v>-26.5234158415161</v>
      </c>
      <c r="L157" s="273" t="n">
        <v>357782</v>
      </c>
      <c r="M157" s="273" t="n">
        <v>592242</v>
      </c>
      <c r="N157" s="201" t="n">
        <f aca="false">L157/M157*100-100</f>
        <v>-39.5885465738668</v>
      </c>
      <c r="O157" s="262" t="n">
        <v>310</v>
      </c>
      <c r="P157" s="236" t="n">
        <v>80</v>
      </c>
      <c r="Q157" s="262" t="n">
        <v>296</v>
      </c>
      <c r="R157" s="202" t="n">
        <f aca="false">O157*P157</f>
        <v>24800</v>
      </c>
    </row>
    <row r="158" customFormat="false" ht="15" hidden="false" customHeight="false" outlineLevel="0" collapsed="false">
      <c r="A158" s="262" t="n">
        <v>5</v>
      </c>
      <c r="B158" s="272" t="s">
        <v>152</v>
      </c>
      <c r="C158" s="262" t="n">
        <v>0</v>
      </c>
      <c r="D158" s="262" t="n">
        <v>124211</v>
      </c>
      <c r="E158" s="201" t="n">
        <v>0</v>
      </c>
      <c r="F158" s="262" t="n">
        <v>0</v>
      </c>
      <c r="G158" s="262" t="n">
        <v>124211</v>
      </c>
      <c r="H158" s="201" t="n">
        <v>0</v>
      </c>
      <c r="I158" s="262" t="n">
        <v>0</v>
      </c>
      <c r="J158" s="262" t="n">
        <v>321679</v>
      </c>
      <c r="K158" s="201" t="n">
        <v>0</v>
      </c>
      <c r="L158" s="262" t="n">
        <v>0</v>
      </c>
      <c r="M158" s="262" t="n">
        <v>0</v>
      </c>
      <c r="N158" s="201" t="n">
        <v>0</v>
      </c>
      <c r="O158" s="262" t="n">
        <v>0</v>
      </c>
      <c r="P158" s="236" t="n">
        <v>0</v>
      </c>
      <c r="Q158" s="262" t="n">
        <v>0</v>
      </c>
      <c r="R158" s="202" t="n">
        <f aca="false">O158*P158</f>
        <v>0</v>
      </c>
    </row>
    <row r="159" customFormat="false" ht="15" hidden="false" customHeight="false" outlineLevel="0" collapsed="false">
      <c r="A159" s="215" t="s">
        <v>153</v>
      </c>
      <c r="B159" s="215" t="s">
        <v>154</v>
      </c>
      <c r="C159" s="216" t="n">
        <f aca="false">SUM(C154:C158)</f>
        <v>4013532</v>
      </c>
      <c r="D159" s="216" t="n">
        <f aca="false">SUM(D154:D158)</f>
        <v>2457058</v>
      </c>
      <c r="E159" s="313" t="n">
        <f aca="false">C159/D159*100-100</f>
        <v>63.3470597763667</v>
      </c>
      <c r="F159" s="216" t="n">
        <f aca="false">SUM(F154:F158)</f>
        <v>889046</v>
      </c>
      <c r="G159" s="216" t="n">
        <f aca="false">SUM(G154:G158)</f>
        <v>814078</v>
      </c>
      <c r="H159" s="313" t="n">
        <f aca="false">F159/G159*100-100</f>
        <v>9.20894558015326</v>
      </c>
      <c r="I159" s="216" t="n">
        <f aca="false">SUM(I154:I158)</f>
        <v>3229103</v>
      </c>
      <c r="J159" s="216" t="n">
        <f aca="false">SUM(J154:J158)</f>
        <v>2895683</v>
      </c>
      <c r="K159" s="313" t="n">
        <f aca="false">I159/J159*100-100</f>
        <v>11.5143819264747</v>
      </c>
      <c r="L159" s="216" t="n">
        <f aca="false">SUM(L154:L158)</f>
        <v>1686149</v>
      </c>
      <c r="M159" s="216" t="n">
        <f aca="false">SUM(M154:M158)</f>
        <v>1390728</v>
      </c>
      <c r="N159" s="313" t="n">
        <f aca="false">L159/M159*100-100</f>
        <v>21.2421839497012</v>
      </c>
      <c r="O159" s="216" t="n">
        <f aca="false">SUM(O154:O158)</f>
        <v>917</v>
      </c>
      <c r="P159" s="217" t="n">
        <f aca="false">R159/O159</f>
        <v>98.6346782988004</v>
      </c>
      <c r="Q159" s="216" t="n">
        <f aca="false">SUM(Q154:Q158)</f>
        <v>895</v>
      </c>
      <c r="R159" s="232" t="n">
        <f aca="false">SUM(R154:R158)</f>
        <v>90448</v>
      </c>
    </row>
    <row r="160" customFormat="false" ht="15" hidden="false" customHeight="false" outlineLevel="0" collapsed="false">
      <c r="A160" s="274"/>
      <c r="B160" s="256"/>
      <c r="C160" s="275"/>
      <c r="D160" s="275"/>
      <c r="E160" s="276"/>
      <c r="F160" s="275"/>
      <c r="G160" s="275"/>
      <c r="H160" s="276"/>
      <c r="I160" s="275"/>
      <c r="J160" s="275"/>
      <c r="K160" s="276"/>
      <c r="L160" s="275"/>
      <c r="M160" s="277"/>
      <c r="N160" s="278"/>
      <c r="O160" s="277"/>
      <c r="P160" s="275"/>
      <c r="Q160" s="277"/>
      <c r="R160" s="279"/>
    </row>
    <row r="161" customFormat="false" ht="15" hidden="false" customHeight="false" outlineLevel="0" collapsed="false">
      <c r="A161" s="280" t="s">
        <v>22</v>
      </c>
      <c r="B161" s="280"/>
      <c r="C161" s="195" t="n">
        <v>3</v>
      </c>
      <c r="D161" s="195" t="n">
        <v>4</v>
      </c>
      <c r="E161" s="196" t="n">
        <v>5</v>
      </c>
      <c r="F161" s="195" t="n">
        <v>6</v>
      </c>
      <c r="G161" s="195" t="n">
        <v>7</v>
      </c>
      <c r="H161" s="195" t="n">
        <v>8</v>
      </c>
      <c r="I161" s="195" t="n">
        <v>9</v>
      </c>
      <c r="J161" s="195" t="n">
        <v>10</v>
      </c>
      <c r="K161" s="195" t="n">
        <v>11</v>
      </c>
      <c r="L161" s="195" t="n">
        <v>12</v>
      </c>
      <c r="M161" s="195" t="n">
        <v>13</v>
      </c>
      <c r="N161" s="195" t="n">
        <v>14</v>
      </c>
      <c r="O161" s="195" t="n">
        <v>15</v>
      </c>
      <c r="P161" s="196" t="n">
        <v>16</v>
      </c>
      <c r="Q161" s="195" t="n">
        <v>15</v>
      </c>
      <c r="R161" s="202"/>
    </row>
    <row r="162" customFormat="false" ht="15" hidden="false" customHeight="false" outlineLevel="0" collapsed="false">
      <c r="A162" s="203" t="n">
        <v>1</v>
      </c>
      <c r="B162" s="243" t="s">
        <v>155</v>
      </c>
      <c r="C162" s="203" t="n">
        <v>417424</v>
      </c>
      <c r="D162" s="203" t="n">
        <v>272330</v>
      </c>
      <c r="E162" s="201" t="n">
        <f aca="false">C162/D162*100-100</f>
        <v>53.2787427018691</v>
      </c>
      <c r="F162" s="203" t="n">
        <v>115760</v>
      </c>
      <c r="G162" s="203" t="n">
        <v>87159</v>
      </c>
      <c r="H162" s="201" t="n">
        <f aca="false">F162/G162*100-100</f>
        <v>32.8147408758705</v>
      </c>
      <c r="I162" s="203" t="n">
        <v>331488</v>
      </c>
      <c r="J162" s="203" t="n">
        <v>277803</v>
      </c>
      <c r="K162" s="201" t="n">
        <f aca="false">I162/J162*100-100</f>
        <v>19.3248453040464</v>
      </c>
      <c r="L162" s="203" t="n">
        <f aca="false">84947+50341</f>
        <v>135288</v>
      </c>
      <c r="M162" s="203" t="n">
        <f aca="false">73354+23432</f>
        <v>96786</v>
      </c>
      <c r="N162" s="201" t="n">
        <f aca="false">L162/M162*100-100</f>
        <v>39.7805467732937</v>
      </c>
      <c r="O162" s="203" t="n">
        <v>62</v>
      </c>
      <c r="P162" s="203" t="n">
        <v>71</v>
      </c>
      <c r="Q162" s="203" t="n">
        <v>60</v>
      </c>
      <c r="R162" s="202" t="n">
        <f aca="false">O162*P162</f>
        <v>4402</v>
      </c>
    </row>
    <row r="163" customFormat="false" ht="15" hidden="false" customHeight="false" outlineLevel="0" collapsed="false">
      <c r="A163" s="203" t="n">
        <v>2</v>
      </c>
      <c r="B163" s="281" t="s">
        <v>156</v>
      </c>
      <c r="C163" s="203" t="n">
        <v>388113</v>
      </c>
      <c r="D163" s="203" t="n">
        <v>180429</v>
      </c>
      <c r="E163" s="201" t="n">
        <f aca="false">C163/D163*100-100</f>
        <v>115.10566483215</v>
      </c>
      <c r="F163" s="203" t="n">
        <v>143849</v>
      </c>
      <c r="G163" s="203" t="n">
        <v>80766</v>
      </c>
      <c r="H163" s="201" t="n">
        <f aca="false">F163/G163*100-100</f>
        <v>78.1058861402075</v>
      </c>
      <c r="I163" s="203" t="n">
        <v>375909</v>
      </c>
      <c r="J163" s="203" t="n">
        <v>274663</v>
      </c>
      <c r="K163" s="201" t="n">
        <f aca="false">I163/J163*100-100</f>
        <v>36.8618998554593</v>
      </c>
      <c r="L163" s="203" t="n">
        <v>0</v>
      </c>
      <c r="M163" s="203" t="n">
        <v>9923</v>
      </c>
      <c r="N163" s="201" t="n">
        <v>0</v>
      </c>
      <c r="O163" s="203" t="n">
        <v>30</v>
      </c>
      <c r="P163" s="203" t="n">
        <v>85</v>
      </c>
      <c r="Q163" s="203" t="n">
        <v>29</v>
      </c>
      <c r="R163" s="202" t="n">
        <f aca="false">O163*P163</f>
        <v>2550</v>
      </c>
    </row>
    <row r="164" customFormat="false" ht="15" hidden="false" customHeight="false" outlineLevel="0" collapsed="false">
      <c r="A164" s="203" t="n">
        <v>3</v>
      </c>
      <c r="B164" s="281" t="s">
        <v>157</v>
      </c>
      <c r="C164" s="203" t="n">
        <v>1914994</v>
      </c>
      <c r="D164" s="203" t="n">
        <v>624517</v>
      </c>
      <c r="E164" s="201" t="n">
        <f aca="false">C164/D164*100-100</f>
        <v>206.63600830722</v>
      </c>
      <c r="F164" s="203" t="n">
        <v>290991</v>
      </c>
      <c r="G164" s="203" t="n">
        <v>122243</v>
      </c>
      <c r="H164" s="201" t="n">
        <f aca="false">F164/G164*100-100</f>
        <v>138.043078131263</v>
      </c>
      <c r="I164" s="203" t="n">
        <v>777378</v>
      </c>
      <c r="J164" s="203" t="n">
        <v>584385</v>
      </c>
      <c r="K164" s="201" t="n">
        <f aca="false">I164/J164*100-100</f>
        <v>33.0249749736903</v>
      </c>
      <c r="L164" s="203" t="n">
        <v>0</v>
      </c>
      <c r="M164" s="203" t="n">
        <v>0</v>
      </c>
      <c r="N164" s="201" t="n">
        <v>0</v>
      </c>
      <c r="O164" s="203" t="n">
        <v>474</v>
      </c>
      <c r="P164" s="203" t="n">
        <v>100</v>
      </c>
      <c r="Q164" s="203" t="n">
        <v>474</v>
      </c>
      <c r="R164" s="202" t="n">
        <f aca="false">O164*P164</f>
        <v>47400</v>
      </c>
    </row>
    <row r="165" customFormat="false" ht="15" hidden="false" customHeight="false" outlineLevel="0" collapsed="false">
      <c r="A165" s="215" t="s">
        <v>158</v>
      </c>
      <c r="B165" s="215" t="s">
        <v>119</v>
      </c>
      <c r="C165" s="216" t="n">
        <f aca="false">SUM(C162:C164)</f>
        <v>2720531</v>
      </c>
      <c r="D165" s="216" t="n">
        <f aca="false">SUM(D162:D164)</f>
        <v>1077276</v>
      </c>
      <c r="E165" s="313" t="n">
        <f aca="false">C165/D165*100-100</f>
        <v>152.537975412058</v>
      </c>
      <c r="F165" s="216" t="n">
        <f aca="false">SUM(F162:F164)</f>
        <v>550600</v>
      </c>
      <c r="G165" s="216" t="n">
        <f aca="false">SUM(G162:G164)</f>
        <v>290168</v>
      </c>
      <c r="H165" s="313" t="n">
        <f aca="false">F165/G165*100-100</f>
        <v>89.7521435857848</v>
      </c>
      <c r="I165" s="216" t="n">
        <f aca="false">SUM(I162:I164)</f>
        <v>1484775</v>
      </c>
      <c r="J165" s="216" t="n">
        <f aca="false">SUM(J162:J164)</f>
        <v>1136851</v>
      </c>
      <c r="K165" s="313" t="n">
        <f aca="false">I165/J165*100-100</f>
        <v>30.604186476504</v>
      </c>
      <c r="L165" s="216" t="n">
        <f aca="false">SUM(L162:L164)</f>
        <v>135288</v>
      </c>
      <c r="M165" s="216" t="n">
        <f aca="false">SUM(M162:M164)</f>
        <v>106709</v>
      </c>
      <c r="N165" s="313" t="n">
        <f aca="false">L165/M165*100-100</f>
        <v>26.7821833209945</v>
      </c>
      <c r="O165" s="216" t="n">
        <f aca="false">SUM(O162:O164)</f>
        <v>566</v>
      </c>
      <c r="P165" s="237" t="n">
        <f aca="false">R165/O165</f>
        <v>96.0282685512368</v>
      </c>
      <c r="Q165" s="216" t="n">
        <f aca="false">SUM(Q162:Q164)</f>
        <v>563</v>
      </c>
      <c r="R165" s="232" t="n">
        <f aca="false">SUM(R162:R164)</f>
        <v>54352</v>
      </c>
    </row>
    <row r="166" customFormat="false" ht="15" hidden="false" customHeight="false" outlineLevel="0" collapsed="false">
      <c r="A166" s="274"/>
      <c r="B166" s="256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5"/>
      <c r="P166" s="275"/>
      <c r="Q166" s="275"/>
      <c r="R166" s="279"/>
    </row>
    <row r="167" customFormat="false" ht="15" hidden="false" customHeight="false" outlineLevel="0" collapsed="false">
      <c r="A167" s="195" t="s">
        <v>159</v>
      </c>
      <c r="B167" s="195"/>
      <c r="C167" s="195" t="n">
        <v>3</v>
      </c>
      <c r="D167" s="195" t="n">
        <v>4</v>
      </c>
      <c r="E167" s="196" t="n">
        <v>5</v>
      </c>
      <c r="F167" s="195" t="n">
        <v>6</v>
      </c>
      <c r="G167" s="195" t="n">
        <v>7</v>
      </c>
      <c r="H167" s="195" t="n">
        <v>8</v>
      </c>
      <c r="I167" s="195" t="n">
        <v>9</v>
      </c>
      <c r="J167" s="195" t="n">
        <v>10</v>
      </c>
      <c r="K167" s="195" t="n">
        <v>11</v>
      </c>
      <c r="L167" s="195" t="n">
        <v>12</v>
      </c>
      <c r="M167" s="184" t="n">
        <v>13</v>
      </c>
      <c r="N167" s="184" t="n">
        <v>14</v>
      </c>
      <c r="O167" s="184" t="n">
        <v>15</v>
      </c>
      <c r="P167" s="196" t="n">
        <v>16</v>
      </c>
      <c r="Q167" s="184" t="n">
        <v>15</v>
      </c>
      <c r="R167" s="179"/>
    </row>
    <row r="168" customFormat="false" ht="15" hidden="false" customHeight="false" outlineLevel="0" collapsed="false">
      <c r="A168" s="274" t="n">
        <v>1</v>
      </c>
      <c r="B168" s="282" t="s">
        <v>160</v>
      </c>
      <c r="C168" s="262" t="n">
        <v>1189</v>
      </c>
      <c r="D168" s="262" t="n">
        <v>0</v>
      </c>
      <c r="E168" s="201" t="n">
        <v>0</v>
      </c>
      <c r="F168" s="262" t="n">
        <v>382</v>
      </c>
      <c r="G168" s="262" t="n">
        <v>0</v>
      </c>
      <c r="H168" s="201" t="n">
        <v>0</v>
      </c>
      <c r="I168" s="262" t="n">
        <v>19851</v>
      </c>
      <c r="J168" s="262" t="n">
        <v>14140</v>
      </c>
      <c r="K168" s="201" t="n">
        <f aca="false">I168/J168*100-100</f>
        <v>40.3889674681754</v>
      </c>
      <c r="L168" s="262" t="n">
        <v>0</v>
      </c>
      <c r="M168" s="262" t="n">
        <v>0</v>
      </c>
      <c r="N168" s="201" t="n">
        <v>0</v>
      </c>
      <c r="O168" s="262" t="n">
        <v>75</v>
      </c>
      <c r="P168" s="262" t="n">
        <v>124</v>
      </c>
      <c r="Q168" s="262" t="n">
        <v>78</v>
      </c>
      <c r="R168" s="202" t="n">
        <f aca="false">O168*P168</f>
        <v>9300</v>
      </c>
    </row>
    <row r="169" s="211" customFormat="true" ht="15" hidden="false" customHeight="false" outlineLevel="0" collapsed="false">
      <c r="A169" s="284" t="n">
        <v>2</v>
      </c>
      <c r="B169" s="282" t="s">
        <v>161</v>
      </c>
      <c r="C169" s="262" t="n">
        <v>41382</v>
      </c>
      <c r="D169" s="262" t="n">
        <v>22861</v>
      </c>
      <c r="E169" s="201" t="n">
        <f aca="false">C169/D169*100-100</f>
        <v>81.0157036000175</v>
      </c>
      <c r="F169" s="262" t="n">
        <v>448307</v>
      </c>
      <c r="G169" s="262" t="n">
        <v>331612</v>
      </c>
      <c r="H169" s="201" t="n">
        <f aca="false">F169/G169*100-100</f>
        <v>35.1902223079985</v>
      </c>
      <c r="I169" s="262" t="n">
        <v>618487</v>
      </c>
      <c r="J169" s="262" t="n">
        <v>331612</v>
      </c>
      <c r="K169" s="201" t="n">
        <f aca="false">I169/J169*100-100</f>
        <v>86.5092336827377</v>
      </c>
      <c r="L169" s="262" t="n">
        <v>618487</v>
      </c>
      <c r="M169" s="262" t="n">
        <v>331612</v>
      </c>
      <c r="N169" s="201" t="n">
        <f aca="false">L169/M169*100-100</f>
        <v>86.5092336827377</v>
      </c>
      <c r="O169" s="262" t="n">
        <v>127</v>
      </c>
      <c r="P169" s="262" t="n">
        <v>155</v>
      </c>
      <c r="Q169" s="262" t="n">
        <v>128</v>
      </c>
      <c r="R169" s="202" t="n">
        <f aca="false">O169*P169</f>
        <v>19685</v>
      </c>
    </row>
    <row r="170" customFormat="false" ht="15" hidden="false" customHeight="false" outlineLevel="0" collapsed="false">
      <c r="A170" s="274" t="n">
        <v>3</v>
      </c>
      <c r="B170" s="282" t="s">
        <v>162</v>
      </c>
      <c r="C170" s="200" t="n">
        <v>0</v>
      </c>
      <c r="D170" s="200" t="n">
        <v>0</v>
      </c>
      <c r="E170" s="201" t="n">
        <v>0</v>
      </c>
      <c r="F170" s="200" t="n">
        <v>0</v>
      </c>
      <c r="G170" s="200" t="n">
        <v>0</v>
      </c>
      <c r="H170" s="201" t="n">
        <v>0</v>
      </c>
      <c r="I170" s="200" t="n">
        <v>0</v>
      </c>
      <c r="J170" s="200" t="n">
        <v>0</v>
      </c>
      <c r="K170" s="201" t="n">
        <v>0</v>
      </c>
      <c r="L170" s="200" t="n">
        <v>0</v>
      </c>
      <c r="M170" s="200" t="n">
        <v>0</v>
      </c>
      <c r="N170" s="201" t="n">
        <v>0</v>
      </c>
      <c r="O170" s="203" t="n">
        <v>0</v>
      </c>
      <c r="P170" s="204" t="n">
        <v>0</v>
      </c>
      <c r="Q170" s="203" t="n">
        <v>0</v>
      </c>
      <c r="R170" s="202" t="n">
        <f aca="false">O170*P170</f>
        <v>0</v>
      </c>
    </row>
    <row r="171" customFormat="false" ht="15" hidden="false" customHeight="false" outlineLevel="0" collapsed="false">
      <c r="A171" s="284" t="n">
        <v>4</v>
      </c>
      <c r="B171" s="282" t="s">
        <v>163</v>
      </c>
      <c r="C171" s="262" t="n">
        <v>2121289</v>
      </c>
      <c r="D171" s="262" t="n">
        <v>900401</v>
      </c>
      <c r="E171" s="201" t="n">
        <f aca="false">C171/D171*100-100</f>
        <v>135.593807647926</v>
      </c>
      <c r="F171" s="262" t="n">
        <v>585615</v>
      </c>
      <c r="G171" s="262" t="n">
        <v>263262</v>
      </c>
      <c r="H171" s="201" t="n">
        <f aca="false">F171/G171*100-100</f>
        <v>122.44570048089</v>
      </c>
      <c r="I171" s="262" t="n">
        <v>2121289</v>
      </c>
      <c r="J171" s="262" t="n">
        <v>900401</v>
      </c>
      <c r="K171" s="201" t="n">
        <f aca="false">I171/J171*100-100</f>
        <v>135.593807647926</v>
      </c>
      <c r="L171" s="262" t="n">
        <v>2121289</v>
      </c>
      <c r="M171" s="262" t="n">
        <v>900401</v>
      </c>
      <c r="N171" s="201" t="n">
        <f aca="false">L171/M171*100-100</f>
        <v>135.593807647926</v>
      </c>
      <c r="O171" s="262" t="n">
        <v>91</v>
      </c>
      <c r="P171" s="286" t="n">
        <v>152</v>
      </c>
      <c r="Q171" s="262" t="n">
        <v>91</v>
      </c>
      <c r="R171" s="202" t="n">
        <f aca="false">O171*P171</f>
        <v>13832</v>
      </c>
    </row>
    <row r="172" customFormat="false" ht="15" hidden="false" customHeight="false" outlineLevel="0" collapsed="false">
      <c r="A172" s="274" t="n">
        <v>5</v>
      </c>
      <c r="B172" s="282" t="s">
        <v>164</v>
      </c>
      <c r="C172" s="262" t="n">
        <v>317580</v>
      </c>
      <c r="D172" s="262" t="n">
        <v>256303</v>
      </c>
      <c r="E172" s="201" t="n">
        <f aca="false">C172/D172*100-100</f>
        <v>23.9080307292541</v>
      </c>
      <c r="F172" s="262" t="n">
        <v>64431</v>
      </c>
      <c r="G172" s="262" t="n">
        <v>93318</v>
      </c>
      <c r="H172" s="201" t="n">
        <f aca="false">F172/G172*100-100</f>
        <v>-30.9554426798688</v>
      </c>
      <c r="I172" s="262" t="n">
        <v>357417</v>
      </c>
      <c r="J172" s="262" t="n">
        <v>135004</v>
      </c>
      <c r="K172" s="201" t="n">
        <f aca="false">I172/J172*100-100</f>
        <v>164.745489022547</v>
      </c>
      <c r="L172" s="262" t="n">
        <v>387978</v>
      </c>
      <c r="M172" s="262" t="n">
        <v>497709</v>
      </c>
      <c r="N172" s="201" t="n">
        <f aca="false">L172/M172*100-100</f>
        <v>-22.0472203637065</v>
      </c>
      <c r="O172" s="262" t="n">
        <v>40</v>
      </c>
      <c r="P172" s="262" t="n">
        <v>35</v>
      </c>
      <c r="Q172" s="262" t="n">
        <v>41</v>
      </c>
      <c r="R172" s="202" t="n">
        <f aca="false">O172*P172</f>
        <v>1400</v>
      </c>
    </row>
    <row r="173" customFormat="false" ht="15" hidden="false" customHeight="false" outlineLevel="0" collapsed="false">
      <c r="A173" s="284" t="n">
        <v>6</v>
      </c>
      <c r="B173" s="282" t="s">
        <v>165</v>
      </c>
      <c r="C173" s="200" t="n">
        <v>0</v>
      </c>
      <c r="D173" s="200" t="n">
        <v>0</v>
      </c>
      <c r="E173" s="201" t="n">
        <v>0</v>
      </c>
      <c r="F173" s="200" t="n">
        <v>0</v>
      </c>
      <c r="G173" s="200" t="n">
        <v>0</v>
      </c>
      <c r="H173" s="201" t="n">
        <v>0</v>
      </c>
      <c r="I173" s="200" t="n">
        <v>0</v>
      </c>
      <c r="J173" s="200" t="n">
        <v>0</v>
      </c>
      <c r="K173" s="201" t="n">
        <v>0</v>
      </c>
      <c r="L173" s="200" t="n">
        <v>0</v>
      </c>
      <c r="M173" s="200" t="n">
        <v>0</v>
      </c>
      <c r="N173" s="201" t="n">
        <v>0</v>
      </c>
      <c r="O173" s="203" t="n">
        <v>0</v>
      </c>
      <c r="P173" s="204" t="n">
        <v>0</v>
      </c>
      <c r="Q173" s="203" t="n">
        <v>0</v>
      </c>
      <c r="R173" s="202" t="n">
        <f aca="false">O173*P173</f>
        <v>0</v>
      </c>
    </row>
    <row r="174" customFormat="false" ht="15" hidden="false" customHeight="false" outlineLevel="0" collapsed="false">
      <c r="A174" s="274" t="n">
        <v>7</v>
      </c>
      <c r="B174" s="282" t="s">
        <v>166</v>
      </c>
      <c r="C174" s="262" t="n">
        <v>214941</v>
      </c>
      <c r="D174" s="262" t="n">
        <v>313466</v>
      </c>
      <c r="E174" s="201" t="n">
        <f aca="false">C174/D174*100-100</f>
        <v>-31.4308409843492</v>
      </c>
      <c r="F174" s="262" t="n">
        <v>1140377</v>
      </c>
      <c r="G174" s="262" t="n">
        <v>942368</v>
      </c>
      <c r="H174" s="201" t="n">
        <f aca="false">F174/G174*100-100</f>
        <v>21.0118552412646</v>
      </c>
      <c r="I174" s="262" t="n">
        <v>954424</v>
      </c>
      <c r="J174" s="262" t="n">
        <v>972843</v>
      </c>
      <c r="K174" s="201" t="n">
        <f aca="false">I174/J174*100-100</f>
        <v>-1.89331680445869</v>
      </c>
      <c r="L174" s="262" t="n">
        <v>953945</v>
      </c>
      <c r="M174" s="262" t="n">
        <v>961745</v>
      </c>
      <c r="N174" s="201" t="n">
        <f aca="false">L174/M174*100-100</f>
        <v>-0.811025791659944</v>
      </c>
      <c r="O174" s="262" t="n">
        <v>32</v>
      </c>
      <c r="P174" s="262" t="n">
        <v>101</v>
      </c>
      <c r="Q174" s="262" t="n">
        <v>26</v>
      </c>
      <c r="R174" s="202" t="n">
        <f aca="false">O174*P174</f>
        <v>3232</v>
      </c>
    </row>
    <row r="175" customFormat="false" ht="15" hidden="false" customHeight="false" outlineLevel="0" collapsed="false">
      <c r="A175" s="284" t="n">
        <v>8</v>
      </c>
      <c r="B175" s="282" t="s">
        <v>167</v>
      </c>
      <c r="C175" s="262" t="n">
        <v>26480</v>
      </c>
      <c r="D175" s="262" t="n">
        <v>227986</v>
      </c>
      <c r="E175" s="201" t="n">
        <f aca="false">C175/D175*100-100</f>
        <v>-88.3852517259832</v>
      </c>
      <c r="F175" s="262" t="n">
        <v>9743</v>
      </c>
      <c r="G175" s="262" t="n">
        <v>46897</v>
      </c>
      <c r="H175" s="201" t="n">
        <f aca="false">F175/G175*100-100</f>
        <v>-79.2246838816982</v>
      </c>
      <c r="I175" s="262" t="n">
        <v>26480</v>
      </c>
      <c r="J175" s="262" t="n">
        <v>227986</v>
      </c>
      <c r="K175" s="201" t="n">
        <f aca="false">I175/J175*100-100</f>
        <v>-88.3852517259832</v>
      </c>
      <c r="L175" s="262" t="n">
        <v>26480</v>
      </c>
      <c r="M175" s="262" t="n">
        <v>46897</v>
      </c>
      <c r="N175" s="201" t="n">
        <f aca="false">L175/M175*100-100</f>
        <v>-43.535833848647</v>
      </c>
      <c r="O175" s="236" t="n">
        <v>38</v>
      </c>
      <c r="P175" s="236" t="n">
        <v>127</v>
      </c>
      <c r="Q175" s="236" t="n">
        <v>33</v>
      </c>
      <c r="R175" s="202" t="n">
        <f aca="false">O175*P175</f>
        <v>4826</v>
      </c>
    </row>
    <row r="176" customFormat="false" ht="15" hidden="false" customHeight="false" outlineLevel="0" collapsed="false">
      <c r="A176" s="274" t="n">
        <v>9</v>
      </c>
      <c r="B176" s="282" t="s">
        <v>168</v>
      </c>
      <c r="C176" s="262" t="n">
        <v>0</v>
      </c>
      <c r="D176" s="262" t="n">
        <v>103684</v>
      </c>
      <c r="E176" s="201" t="n">
        <v>0</v>
      </c>
      <c r="F176" s="262" t="n">
        <v>0</v>
      </c>
      <c r="G176" s="262" t="n">
        <v>50416</v>
      </c>
      <c r="H176" s="201" t="n">
        <v>0</v>
      </c>
      <c r="I176" s="262" t="n">
        <v>0</v>
      </c>
      <c r="J176" s="262" t="n">
        <v>103684</v>
      </c>
      <c r="K176" s="201" t="n">
        <v>0</v>
      </c>
      <c r="L176" s="262" t="n">
        <v>0</v>
      </c>
      <c r="M176" s="262" t="n">
        <v>0</v>
      </c>
      <c r="N176" s="201" t="n">
        <v>0</v>
      </c>
      <c r="O176" s="262" t="n">
        <v>2</v>
      </c>
      <c r="P176" s="262" t="n">
        <v>65</v>
      </c>
      <c r="Q176" s="262" t="n">
        <v>2</v>
      </c>
      <c r="R176" s="202" t="n">
        <f aca="false">O176*P176</f>
        <v>130</v>
      </c>
    </row>
    <row r="177" customFormat="false" ht="15" hidden="false" customHeight="false" outlineLevel="0" collapsed="false">
      <c r="A177" s="284" t="n">
        <v>10</v>
      </c>
      <c r="B177" s="282" t="s">
        <v>169</v>
      </c>
      <c r="C177" s="262" t="n">
        <v>279353</v>
      </c>
      <c r="D177" s="262" t="n">
        <v>58120</v>
      </c>
      <c r="E177" s="201" t="n">
        <f aca="false">C177/D177*100-100</f>
        <v>380.648657949071</v>
      </c>
      <c r="F177" s="262" t="n">
        <v>159454</v>
      </c>
      <c r="G177" s="262" t="n">
        <v>820</v>
      </c>
      <c r="H177" s="223" t="n">
        <f aca="false">F177/G177*100-100</f>
        <v>19345.6097560976</v>
      </c>
      <c r="I177" s="262" t="n">
        <v>279353</v>
      </c>
      <c r="J177" s="262" t="n">
        <v>58120</v>
      </c>
      <c r="K177" s="201" t="n">
        <f aca="false">I177/J177*100-100</f>
        <v>380.648657949071</v>
      </c>
      <c r="L177" s="262" t="n">
        <f aca="false">272821+6532</f>
        <v>279353</v>
      </c>
      <c r="M177" s="262" t="n">
        <f aca="false">56432+1688</f>
        <v>58120</v>
      </c>
      <c r="N177" s="201" t="n">
        <f aca="false">L177/M177*100-100</f>
        <v>380.648657949071</v>
      </c>
      <c r="O177" s="262" t="n">
        <v>27</v>
      </c>
      <c r="P177" s="262" t="n">
        <v>50</v>
      </c>
      <c r="Q177" s="262" t="n">
        <v>27</v>
      </c>
      <c r="R177" s="202" t="n">
        <f aca="false">O177*P177</f>
        <v>1350</v>
      </c>
    </row>
    <row r="178" customFormat="false" ht="15" hidden="false" customHeight="false" outlineLevel="0" collapsed="false">
      <c r="A178" s="215" t="s">
        <v>170</v>
      </c>
      <c r="B178" s="215" t="s">
        <v>154</v>
      </c>
      <c r="C178" s="237" t="n">
        <f aca="false">SUM(C168:C177)</f>
        <v>3002214</v>
      </c>
      <c r="D178" s="237" t="n">
        <f aca="false">SUM(D168:D177)</f>
        <v>1882821</v>
      </c>
      <c r="E178" s="313" t="n">
        <f aca="false">C178/D178*100-100</f>
        <v>59.452969772485</v>
      </c>
      <c r="F178" s="237" t="n">
        <f aca="false">SUM(F168:F177)</f>
        <v>2408309</v>
      </c>
      <c r="G178" s="237" t="n">
        <f aca="false">SUM(G168:G177)</f>
        <v>1728693</v>
      </c>
      <c r="H178" s="313" t="n">
        <f aca="false">F178/G178*100-100</f>
        <v>39.3138631324359</v>
      </c>
      <c r="I178" s="237" t="n">
        <f aca="false">SUM(I168:I177)</f>
        <v>4377301</v>
      </c>
      <c r="J178" s="237" t="n">
        <f aca="false">SUM(J168:J177)</f>
        <v>2743790</v>
      </c>
      <c r="K178" s="313" t="n">
        <f aca="false">I178/J178*100-100</f>
        <v>59.5348404943527</v>
      </c>
      <c r="L178" s="237" t="n">
        <f aca="false">SUM(L168:L177)</f>
        <v>4387532</v>
      </c>
      <c r="M178" s="216" t="n">
        <f aca="false">SUM(M168:M177)</f>
        <v>2796484</v>
      </c>
      <c r="N178" s="313" t="n">
        <f aca="false">L178/M178*100-100</f>
        <v>56.8945862018163</v>
      </c>
      <c r="O178" s="237" t="n">
        <f aca="false">SUM(O168:O177)</f>
        <v>432</v>
      </c>
      <c r="P178" s="217" t="n">
        <f aca="false">R178/O178</f>
        <v>124.43287037037</v>
      </c>
      <c r="Q178" s="237" t="n">
        <f aca="false">SUM(Q168:Q177)</f>
        <v>426</v>
      </c>
      <c r="R178" s="232" t="n">
        <f aca="false">SUM(R168:R177)</f>
        <v>53755</v>
      </c>
    </row>
    <row r="179" customFormat="false" ht="15" hidden="false" customHeight="false" outlineLevel="0" collapsed="false">
      <c r="A179" s="255"/>
      <c r="B179" s="255"/>
      <c r="C179" s="287"/>
      <c r="D179" s="287"/>
      <c r="E179" s="283"/>
      <c r="F179" s="288"/>
      <c r="G179" s="288"/>
      <c r="H179" s="283"/>
      <c r="I179" s="203"/>
      <c r="J179" s="203"/>
      <c r="K179" s="289"/>
      <c r="L179" s="203"/>
      <c r="M179" s="203"/>
      <c r="N179" s="203"/>
      <c r="O179" s="203"/>
      <c r="P179" s="219"/>
      <c r="Q179" s="203"/>
      <c r="R179" s="189"/>
    </row>
    <row r="180" customFormat="false" ht="15" hidden="false" customHeight="false" outlineLevel="0" collapsed="false">
      <c r="A180" s="270" t="s">
        <v>171</v>
      </c>
      <c r="B180" s="270"/>
      <c r="C180" s="195" t="n">
        <v>3</v>
      </c>
      <c r="D180" s="195" t="n">
        <v>4</v>
      </c>
      <c r="E180" s="196" t="n">
        <v>5</v>
      </c>
      <c r="F180" s="195" t="n">
        <v>6</v>
      </c>
      <c r="G180" s="195" t="n">
        <v>7</v>
      </c>
      <c r="H180" s="195" t="n">
        <v>8</v>
      </c>
      <c r="I180" s="195" t="n">
        <v>9</v>
      </c>
      <c r="J180" s="195" t="n">
        <v>10</v>
      </c>
      <c r="K180" s="195" t="n">
        <v>11</v>
      </c>
      <c r="L180" s="195" t="n">
        <v>12</v>
      </c>
      <c r="M180" s="195" t="n">
        <v>13</v>
      </c>
      <c r="N180" s="195" t="n">
        <v>14</v>
      </c>
      <c r="O180" s="195" t="n">
        <v>15</v>
      </c>
      <c r="P180" s="196" t="n">
        <v>16</v>
      </c>
      <c r="Q180" s="195" t="n">
        <v>15</v>
      </c>
      <c r="R180" s="189"/>
    </row>
    <row r="181" customFormat="false" ht="15" hidden="false" customHeight="false" outlineLevel="0" collapsed="false">
      <c r="A181" s="288" t="n">
        <v>1</v>
      </c>
      <c r="B181" s="290" t="s">
        <v>172</v>
      </c>
      <c r="C181" s="262" t="n">
        <v>226102.6</v>
      </c>
      <c r="D181" s="262" t="n">
        <v>324616.7</v>
      </c>
      <c r="E181" s="201" t="n">
        <f aca="false">C181/D181*100-100</f>
        <v>-30.3478225242263</v>
      </c>
      <c r="F181" s="262" t="n">
        <v>71291.5</v>
      </c>
      <c r="G181" s="262" t="n">
        <v>56068.7</v>
      </c>
      <c r="H181" s="201" t="n">
        <f aca="false">F181/G181*100-100</f>
        <v>27.1502638727133</v>
      </c>
      <c r="I181" s="262" t="n">
        <v>110479.2</v>
      </c>
      <c r="J181" s="262" t="n">
        <v>236495.9</v>
      </c>
      <c r="K181" s="201" t="n">
        <f aca="false">I181/J181*100-100</f>
        <v>-53.2849406691617</v>
      </c>
      <c r="L181" s="262" t="n">
        <v>0</v>
      </c>
      <c r="M181" s="262" t="n">
        <v>0</v>
      </c>
      <c r="N181" s="201" t="n">
        <v>0</v>
      </c>
      <c r="O181" s="262" t="n">
        <v>274</v>
      </c>
      <c r="P181" s="236" t="n">
        <v>207.8</v>
      </c>
      <c r="Q181" s="236" t="n">
        <v>274</v>
      </c>
      <c r="R181" s="234" t="n">
        <f aca="false">O181*P181</f>
        <v>56937.2</v>
      </c>
    </row>
    <row r="182" customFormat="false" ht="15" hidden="false" customHeight="false" outlineLevel="0" collapsed="false">
      <c r="A182" s="288" t="n">
        <v>2</v>
      </c>
      <c r="B182" s="290" t="s">
        <v>173</v>
      </c>
      <c r="C182" s="262" t="n">
        <v>40250</v>
      </c>
      <c r="D182" s="262" t="n">
        <v>40785</v>
      </c>
      <c r="E182" s="201" t="n">
        <f aca="false">C182/D182*100-100</f>
        <v>-1.31175677332352</v>
      </c>
      <c r="F182" s="262" t="n">
        <v>11622</v>
      </c>
      <c r="G182" s="262" t="n">
        <v>11893</v>
      </c>
      <c r="H182" s="201" t="n">
        <f aca="false">F182/G182*100-100</f>
        <v>-2.2786513074918</v>
      </c>
      <c r="I182" s="262" t="n">
        <v>0</v>
      </c>
      <c r="J182" s="262" t="n">
        <v>0</v>
      </c>
      <c r="K182" s="201" t="n">
        <v>0</v>
      </c>
      <c r="L182" s="262" t="n">
        <v>0</v>
      </c>
      <c r="M182" s="262" t="n">
        <v>0</v>
      </c>
      <c r="N182" s="201" t="n">
        <v>0</v>
      </c>
      <c r="O182" s="262" t="n">
        <v>86</v>
      </c>
      <c r="P182" s="236" t="n">
        <v>99.2</v>
      </c>
      <c r="Q182" s="236" t="n">
        <v>86</v>
      </c>
      <c r="R182" s="234" t="n">
        <f aca="false">O182*P182</f>
        <v>8531.2</v>
      </c>
    </row>
    <row r="183" s="295" customFormat="true" ht="34.5" hidden="false" customHeight="true" outlineLevel="0" collapsed="false">
      <c r="A183" s="291" t="n">
        <v>3</v>
      </c>
      <c r="B183" s="292" t="s">
        <v>174</v>
      </c>
      <c r="C183" s="207" t="n">
        <v>416</v>
      </c>
      <c r="D183" s="207" t="n">
        <v>347</v>
      </c>
      <c r="E183" s="201" t="n">
        <f aca="false">C183/D183*100-100</f>
        <v>19.8847262247839</v>
      </c>
      <c r="F183" s="207" t="n">
        <v>109</v>
      </c>
      <c r="G183" s="207" t="n">
        <v>347</v>
      </c>
      <c r="H183" s="201" t="n">
        <f aca="false">F183/G183*100-100</f>
        <v>-68.5878962536023</v>
      </c>
      <c r="I183" s="207" t="n">
        <v>416</v>
      </c>
      <c r="J183" s="207" t="n">
        <v>347</v>
      </c>
      <c r="K183" s="201" t="n">
        <f aca="false">I183/J183*100-100</f>
        <v>19.8847262247839</v>
      </c>
      <c r="L183" s="207" t="n">
        <v>0</v>
      </c>
      <c r="M183" s="207" t="n">
        <v>0</v>
      </c>
      <c r="N183" s="201" t="n">
        <v>0</v>
      </c>
      <c r="O183" s="207" t="n">
        <v>30</v>
      </c>
      <c r="P183" s="222" t="n">
        <v>20</v>
      </c>
      <c r="Q183" s="222" t="n">
        <v>29</v>
      </c>
      <c r="R183" s="294" t="n">
        <f aca="false">O183*P183</f>
        <v>600</v>
      </c>
    </row>
    <row r="184" customFormat="false" ht="15" hidden="false" customHeight="false" outlineLevel="0" collapsed="false">
      <c r="A184" s="288" t="n">
        <v>4</v>
      </c>
      <c r="B184" s="296" t="s">
        <v>175</v>
      </c>
      <c r="C184" s="262" t="n">
        <v>12500</v>
      </c>
      <c r="D184" s="262" t="n">
        <v>4626</v>
      </c>
      <c r="E184" s="201" t="n">
        <f aca="false">C184/D184*100-100</f>
        <v>170.211846087333</v>
      </c>
      <c r="F184" s="262" t="n">
        <v>3750</v>
      </c>
      <c r="G184" s="262" t="n">
        <v>1270</v>
      </c>
      <c r="H184" s="201" t="n">
        <f aca="false">F184/G184*100-100</f>
        <v>195.275590551181</v>
      </c>
      <c r="I184" s="262" t="n">
        <v>12500</v>
      </c>
      <c r="J184" s="262" t="n">
        <v>4626</v>
      </c>
      <c r="K184" s="201" t="n">
        <f aca="false">I184/J184*100-100</f>
        <v>170.211846087333</v>
      </c>
      <c r="L184" s="262" t="n">
        <v>0</v>
      </c>
      <c r="M184" s="262" t="n">
        <v>0</v>
      </c>
      <c r="N184" s="201" t="n">
        <v>0</v>
      </c>
      <c r="O184" s="262" t="n">
        <v>17</v>
      </c>
      <c r="P184" s="236" t="n">
        <v>56</v>
      </c>
      <c r="Q184" s="236" t="n">
        <v>17</v>
      </c>
      <c r="R184" s="202" t="n">
        <f aca="false">O184*P184</f>
        <v>952</v>
      </c>
    </row>
    <row r="185" customFormat="false" ht="15" hidden="false" customHeight="false" outlineLevel="0" collapsed="false">
      <c r="A185" s="288" t="n">
        <v>5</v>
      </c>
      <c r="B185" s="297" t="s">
        <v>176</v>
      </c>
      <c r="C185" s="262" t="n">
        <v>4040</v>
      </c>
      <c r="D185" s="262" t="n">
        <v>4044</v>
      </c>
      <c r="E185" s="201" t="n">
        <f aca="false">C185/D185*100-100</f>
        <v>-0.0989119683481761</v>
      </c>
      <c r="F185" s="262" t="n">
        <v>920</v>
      </c>
      <c r="G185" s="262" t="n">
        <v>950</v>
      </c>
      <c r="H185" s="201" t="n">
        <f aca="false">F185/G185*100-100</f>
        <v>-3.15789473684211</v>
      </c>
      <c r="I185" s="262" t="n">
        <v>0</v>
      </c>
      <c r="J185" s="262" t="n">
        <v>0</v>
      </c>
      <c r="K185" s="201" t="n">
        <v>0</v>
      </c>
      <c r="L185" s="262" t="n">
        <v>0</v>
      </c>
      <c r="M185" s="262" t="n">
        <v>0</v>
      </c>
      <c r="N185" s="201" t="n">
        <v>0</v>
      </c>
      <c r="O185" s="262" t="n">
        <v>12</v>
      </c>
      <c r="P185" s="236" t="n">
        <v>75.2</v>
      </c>
      <c r="Q185" s="236" t="n">
        <v>12</v>
      </c>
      <c r="R185" s="202" t="n">
        <f aca="false">O185*P185</f>
        <v>902.4</v>
      </c>
    </row>
    <row r="186" customFormat="false" ht="15" hidden="false" customHeight="false" outlineLevel="0" collapsed="false">
      <c r="A186" s="288" t="n">
        <v>6</v>
      </c>
      <c r="B186" s="290" t="s">
        <v>177</v>
      </c>
      <c r="C186" s="262" t="n">
        <v>17130</v>
      </c>
      <c r="D186" s="262" t="n">
        <v>20727</v>
      </c>
      <c r="E186" s="201" t="n">
        <f aca="false">C186/D186*100-100</f>
        <v>-17.3541757128383</v>
      </c>
      <c r="F186" s="262" t="n">
        <v>5895</v>
      </c>
      <c r="G186" s="262" t="n">
        <v>4028</v>
      </c>
      <c r="H186" s="201" t="n">
        <f aca="false">F186/G186*100-100</f>
        <v>46.3505461767627</v>
      </c>
      <c r="I186" s="262" t="n">
        <v>984</v>
      </c>
      <c r="J186" s="262" t="n">
        <v>1000</v>
      </c>
      <c r="K186" s="201" t="n">
        <f aca="false">I186/J186*100-100</f>
        <v>-1.59999999999999</v>
      </c>
      <c r="L186" s="262" t="n">
        <v>0</v>
      </c>
      <c r="M186" s="262" t="n">
        <v>0</v>
      </c>
      <c r="N186" s="201" t="n">
        <v>0</v>
      </c>
      <c r="O186" s="262" t="n">
        <v>22</v>
      </c>
      <c r="P186" s="236" t="n">
        <v>109.5</v>
      </c>
      <c r="Q186" s="236" t="n">
        <v>22</v>
      </c>
      <c r="R186" s="202" t="n">
        <f aca="false">O186*P186</f>
        <v>2409</v>
      </c>
    </row>
    <row r="187" customFormat="false" ht="15" hidden="false" customHeight="false" outlineLevel="0" collapsed="false">
      <c r="A187" s="288" t="n">
        <v>7</v>
      </c>
      <c r="B187" s="290" t="s">
        <v>178</v>
      </c>
      <c r="C187" s="262" t="n">
        <v>1213</v>
      </c>
      <c r="D187" s="262" t="n">
        <v>28710</v>
      </c>
      <c r="E187" s="201" t="n">
        <f aca="false">C187/D187*100-100</f>
        <v>-95.7749912922327</v>
      </c>
      <c r="F187" s="262" t="n">
        <v>0</v>
      </c>
      <c r="G187" s="262" t="n">
        <v>2100</v>
      </c>
      <c r="H187" s="201" t="n">
        <v>0</v>
      </c>
      <c r="I187" s="262" t="n">
        <v>1213</v>
      </c>
      <c r="J187" s="262" t="n">
        <v>47032</v>
      </c>
      <c r="K187" s="201" t="n">
        <f aca="false">I187/J187*100-100</f>
        <v>-97.420904915802</v>
      </c>
      <c r="L187" s="262" t="n">
        <v>1213</v>
      </c>
      <c r="M187" s="262" t="n">
        <v>47032</v>
      </c>
      <c r="N187" s="201" t="n">
        <f aca="false">L187/M187*100-100</f>
        <v>-97.420904915802</v>
      </c>
      <c r="O187" s="262" t="n">
        <v>31</v>
      </c>
      <c r="P187" s="236" t="n">
        <v>110.6</v>
      </c>
      <c r="Q187" s="236" t="n">
        <v>45</v>
      </c>
      <c r="R187" s="202" t="n">
        <f aca="false">O187*P187</f>
        <v>3428.6</v>
      </c>
    </row>
    <row r="188" customFormat="false" ht="15" hidden="false" customHeight="false" outlineLevel="0" collapsed="false">
      <c r="A188" s="288" t="n">
        <v>8</v>
      </c>
      <c r="B188" s="290" t="s">
        <v>179</v>
      </c>
      <c r="C188" s="262" t="n">
        <v>925</v>
      </c>
      <c r="D188" s="262" t="n">
        <v>621</v>
      </c>
      <c r="E188" s="201" t="n">
        <f aca="false">C188/D188*100-100</f>
        <v>48.9533011272142</v>
      </c>
      <c r="F188" s="262" t="n">
        <v>590</v>
      </c>
      <c r="G188" s="262" t="n">
        <v>621</v>
      </c>
      <c r="H188" s="201" t="n">
        <f aca="false">F188/G188*100-100</f>
        <v>-4.99194847020934</v>
      </c>
      <c r="I188" s="262" t="n">
        <v>1380</v>
      </c>
      <c r="J188" s="262" t="n">
        <v>1728</v>
      </c>
      <c r="K188" s="201" t="n">
        <f aca="false">I188/J188*100-100</f>
        <v>-20.1388888888889</v>
      </c>
      <c r="L188" s="262" t="n">
        <v>0</v>
      </c>
      <c r="M188" s="262" t="n">
        <v>0</v>
      </c>
      <c r="N188" s="201" t="n">
        <v>0</v>
      </c>
      <c r="O188" s="262" t="n">
        <v>25</v>
      </c>
      <c r="P188" s="236" t="n">
        <v>54</v>
      </c>
      <c r="Q188" s="236" t="n">
        <v>25</v>
      </c>
      <c r="R188" s="234" t="n">
        <f aca="false">O188*P188</f>
        <v>1350</v>
      </c>
    </row>
    <row r="189" customFormat="false" ht="15" hidden="false" customHeight="false" outlineLevel="0" collapsed="false">
      <c r="A189" s="288" t="n">
        <v>9</v>
      </c>
      <c r="B189" s="301" t="s">
        <v>180</v>
      </c>
      <c r="C189" s="262" t="n">
        <v>5572</v>
      </c>
      <c r="D189" s="262" t="n">
        <v>6736</v>
      </c>
      <c r="E189" s="201" t="n">
        <f aca="false">C189/D189*100-100</f>
        <v>-17.2802850356294</v>
      </c>
      <c r="F189" s="262" t="n">
        <v>1288</v>
      </c>
      <c r="G189" s="262" t="n">
        <v>2016</v>
      </c>
      <c r="H189" s="201" t="n">
        <f aca="false">F189/G189*100-100</f>
        <v>-36.1111111111111</v>
      </c>
      <c r="I189" s="262" t="n">
        <v>5572</v>
      </c>
      <c r="J189" s="262" t="n">
        <v>6736</v>
      </c>
      <c r="K189" s="201" t="n">
        <f aca="false">I189/J189*100-100</f>
        <v>-17.2802850356294</v>
      </c>
      <c r="L189" s="262" t="n">
        <v>0</v>
      </c>
      <c r="M189" s="262" t="n">
        <v>0</v>
      </c>
      <c r="N189" s="201" t="n">
        <v>0</v>
      </c>
      <c r="O189" s="262" t="n">
        <v>13</v>
      </c>
      <c r="P189" s="236" t="n">
        <v>63.9</v>
      </c>
      <c r="Q189" s="236" t="n">
        <v>13</v>
      </c>
      <c r="R189" s="202" t="n">
        <f aca="false">O189*P189</f>
        <v>830.7</v>
      </c>
    </row>
    <row r="190" customFormat="false" ht="15" hidden="false" customHeight="false" outlineLevel="0" collapsed="false">
      <c r="A190" s="215" t="s">
        <v>170</v>
      </c>
      <c r="B190" s="215" t="s">
        <v>154</v>
      </c>
      <c r="C190" s="302" t="n">
        <f aca="false">SUM(C181:C189)</f>
        <v>308148.6</v>
      </c>
      <c r="D190" s="302" t="n">
        <f aca="false">SUM(D181:D189)</f>
        <v>431212.7</v>
      </c>
      <c r="E190" s="313" t="n">
        <f aca="false">C190/D190*100-100</f>
        <v>-28.5390713214152</v>
      </c>
      <c r="F190" s="302" t="n">
        <f aca="false">SUM(F181:F189)</f>
        <v>95465.5</v>
      </c>
      <c r="G190" s="302" t="n">
        <f aca="false">SUM(G181:G189)</f>
        <v>79293.7</v>
      </c>
      <c r="H190" s="313" t="n">
        <f aca="false">F190/G190*100-100</f>
        <v>20.3948106848337</v>
      </c>
      <c r="I190" s="302" t="n">
        <f aca="false">SUM(I181:I189)</f>
        <v>132544.2</v>
      </c>
      <c r="J190" s="302" t="n">
        <f aca="false">SUM(J181:J189)</f>
        <v>297964.9</v>
      </c>
      <c r="K190" s="313" t="n">
        <f aca="false">I190/J190*100-100</f>
        <v>-55.51684107759</v>
      </c>
      <c r="L190" s="302" t="n">
        <f aca="false">SUM(L181:L189)</f>
        <v>1213</v>
      </c>
      <c r="M190" s="302" t="n">
        <f aca="false">SUM(M181:M189)</f>
        <v>47032</v>
      </c>
      <c r="N190" s="313" t="n">
        <f aca="false">L190/M190*100-100</f>
        <v>-97.420904915802</v>
      </c>
      <c r="O190" s="217" t="n">
        <f aca="false">SUM(O181:O189)</f>
        <v>510</v>
      </c>
      <c r="P190" s="217" t="n">
        <f aca="false">R190/O190</f>
        <v>148.904117647059</v>
      </c>
      <c r="Q190" s="302" t="n">
        <f aca="false">SUM(Q181:Q189)</f>
        <v>523</v>
      </c>
      <c r="R190" s="232" t="n">
        <f aca="false">SUM(R181:R189)</f>
        <v>75941.1</v>
      </c>
    </row>
    <row r="191" customFormat="false" ht="15" hidden="false" customHeight="false" outlineLevel="0" collapsed="false">
      <c r="A191" s="303"/>
      <c r="B191" s="195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3"/>
      <c r="P191" s="303"/>
      <c r="Q191" s="303"/>
      <c r="R191" s="304"/>
    </row>
    <row r="192" customFormat="false" ht="15" hidden="false" customHeight="false" outlineLevel="0" collapsed="false">
      <c r="A192" s="305" t="s">
        <v>181</v>
      </c>
      <c r="B192" s="305"/>
      <c r="C192" s="195" t="n">
        <v>3</v>
      </c>
      <c r="D192" s="195" t="n">
        <v>4</v>
      </c>
      <c r="E192" s="196" t="n">
        <v>5</v>
      </c>
      <c r="F192" s="195" t="n">
        <v>6</v>
      </c>
      <c r="G192" s="195" t="n">
        <v>7</v>
      </c>
      <c r="H192" s="195" t="n">
        <v>8</v>
      </c>
      <c r="I192" s="195" t="n">
        <v>9</v>
      </c>
      <c r="J192" s="195" t="n">
        <v>10</v>
      </c>
      <c r="K192" s="195" t="n">
        <v>11</v>
      </c>
      <c r="L192" s="195" t="n">
        <v>12</v>
      </c>
      <c r="M192" s="195" t="n">
        <v>13</v>
      </c>
      <c r="N192" s="195" t="n">
        <v>14</v>
      </c>
      <c r="O192" s="195" t="n">
        <v>15</v>
      </c>
      <c r="P192" s="196" t="n">
        <v>16</v>
      </c>
      <c r="Q192" s="195" t="n">
        <v>15</v>
      </c>
      <c r="R192" s="179"/>
    </row>
    <row r="193" customFormat="false" ht="15" hidden="false" customHeight="false" outlineLevel="0" collapsed="false">
      <c r="A193" s="262" t="n">
        <v>1</v>
      </c>
      <c r="B193" s="306" t="s">
        <v>182</v>
      </c>
      <c r="C193" s="207" t="n">
        <v>40389</v>
      </c>
      <c r="D193" s="207" t="n">
        <v>24648</v>
      </c>
      <c r="E193" s="201" t="n">
        <f aca="false">C193/D193*100-100</f>
        <v>63.8631937682571</v>
      </c>
      <c r="F193" s="207" t="n">
        <v>2546</v>
      </c>
      <c r="G193" s="207" t="n">
        <v>10087</v>
      </c>
      <c r="H193" s="201" t="n">
        <f aca="false">F193/G193*100-100</f>
        <v>-74.7595915534847</v>
      </c>
      <c r="I193" s="207" t="n">
        <v>40389</v>
      </c>
      <c r="J193" s="207" t="n">
        <v>21648</v>
      </c>
      <c r="K193" s="201" t="n">
        <f aca="false">I193/J193*100-100</f>
        <v>86.5715077605321</v>
      </c>
      <c r="L193" s="207" t="n">
        <v>21160</v>
      </c>
      <c r="M193" s="207" t="n">
        <v>21648</v>
      </c>
      <c r="N193" s="201" t="n">
        <f aca="false">L193/M193*100-100</f>
        <v>-2.25424981522544</v>
      </c>
      <c r="O193" s="192" t="n">
        <v>49</v>
      </c>
      <c r="P193" s="262" t="n">
        <v>47</v>
      </c>
      <c r="Q193" s="192" t="n">
        <v>50</v>
      </c>
      <c r="R193" s="234" t="n">
        <f aca="false">O193*P193</f>
        <v>2303</v>
      </c>
    </row>
    <row r="194" customFormat="false" ht="15" hidden="false" customHeight="false" outlineLevel="0" collapsed="false">
      <c r="A194" s="262" t="n">
        <v>2</v>
      </c>
      <c r="B194" s="306" t="s">
        <v>183</v>
      </c>
      <c r="C194" s="207" t="n">
        <v>20483</v>
      </c>
      <c r="D194" s="207" t="n">
        <v>115</v>
      </c>
      <c r="E194" s="201" t="n">
        <v>0</v>
      </c>
      <c r="F194" s="207" t="n">
        <v>2977</v>
      </c>
      <c r="G194" s="207" t="n">
        <v>102</v>
      </c>
      <c r="H194" s="201" t="n">
        <f aca="false">F194/G194*100-100</f>
        <v>2818.62745098039</v>
      </c>
      <c r="I194" s="207" t="n">
        <v>20383</v>
      </c>
      <c r="J194" s="207" t="n">
        <v>115</v>
      </c>
      <c r="K194" s="201" t="n">
        <v>0</v>
      </c>
      <c r="L194" s="207" t="n">
        <v>10861</v>
      </c>
      <c r="M194" s="207" t="n">
        <v>0</v>
      </c>
      <c r="N194" s="201" t="n">
        <v>0</v>
      </c>
      <c r="O194" s="192" t="n">
        <v>176</v>
      </c>
      <c r="P194" s="262" t="n">
        <v>185</v>
      </c>
      <c r="Q194" s="192" t="n">
        <v>176</v>
      </c>
      <c r="R194" s="234" t="n">
        <f aca="false">O194*P194</f>
        <v>32560</v>
      </c>
    </row>
    <row r="195" customFormat="false" ht="15" hidden="false" customHeight="false" outlineLevel="0" collapsed="false">
      <c r="A195" s="215" t="s">
        <v>170</v>
      </c>
      <c r="B195" s="215" t="s">
        <v>154</v>
      </c>
      <c r="C195" s="216" t="n">
        <f aca="false">SUM(C193:C194)</f>
        <v>60872</v>
      </c>
      <c r="D195" s="216" t="n">
        <f aca="false">SUM(D193:D194)</f>
        <v>24763</v>
      </c>
      <c r="E195" s="313" t="n">
        <f aca="false">C195/D195*100-100</f>
        <v>145.818358034164</v>
      </c>
      <c r="F195" s="216" t="n">
        <f aca="false">SUM(F193:F194)</f>
        <v>5523</v>
      </c>
      <c r="G195" s="216" t="n">
        <f aca="false">SUM(G193:G194)</f>
        <v>10189</v>
      </c>
      <c r="H195" s="313" t="n">
        <f aca="false">F195/G195*100-100</f>
        <v>-45.7944842477181</v>
      </c>
      <c r="I195" s="217" t="n">
        <f aca="false">SUM(I193:I194)</f>
        <v>60772</v>
      </c>
      <c r="J195" s="216" t="n">
        <f aca="false">SUM(J193:J194)</f>
        <v>21763</v>
      </c>
      <c r="K195" s="313" t="n">
        <f aca="false">I195/J195*100-100</f>
        <v>179.244589440794</v>
      </c>
      <c r="L195" s="237" t="n">
        <f aca="false">SUM(L193:L194)</f>
        <v>32021</v>
      </c>
      <c r="M195" s="216" t="n">
        <f aca="false">SUM(M193:M194)</f>
        <v>21648</v>
      </c>
      <c r="N195" s="313" t="n">
        <f aca="false">L195/M195*100-100</f>
        <v>47.9166666666667</v>
      </c>
      <c r="O195" s="237" t="n">
        <f aca="false">SUM(O193:O194)</f>
        <v>225</v>
      </c>
      <c r="P195" s="237" t="n">
        <f aca="false">R195/O195</f>
        <v>154.946666666667</v>
      </c>
      <c r="Q195" s="237" t="n">
        <f aca="false">SUM(Q193:Q194)</f>
        <v>226</v>
      </c>
      <c r="R195" s="232" t="n">
        <f aca="false">SUM(R193:R194)</f>
        <v>34863</v>
      </c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A161:B161"/>
    <mergeCell ref="A165:B165"/>
    <mergeCell ref="A167:B167"/>
    <mergeCell ref="A178:B178"/>
    <mergeCell ref="A180:B180"/>
    <mergeCell ref="A190:B190"/>
    <mergeCell ref="A192:B192"/>
    <mergeCell ref="A195:B1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5"/>
  <sheetViews>
    <sheetView showFormulas="false" showGridLines="true" showRowColHeaders="true" showZeros="true" rightToLeft="false" tabSelected="false" showOutlineSymbols="true" defaultGridColor="true" view="normal" topLeftCell="A168" colorId="64" zoomScale="100" zoomScaleNormal="100" zoomScalePageLayoutView="100" workbookViewId="0">
      <selection pane="topLeft" activeCell="U180" activeCellId="0" sqref="U180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6.29"/>
    <col collapsed="false" customWidth="true" hidden="false" outlineLevel="0" max="4" min="3" style="0" width="11.71"/>
    <col collapsed="false" customWidth="true" hidden="false" outlineLevel="0" max="5" min="5" style="0" width="5.71"/>
    <col collapsed="false" customWidth="true" hidden="false" outlineLevel="0" max="6" min="6" style="0" width="10.28"/>
    <col collapsed="false" customWidth="true" hidden="false" outlineLevel="0" max="7" min="7" style="0" width="9.85"/>
    <col collapsed="false" customWidth="true" hidden="false" outlineLevel="0" max="8" min="8" style="0" width="5.85"/>
    <col collapsed="false" customWidth="true" hidden="false" outlineLevel="0" max="9" min="9" style="0" width="11"/>
    <col collapsed="false" customWidth="false" hidden="false" outlineLevel="0" max="10" min="10" style="0" width="11.43"/>
    <col collapsed="false" customWidth="true" hidden="false" outlineLevel="0" max="11" min="11" style="0" width="5.85"/>
    <col collapsed="false" customWidth="true" hidden="false" outlineLevel="0" max="12" min="12" style="0" width="11.14"/>
    <col collapsed="false" customWidth="true" hidden="false" outlineLevel="0" max="13" min="13" style="0" width="11.28"/>
    <col collapsed="false" customWidth="true" hidden="false" outlineLevel="0" max="14" min="14" style="0" width="5.85"/>
    <col collapsed="false" customWidth="true" hidden="false" outlineLevel="0" max="15" min="15" style="0" width="7.14"/>
    <col collapsed="false" customWidth="true" hidden="false" outlineLevel="0" max="16" min="16" style="0" width="6.57"/>
    <col collapsed="false" customWidth="true" hidden="false" outlineLevel="0" max="17" min="17" style="0" width="7.71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190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189</v>
      </c>
      <c r="F4" s="155" t="s">
        <v>12</v>
      </c>
      <c r="G4" s="155" t="s">
        <v>10</v>
      </c>
      <c r="H4" s="160" t="s">
        <v>189</v>
      </c>
      <c r="I4" s="155" t="s">
        <v>13</v>
      </c>
      <c r="J4" s="155" t="s">
        <v>10</v>
      </c>
      <c r="K4" s="160" t="s">
        <v>189</v>
      </c>
      <c r="L4" s="155" t="s">
        <v>13</v>
      </c>
      <c r="M4" s="155" t="s">
        <v>10</v>
      </c>
      <c r="N4" s="160" t="s">
        <v>189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23.25" hidden="false" customHeight="true" outlineLevel="0" collapsed="false">
      <c r="A10" s="163" t="n">
        <v>1</v>
      </c>
      <c r="B10" s="164" t="s">
        <v>14</v>
      </c>
      <c r="C10" s="161" t="n">
        <f aca="false">C139</f>
        <v>75178832</v>
      </c>
      <c r="D10" s="161" t="n">
        <f aca="false">D139</f>
        <v>71834507</v>
      </c>
      <c r="E10" s="165" t="n">
        <f aca="false">E139</f>
        <v>4.65559678720979</v>
      </c>
      <c r="F10" s="161" t="n">
        <f aca="false">F139</f>
        <v>16877635</v>
      </c>
      <c r="G10" s="166" t="n">
        <f aca="false">G139</f>
        <v>15996653</v>
      </c>
      <c r="H10" s="167" t="n">
        <f aca="false">H139</f>
        <v>5.50728955613403</v>
      </c>
      <c r="I10" s="166" t="n">
        <f aca="false">I139</f>
        <v>70556044</v>
      </c>
      <c r="J10" s="166" t="n">
        <f aca="false">J139</f>
        <v>67163049</v>
      </c>
      <c r="K10" s="167" t="n">
        <f aca="false">K139</f>
        <v>5.05187755844736</v>
      </c>
      <c r="L10" s="161" t="n">
        <f aca="false">L139</f>
        <v>44900455</v>
      </c>
      <c r="M10" s="161" t="n">
        <f aca="false">M139</f>
        <v>41728409</v>
      </c>
      <c r="N10" s="165" t="n">
        <f aca="false">N139</f>
        <v>7.60164615909511</v>
      </c>
      <c r="O10" s="161" t="n">
        <f aca="false">O139</f>
        <v>6128</v>
      </c>
      <c r="P10" s="165" t="n">
        <f aca="false">P139</f>
        <v>177.519092689295</v>
      </c>
      <c r="Q10" s="161" t="n">
        <f aca="false">Q139</f>
        <v>6123</v>
      </c>
      <c r="R10" s="168" t="n">
        <f aca="false">O10*P10</f>
        <v>1087837</v>
      </c>
    </row>
    <row r="11" customFormat="false" ht="29.25" hidden="false" customHeight="true" outlineLevel="0" collapsed="false">
      <c r="A11" s="163"/>
      <c r="B11" s="164" t="s">
        <v>15</v>
      </c>
      <c r="C11" s="161" t="n">
        <f aca="false">C149</f>
        <v>111777058</v>
      </c>
      <c r="D11" s="161" t="n">
        <f aca="false">D149</f>
        <v>101949468</v>
      </c>
      <c r="E11" s="165" t="n">
        <f aca="false">E149</f>
        <v>9.63966776167973</v>
      </c>
      <c r="F11" s="161" t="n">
        <f aca="false">F149</f>
        <v>12847956</v>
      </c>
      <c r="G11" s="161" t="n">
        <f aca="false">G149</f>
        <v>13660501</v>
      </c>
      <c r="H11" s="165" t="n">
        <f aca="false">H149</f>
        <v>-5.94813469872005</v>
      </c>
      <c r="I11" s="161" t="n">
        <f aca="false">I149</f>
        <v>111714547</v>
      </c>
      <c r="J11" s="161" t="n">
        <f aca="false">J149</f>
        <v>100008103</v>
      </c>
      <c r="K11" s="165" t="n">
        <f aca="false">K149</f>
        <v>11.7054955036993</v>
      </c>
      <c r="L11" s="161" t="n">
        <f aca="false">L149</f>
        <v>60664601</v>
      </c>
      <c r="M11" s="161" t="n">
        <f aca="false">M149</f>
        <v>72891336</v>
      </c>
      <c r="N11" s="165" t="n">
        <f aca="false">N149</f>
        <v>-16.7739208401942</v>
      </c>
      <c r="O11" s="161" t="n">
        <f aca="false">O149</f>
        <v>3623</v>
      </c>
      <c r="P11" s="161" t="n">
        <f aca="false">P149</f>
        <v>132.548992547612</v>
      </c>
      <c r="Q11" s="161" t="n">
        <f aca="false">Q149</f>
        <v>3625</v>
      </c>
      <c r="R11" s="168" t="n">
        <f aca="false">O11*P11</f>
        <v>480225</v>
      </c>
    </row>
    <row r="12" customFormat="false" ht="31.5" hidden="false" customHeight="true" outlineLevel="0" collapsed="false">
      <c r="A12" s="163" t="n">
        <v>2</v>
      </c>
      <c r="B12" s="164" t="s">
        <v>16</v>
      </c>
      <c r="C12" s="161" t="n">
        <f aca="false">C159</f>
        <v>5009094</v>
      </c>
      <c r="D12" s="161" t="n">
        <f aca="false">D159</f>
        <v>3280567</v>
      </c>
      <c r="E12" s="165" t="n">
        <f aca="false">E159</f>
        <v>52.6898856203821</v>
      </c>
      <c r="F12" s="161" t="n">
        <f aca="false">F159</f>
        <v>818096</v>
      </c>
      <c r="G12" s="166" t="n">
        <f aca="false">G159</f>
        <v>632371</v>
      </c>
      <c r="H12" s="167" t="n">
        <f aca="false">H159</f>
        <v>29.369626374391</v>
      </c>
      <c r="I12" s="166" t="n">
        <f aca="false">I159</f>
        <v>4141358</v>
      </c>
      <c r="J12" s="166" t="n">
        <f aca="false">J159</f>
        <v>3612938</v>
      </c>
      <c r="K12" s="167" t="n">
        <f aca="false">K159</f>
        <v>14.62576994125</v>
      </c>
      <c r="L12" s="161" t="n">
        <f aca="false">L159</f>
        <v>2073246</v>
      </c>
      <c r="M12" s="161" t="n">
        <f aca="false">M159</f>
        <v>1784556</v>
      </c>
      <c r="N12" s="165" t="n">
        <f aca="false">N159</f>
        <v>16.1771331356371</v>
      </c>
      <c r="O12" s="161" t="n">
        <f aca="false">O159</f>
        <v>906</v>
      </c>
      <c r="P12" s="165" t="n">
        <f aca="false">P159</f>
        <v>105.506622516556</v>
      </c>
      <c r="Q12" s="161" t="n">
        <f aca="false">Q159</f>
        <v>917</v>
      </c>
      <c r="R12" s="168" t="n">
        <f aca="false">O12*P12</f>
        <v>95589</v>
      </c>
    </row>
    <row r="13" customFormat="false" ht="30" hidden="false" customHeight="true" outlineLevel="0" collapsed="false">
      <c r="A13" s="163" t="n">
        <v>3</v>
      </c>
      <c r="B13" s="164" t="s">
        <v>17</v>
      </c>
      <c r="C13" s="161" t="n">
        <f aca="false">C178</f>
        <v>5290509</v>
      </c>
      <c r="D13" s="161" t="n">
        <f aca="false">D178</f>
        <v>3433392</v>
      </c>
      <c r="E13" s="165" t="n">
        <f aca="false">E178</f>
        <v>54.0898621538117</v>
      </c>
      <c r="F13" s="161" t="n">
        <f aca="false">F178</f>
        <v>955934</v>
      </c>
      <c r="G13" s="166" t="n">
        <f aca="false">G178</f>
        <v>612918</v>
      </c>
      <c r="H13" s="167" t="n">
        <f aca="false">H178</f>
        <v>55.9644193839959</v>
      </c>
      <c r="I13" s="166" t="n">
        <f aca="false">I178</f>
        <v>5590519</v>
      </c>
      <c r="J13" s="166" t="n">
        <f aca="false">J178</f>
        <v>3714432</v>
      </c>
      <c r="K13" s="167" t="n">
        <f aca="false">K178</f>
        <v>50.5080453754437</v>
      </c>
      <c r="L13" s="161" t="n">
        <f aca="false">L178</f>
        <v>5598194</v>
      </c>
      <c r="M13" s="161" t="n">
        <f aca="false">M178</f>
        <v>3614816</v>
      </c>
      <c r="N13" s="165" t="n">
        <f aca="false">N178</f>
        <v>54.8680209449112</v>
      </c>
      <c r="O13" s="161" t="n">
        <f aca="false">O178</f>
        <v>442</v>
      </c>
      <c r="P13" s="165" t="n">
        <f aca="false">P178</f>
        <v>131.337104072398</v>
      </c>
      <c r="Q13" s="161" t="n">
        <f aca="false">Q178</f>
        <v>432</v>
      </c>
      <c r="R13" s="168" t="n">
        <f aca="false">O13*P13</f>
        <v>58051</v>
      </c>
    </row>
    <row r="14" customFormat="false" ht="36" hidden="false" customHeight="true" outlineLevel="0" collapsed="false">
      <c r="A14" s="163" t="n">
        <v>4</v>
      </c>
      <c r="B14" s="164" t="s">
        <v>18</v>
      </c>
      <c r="C14" s="161" t="n">
        <f aca="false">C54</f>
        <v>965840</v>
      </c>
      <c r="D14" s="166" t="n">
        <f aca="false">D54</f>
        <v>1526076</v>
      </c>
      <c r="E14" s="167" t="n">
        <f aca="false">E54</f>
        <v>-36.7108846479468</v>
      </c>
      <c r="F14" s="166" t="n">
        <f aca="false">F54</f>
        <v>171550</v>
      </c>
      <c r="G14" s="166" t="n">
        <f aca="false">G54</f>
        <v>194412</v>
      </c>
      <c r="H14" s="167" t="n">
        <f aca="false">H54</f>
        <v>-11.7595621669444</v>
      </c>
      <c r="I14" s="166" t="n">
        <f aca="false">I54</f>
        <v>1978902</v>
      </c>
      <c r="J14" s="166" t="n">
        <f aca="false">J54</f>
        <v>1210777</v>
      </c>
      <c r="K14" s="167" t="n">
        <f aca="false">K54</f>
        <v>63.4406666132574</v>
      </c>
      <c r="L14" s="166" t="n">
        <f aca="false">L54</f>
        <v>511624</v>
      </c>
      <c r="M14" s="166" t="n">
        <f aca="false">M54</f>
        <v>677086</v>
      </c>
      <c r="N14" s="167" t="n">
        <f aca="false">N54</f>
        <v>-24.4373683697492</v>
      </c>
      <c r="O14" s="166" t="n">
        <f aca="false">O54</f>
        <v>853</v>
      </c>
      <c r="P14" s="167" t="n">
        <f aca="false">P54</f>
        <v>106.240328253224</v>
      </c>
      <c r="Q14" s="166" t="n">
        <f aca="false">Q54</f>
        <v>856</v>
      </c>
      <c r="R14" s="168" t="n">
        <f aca="false">O14*P14</f>
        <v>90623</v>
      </c>
    </row>
    <row r="15" customFormat="false" ht="27.75" hidden="false" customHeight="true" outlineLevel="0" collapsed="false">
      <c r="A15" s="163" t="n">
        <v>5</v>
      </c>
      <c r="B15" s="164" t="s">
        <v>19</v>
      </c>
      <c r="C15" s="161" t="n">
        <f aca="false">C66</f>
        <v>598535</v>
      </c>
      <c r="D15" s="166" t="n">
        <f aca="false">D66</f>
        <v>630586</v>
      </c>
      <c r="E15" s="167" t="n">
        <f aca="false">E66</f>
        <v>-5.08273256938784</v>
      </c>
      <c r="F15" s="166" t="n">
        <f aca="false">F66</f>
        <v>183019</v>
      </c>
      <c r="G15" s="166" t="n">
        <f aca="false">G66</f>
        <v>119277</v>
      </c>
      <c r="H15" s="167" t="n">
        <f aca="false">H66</f>
        <v>53.4403112083637</v>
      </c>
      <c r="I15" s="166" t="n">
        <f aca="false">I66</f>
        <v>618324</v>
      </c>
      <c r="J15" s="166" t="n">
        <f aca="false">J66</f>
        <v>686806</v>
      </c>
      <c r="K15" s="167" t="n">
        <f aca="false">K66</f>
        <v>-9.97108353741814</v>
      </c>
      <c r="L15" s="166" t="n">
        <f aca="false">L66</f>
        <v>396972</v>
      </c>
      <c r="M15" s="166" t="n">
        <f aca="false">M66</f>
        <v>506446</v>
      </c>
      <c r="N15" s="167" t="n">
        <f aca="false">N66</f>
        <v>-21.6161249175628</v>
      </c>
      <c r="O15" s="166" t="n">
        <f aca="false">O66</f>
        <v>560</v>
      </c>
      <c r="P15" s="167" t="n">
        <f aca="false">P66</f>
        <v>78.7089285714286</v>
      </c>
      <c r="Q15" s="166" t="n">
        <f aca="false">Q66</f>
        <v>526</v>
      </c>
      <c r="R15" s="168" t="n">
        <f aca="false">O15*P15</f>
        <v>44077</v>
      </c>
    </row>
    <row r="16" customFormat="false" ht="29.25" hidden="false" customHeight="true" outlineLevel="0" collapsed="false">
      <c r="A16" s="163" t="n">
        <v>6</v>
      </c>
      <c r="B16" s="164" t="s">
        <v>20</v>
      </c>
      <c r="C16" s="161" t="n">
        <f aca="false">C77</f>
        <v>592904</v>
      </c>
      <c r="D16" s="166" t="n">
        <f aca="false">D77</f>
        <v>579902</v>
      </c>
      <c r="E16" s="167" t="n">
        <f aca="false">E77</f>
        <v>2.24210297602008</v>
      </c>
      <c r="F16" s="166" t="n">
        <f aca="false">F77</f>
        <v>124435</v>
      </c>
      <c r="G16" s="166" t="n">
        <f aca="false">G77</f>
        <v>151085</v>
      </c>
      <c r="H16" s="167" t="n">
        <f aca="false">H77</f>
        <v>-17.6390773405699</v>
      </c>
      <c r="I16" s="166" t="n">
        <f aca="false">I77</f>
        <v>616770</v>
      </c>
      <c r="J16" s="166" t="n">
        <f aca="false">J77</f>
        <v>632060</v>
      </c>
      <c r="K16" s="167" t="n">
        <f aca="false">K77</f>
        <v>-2.41907413853116</v>
      </c>
      <c r="L16" s="166" t="n">
        <f aca="false">L77</f>
        <v>339505</v>
      </c>
      <c r="M16" s="166" t="n">
        <f aca="false">M77</f>
        <v>303012</v>
      </c>
      <c r="N16" s="167" t="n">
        <f aca="false">N77</f>
        <v>12.0434174224123</v>
      </c>
      <c r="O16" s="166" t="n">
        <f aca="false">O77</f>
        <v>548</v>
      </c>
      <c r="P16" s="167" t="n">
        <f aca="false">P77</f>
        <v>98.6824817518248</v>
      </c>
      <c r="Q16" s="166" t="n">
        <f aca="false">Q77</f>
        <v>552</v>
      </c>
      <c r="R16" s="168" t="n">
        <f aca="false">O16*P16</f>
        <v>54078</v>
      </c>
    </row>
    <row r="17" customFormat="false" ht="33" hidden="false" customHeight="true" outlineLevel="0" collapsed="false">
      <c r="A17" s="163" t="n">
        <v>7</v>
      </c>
      <c r="B17" s="164" t="s">
        <v>21</v>
      </c>
      <c r="C17" s="161" t="n">
        <f aca="false">C92</f>
        <v>2797072</v>
      </c>
      <c r="D17" s="166" t="n">
        <f aca="false">D92</f>
        <v>2381754</v>
      </c>
      <c r="E17" s="167" t="n">
        <f aca="false">E92</f>
        <v>17.4374851475005</v>
      </c>
      <c r="F17" s="166" t="n">
        <f aca="false">F92</f>
        <v>866428</v>
      </c>
      <c r="G17" s="166" t="n">
        <f aca="false">G92</f>
        <v>686119</v>
      </c>
      <c r="H17" s="167" t="n">
        <f aca="false">H92</f>
        <v>26.2795520893606</v>
      </c>
      <c r="I17" s="166" t="n">
        <f aca="false">I92</f>
        <v>4254284</v>
      </c>
      <c r="J17" s="166" t="n">
        <f aca="false">J92</f>
        <v>4020703</v>
      </c>
      <c r="K17" s="167" t="n">
        <f aca="false">K92</f>
        <v>5.80945670446189</v>
      </c>
      <c r="L17" s="166" t="n">
        <f aca="false">L92</f>
        <v>1324573</v>
      </c>
      <c r="M17" s="166" t="n">
        <f aca="false">M92</f>
        <v>972532</v>
      </c>
      <c r="N17" s="167" t="n">
        <f aca="false">N92</f>
        <v>36.198397584861</v>
      </c>
      <c r="O17" s="166" t="n">
        <f aca="false">O92</f>
        <v>3953</v>
      </c>
      <c r="P17" s="167" t="n">
        <f aca="false">P92</f>
        <v>117.367821907412</v>
      </c>
      <c r="Q17" s="166" t="n">
        <f aca="false">Q92</f>
        <v>4071</v>
      </c>
      <c r="R17" s="168" t="n">
        <f aca="false">O17*P17</f>
        <v>463955</v>
      </c>
    </row>
    <row r="18" customFormat="false" ht="34.5" hidden="false" customHeight="true" outlineLevel="0" collapsed="false">
      <c r="A18" s="163" t="n">
        <v>8</v>
      </c>
      <c r="B18" s="164" t="s">
        <v>22</v>
      </c>
      <c r="C18" s="161" t="n">
        <f aca="false">C165</f>
        <v>2561413</v>
      </c>
      <c r="D18" s="166" t="n">
        <f aca="false">D165</f>
        <v>1471970</v>
      </c>
      <c r="E18" s="167" t="n">
        <f aca="false">E165</f>
        <v>74.0125817781612</v>
      </c>
      <c r="F18" s="166" t="n">
        <f aca="false">F165</f>
        <v>440882</v>
      </c>
      <c r="G18" s="166" t="n">
        <f aca="false">G165</f>
        <v>394694</v>
      </c>
      <c r="H18" s="167" t="n">
        <f aca="false">H165</f>
        <v>11.7022300820382</v>
      </c>
      <c r="I18" s="166" t="n">
        <f aca="false">I165</f>
        <v>2087702</v>
      </c>
      <c r="J18" s="166" t="n">
        <f aca="false">J165</f>
        <v>1532047</v>
      </c>
      <c r="K18" s="167" t="n">
        <f aca="false">K165</f>
        <v>36.2687959311953</v>
      </c>
      <c r="L18" s="166" t="n">
        <f aca="false">L165</f>
        <v>205015</v>
      </c>
      <c r="M18" s="166" t="n">
        <f aca="false">M165</f>
        <v>124705</v>
      </c>
      <c r="N18" s="167" t="n">
        <f aca="false">N165</f>
        <v>64.3999839621507</v>
      </c>
      <c r="O18" s="166" t="n">
        <f aca="false">O165</f>
        <v>570</v>
      </c>
      <c r="P18" s="167" t="n">
        <f aca="false">P165</f>
        <v>96.0561403508772</v>
      </c>
      <c r="Q18" s="166" t="n">
        <f aca="false">Q165</f>
        <v>566</v>
      </c>
      <c r="R18" s="168" t="n">
        <f aca="false">O18*P18</f>
        <v>54752</v>
      </c>
    </row>
    <row r="19" customFormat="false" ht="36" hidden="false" customHeight="true" outlineLevel="0" collapsed="false">
      <c r="A19" s="163" t="n">
        <v>9</v>
      </c>
      <c r="B19" s="164" t="s">
        <v>23</v>
      </c>
      <c r="C19" s="161" t="n">
        <f aca="false">C120</f>
        <v>1410485</v>
      </c>
      <c r="D19" s="166" t="n">
        <f aca="false">D120</f>
        <v>1347489</v>
      </c>
      <c r="E19" s="167" t="n">
        <f aca="false">E120</f>
        <v>4.67506599311758</v>
      </c>
      <c r="F19" s="166" t="n">
        <f aca="false">F120</f>
        <v>243605</v>
      </c>
      <c r="G19" s="166" t="n">
        <f aca="false">G120</f>
        <v>317147</v>
      </c>
      <c r="H19" s="167" t="n">
        <f aca="false">H120</f>
        <v>-23.1886160045657</v>
      </c>
      <c r="I19" s="166" t="n">
        <f aca="false">I120</f>
        <v>1332910</v>
      </c>
      <c r="J19" s="166" t="n">
        <f aca="false">J120</f>
        <v>1357454</v>
      </c>
      <c r="K19" s="167" t="n">
        <f aca="false">K120</f>
        <v>-1.80809073456632</v>
      </c>
      <c r="L19" s="166" t="n">
        <f aca="false">L120</f>
        <v>823564</v>
      </c>
      <c r="M19" s="166" t="n">
        <f aca="false">M120</f>
        <v>699775</v>
      </c>
      <c r="N19" s="167" t="n">
        <f aca="false">N120</f>
        <v>17.6898288735665</v>
      </c>
      <c r="O19" s="166" t="n">
        <f aca="false">O120</f>
        <v>1855</v>
      </c>
      <c r="P19" s="167" t="n">
        <f aca="false">P120</f>
        <v>69.888409703504</v>
      </c>
      <c r="Q19" s="166" t="n">
        <f aca="false">Q120</f>
        <v>1896</v>
      </c>
      <c r="R19" s="168" t="n">
        <f aca="false">O19*P19</f>
        <v>129643</v>
      </c>
    </row>
    <row r="20" customFormat="false" ht="24" hidden="false" customHeight="true" outlineLevel="0" collapsed="false">
      <c r="A20" s="163" t="n">
        <v>10</v>
      </c>
      <c r="B20" s="164" t="s">
        <v>24</v>
      </c>
      <c r="C20" s="161" t="n">
        <f aca="false">C131</f>
        <v>68115</v>
      </c>
      <c r="D20" s="166" t="n">
        <f aca="false">D131</f>
        <v>134692</v>
      </c>
      <c r="E20" s="167" t="n">
        <f aca="false">E131</f>
        <v>-49.4290677991269</v>
      </c>
      <c r="F20" s="166" t="n">
        <f aca="false">F131</f>
        <v>22414</v>
      </c>
      <c r="G20" s="166" t="n">
        <f aca="false">G131</f>
        <v>33118</v>
      </c>
      <c r="H20" s="167" t="n">
        <f aca="false">H131</f>
        <v>-32.3207923183767</v>
      </c>
      <c r="I20" s="166" t="n">
        <f aca="false">I131</f>
        <v>38747</v>
      </c>
      <c r="J20" s="166" t="n">
        <f aca="false">J131</f>
        <v>165635</v>
      </c>
      <c r="K20" s="167" t="n">
        <f aca="false">K131</f>
        <v>-76.6069973133698</v>
      </c>
      <c r="L20" s="166" t="n">
        <f aca="false">L131</f>
        <v>0</v>
      </c>
      <c r="M20" s="166" t="n">
        <f aca="false">M131</f>
        <v>0</v>
      </c>
      <c r="N20" s="167" t="n">
        <f aca="false">N131</f>
        <v>0</v>
      </c>
      <c r="O20" s="166" t="n">
        <f aca="false">O131</f>
        <v>96</v>
      </c>
      <c r="P20" s="167" t="n">
        <f aca="false">P131</f>
        <v>76.5416666666667</v>
      </c>
      <c r="Q20" s="166" t="n">
        <f aca="false">Q131</f>
        <v>96</v>
      </c>
      <c r="R20" s="168" t="n">
        <f aca="false">O20*P20</f>
        <v>7348</v>
      </c>
    </row>
    <row r="21" customFormat="false" ht="32.25" hidden="false" customHeight="true" outlineLevel="0" collapsed="false">
      <c r="A21" s="163" t="n">
        <v>11</v>
      </c>
      <c r="B21" s="164" t="s">
        <v>25</v>
      </c>
      <c r="C21" s="161" t="n">
        <f aca="false">C190</f>
        <v>384812</v>
      </c>
      <c r="D21" s="166" t="n">
        <f aca="false">D190</f>
        <v>526778.5</v>
      </c>
      <c r="E21" s="167" t="n">
        <f aca="false">E190</f>
        <v>-26.9499419585272</v>
      </c>
      <c r="F21" s="166" t="n">
        <f aca="false">F190</f>
        <v>76655.4</v>
      </c>
      <c r="G21" s="166" t="n">
        <f aca="false">G190</f>
        <v>86320.8</v>
      </c>
      <c r="H21" s="167" t="n">
        <f aca="false">H190</f>
        <v>-11.1970695359635</v>
      </c>
      <c r="I21" s="166" t="n">
        <f aca="false">I190</f>
        <v>166264.6</v>
      </c>
      <c r="J21" s="166" t="n">
        <f aca="false">J190</f>
        <v>357615.3</v>
      </c>
      <c r="K21" s="167" t="n">
        <f aca="false">K190</f>
        <v>-53.5074142521307</v>
      </c>
      <c r="L21" s="166" t="n">
        <f aca="false">L190</f>
        <v>2408</v>
      </c>
      <c r="M21" s="166" t="n">
        <f aca="false">M190</f>
        <v>61839</v>
      </c>
      <c r="N21" s="167" t="n">
        <f aca="false">N190</f>
        <v>-96.1060172383124</v>
      </c>
      <c r="O21" s="166" t="n">
        <f aca="false">O190</f>
        <v>507</v>
      </c>
      <c r="P21" s="167" t="n">
        <f aca="false">P190</f>
        <v>147.987968441815</v>
      </c>
      <c r="Q21" s="166" t="n">
        <f aca="false">Q190</f>
        <v>510</v>
      </c>
      <c r="R21" s="168" t="n">
        <f aca="false">O21*P21</f>
        <v>75029.9</v>
      </c>
    </row>
    <row r="22" customFormat="false" ht="39.75" hidden="false" customHeight="true" outlineLevel="0" collapsed="false">
      <c r="A22" s="163" t="n">
        <v>12</v>
      </c>
      <c r="B22" s="164" t="s">
        <v>26</v>
      </c>
      <c r="C22" s="161" t="n">
        <f aca="false">C195</f>
        <v>76244</v>
      </c>
      <c r="D22" s="166" t="n">
        <f aca="false">D195</f>
        <v>43400</v>
      </c>
      <c r="E22" s="167" t="n">
        <f aca="false">E195</f>
        <v>75.6774193548387</v>
      </c>
      <c r="F22" s="166" t="n">
        <f aca="false">F195</f>
        <v>15372</v>
      </c>
      <c r="G22" s="166" t="n">
        <f aca="false">G195</f>
        <v>21637</v>
      </c>
      <c r="H22" s="167" t="n">
        <f aca="false">H195</f>
        <v>-28.9550307343902</v>
      </c>
      <c r="I22" s="166" t="n">
        <f aca="false">I195</f>
        <v>76242</v>
      </c>
      <c r="J22" s="166" t="n">
        <f aca="false">J195</f>
        <v>43400</v>
      </c>
      <c r="K22" s="167" t="n">
        <f aca="false">K195</f>
        <v>75.6728110599078</v>
      </c>
      <c r="L22" s="166" t="n">
        <f aca="false">L195</f>
        <v>57133</v>
      </c>
      <c r="M22" s="166" t="n">
        <f aca="false">M195</f>
        <v>33844</v>
      </c>
      <c r="N22" s="167" t="n">
        <f aca="false">N195</f>
        <v>68.8127880865146</v>
      </c>
      <c r="O22" s="166" t="n">
        <f aca="false">O195</f>
        <v>224</v>
      </c>
      <c r="P22" s="167" t="n">
        <f aca="false">P195</f>
        <v>162</v>
      </c>
      <c r="Q22" s="166" t="n">
        <f aca="false">Q195</f>
        <v>225</v>
      </c>
      <c r="R22" s="168" t="n">
        <f aca="false">O22*P22</f>
        <v>36288</v>
      </c>
    </row>
    <row r="23" s="174" customFormat="true" ht="15" hidden="false" customHeight="false" outlineLevel="0" collapsed="false">
      <c r="A23" s="307"/>
      <c r="B23" s="308" t="s">
        <v>27</v>
      </c>
      <c r="C23" s="309" t="n">
        <f aca="false">SUM(C10:C22)</f>
        <v>206710913</v>
      </c>
      <c r="D23" s="309" t="n">
        <f aca="false">SUM(D10:D22)</f>
        <v>189140581.5</v>
      </c>
      <c r="E23" s="310" t="n">
        <f aca="false">C23/D23*100-100</f>
        <v>9.28956195474106</v>
      </c>
      <c r="F23" s="309" t="n">
        <f aca="false">SUM(F10:F22)</f>
        <v>33643981.4</v>
      </c>
      <c r="G23" s="309" t="n">
        <f aca="false">SUM(G10:G22)</f>
        <v>32906252.8</v>
      </c>
      <c r="H23" s="310" t="n">
        <f aca="false">F23/G23*100-100</f>
        <v>2.24191008463899</v>
      </c>
      <c r="I23" s="309" t="n">
        <f aca="false">SUM(I10:I22)</f>
        <v>203172613.6</v>
      </c>
      <c r="J23" s="309" t="n">
        <f aca="false">SUM(J10:J22)</f>
        <v>184505019.3</v>
      </c>
      <c r="K23" s="310" t="n">
        <f aca="false">I23/J23*100-100</f>
        <v>10.1176620402109</v>
      </c>
      <c r="L23" s="309" t="n">
        <f aca="false">SUM(L10:L22)</f>
        <v>116897290</v>
      </c>
      <c r="M23" s="309" t="n">
        <f aca="false">SUM(M10:M22)</f>
        <v>123398356</v>
      </c>
      <c r="N23" s="310" t="n">
        <f aca="false">L23/M23*100-100</f>
        <v>-5.26835705979745</v>
      </c>
      <c r="O23" s="309" t="n">
        <f aca="false">SUM(O10:O22)</f>
        <v>20265</v>
      </c>
      <c r="P23" s="311" t="n">
        <f aca="false">R23/O23</f>
        <v>132.124150012337</v>
      </c>
      <c r="Q23" s="309" t="n">
        <f aca="false">SUM(Q10:Q22)</f>
        <v>20395</v>
      </c>
      <c r="R23" s="312" t="n">
        <f aca="false">SUM(R10:R22)</f>
        <v>2677495.9</v>
      </c>
    </row>
    <row r="24" customFormat="false" ht="67.5" hidden="false" customHeight="tru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0.75" hidden="true" customHeight="tru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5" hidden="true" customHeight="fals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0.75" hidden="true" customHeight="tru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tru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0.75" hidden="tru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33.75" hidden="false" customHeight="true" outlineLevel="0" collapsed="false">
      <c r="A30" s="178" t="s">
        <v>191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</row>
    <row r="31" customFormat="false" ht="6.75" hidden="true" customHeight="true" outlineLevel="0" collapsed="false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9"/>
    </row>
    <row r="32" customFormat="false" ht="3.75" hidden="true" customHeight="true" outlineLevel="0" collapsed="false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80"/>
    </row>
    <row r="33" customFormat="false" ht="19.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60" hidden="false" customHeight="true" outlineLevel="0" collapsed="false">
      <c r="A34" s="181"/>
      <c r="B34" s="182"/>
      <c r="C34" s="186" t="s">
        <v>9</v>
      </c>
      <c r="D34" s="186" t="s">
        <v>33</v>
      </c>
      <c r="E34" s="188" t="s">
        <v>189</v>
      </c>
      <c r="F34" s="186" t="s">
        <v>12</v>
      </c>
      <c r="G34" s="186" t="s">
        <v>35</v>
      </c>
      <c r="H34" s="188" t="s">
        <v>189</v>
      </c>
      <c r="I34" s="186" t="s">
        <v>13</v>
      </c>
      <c r="J34" s="186" t="s">
        <v>33</v>
      </c>
      <c r="K34" s="188" t="s">
        <v>189</v>
      </c>
      <c r="L34" s="186" t="s">
        <v>13</v>
      </c>
      <c r="M34" s="186" t="s">
        <v>33</v>
      </c>
      <c r="N34" s="188" t="s">
        <v>189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52349</v>
      </c>
      <c r="D37" s="200" t="n">
        <v>69296</v>
      </c>
      <c r="E37" s="201" t="n">
        <f aca="false">C37/D37*100-100</f>
        <v>-24.4559570537982</v>
      </c>
      <c r="F37" s="200" t="n">
        <v>9313</v>
      </c>
      <c r="G37" s="200" t="n">
        <v>16707</v>
      </c>
      <c r="H37" s="201" t="n">
        <f aca="false">F37/G37*100-100</f>
        <v>-44.2568983060992</v>
      </c>
      <c r="I37" s="200" t="n">
        <v>52349</v>
      </c>
      <c r="J37" s="200" t="n">
        <v>61796</v>
      </c>
      <c r="K37" s="201" t="n">
        <f aca="false">I37/J37*100-100</f>
        <v>-15.28739724254</v>
      </c>
      <c r="L37" s="200" t="n">
        <v>1672</v>
      </c>
      <c r="M37" s="200" t="n">
        <v>3649</v>
      </c>
      <c r="N37" s="201" t="n">
        <f aca="false">L37/M37*100-100</f>
        <v>-54.1792271855303</v>
      </c>
      <c r="O37" s="200" t="n">
        <v>82</v>
      </c>
      <c r="P37" s="200" t="n">
        <v>100</v>
      </c>
      <c r="Q37" s="200" t="n">
        <v>83</v>
      </c>
      <c r="R37" s="202" t="n">
        <f aca="false">O37*P37</f>
        <v>8200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107195</v>
      </c>
      <c r="D38" s="200" t="n">
        <v>158170</v>
      </c>
      <c r="E38" s="201" t="n">
        <f aca="false">C38/D38*100-100</f>
        <v>-32.2279825504204</v>
      </c>
      <c r="F38" s="200" t="n">
        <v>7568</v>
      </c>
      <c r="G38" s="200" t="n">
        <v>65635</v>
      </c>
      <c r="H38" s="201" t="n">
        <v>0</v>
      </c>
      <c r="I38" s="200" t="n">
        <v>107195</v>
      </c>
      <c r="J38" s="200" t="n">
        <v>158170</v>
      </c>
      <c r="K38" s="201" t="n">
        <f aca="false">I38/J38*100-100</f>
        <v>-32.2279825504204</v>
      </c>
      <c r="L38" s="200" t="n">
        <v>66497</v>
      </c>
      <c r="M38" s="200" t="n">
        <v>123347</v>
      </c>
      <c r="N38" s="201" t="n">
        <f aca="false">L38/M38*100-100</f>
        <v>-46.089487381128</v>
      </c>
      <c r="O38" s="203" t="n">
        <v>96</v>
      </c>
      <c r="P38" s="204" t="n">
        <v>177</v>
      </c>
      <c r="Q38" s="203" t="n">
        <v>96</v>
      </c>
      <c r="R38" s="202" t="n">
        <f aca="false">O38*P38</f>
        <v>16992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28263</v>
      </c>
      <c r="D39" s="200" t="n">
        <v>24125</v>
      </c>
      <c r="E39" s="201" t="n">
        <f aca="false">C39/D39*100-100</f>
        <v>17.1523316062176</v>
      </c>
      <c r="F39" s="200" t="n">
        <v>4347</v>
      </c>
      <c r="G39" s="200" t="n">
        <v>5314</v>
      </c>
      <c r="H39" s="201" t="n">
        <f aca="false">F39/G39*100-100</f>
        <v>-18.1972149040271</v>
      </c>
      <c r="I39" s="200" t="n">
        <v>35654</v>
      </c>
      <c r="J39" s="200" t="n">
        <v>52079</v>
      </c>
      <c r="K39" s="201" t="n">
        <f aca="false">I39/J39*100-100</f>
        <v>-31.5386240135179</v>
      </c>
      <c r="L39" s="200" t="n">
        <v>0</v>
      </c>
      <c r="M39" s="200" t="n">
        <v>0</v>
      </c>
      <c r="N39" s="201" t="n">
        <v>0</v>
      </c>
      <c r="O39" s="203" t="n">
        <v>30</v>
      </c>
      <c r="P39" s="204" t="n">
        <v>90</v>
      </c>
      <c r="Q39" s="203" t="n">
        <v>24</v>
      </c>
      <c r="R39" s="202" t="n">
        <f aca="false">O39*P39</f>
        <v>2700</v>
      </c>
    </row>
    <row r="40" customFormat="false" ht="15" hidden="false" customHeight="false" outlineLevel="0" collapsed="false">
      <c r="A40" s="198" t="n">
        <v>4</v>
      </c>
      <c r="B40" s="199" t="s">
        <v>41</v>
      </c>
      <c r="C40" s="200" t="n">
        <v>6030</v>
      </c>
      <c r="D40" s="200" t="n">
        <v>5180</v>
      </c>
      <c r="E40" s="201" t="n">
        <f aca="false">C40/D40*100-100</f>
        <v>16.4092664092664</v>
      </c>
      <c r="F40" s="200" t="n">
        <v>1000</v>
      </c>
      <c r="G40" s="200" t="n">
        <v>1600</v>
      </c>
      <c r="H40" s="201" t="n">
        <f aca="false">F40/G40*100-100</f>
        <v>-37.5</v>
      </c>
      <c r="I40" s="200" t="n">
        <v>11668</v>
      </c>
      <c r="J40" s="200" t="n">
        <v>3180</v>
      </c>
      <c r="K40" s="201" t="n">
        <f aca="false">I40/J40*100-100</f>
        <v>266.918238993711</v>
      </c>
      <c r="L40" s="200" t="n">
        <v>11668</v>
      </c>
      <c r="M40" s="200" t="n">
        <v>3180</v>
      </c>
      <c r="N40" s="201" t="n">
        <f aca="false">L40/M40*100-100</f>
        <v>266.918238993711</v>
      </c>
      <c r="O40" s="203"/>
      <c r="P40" s="204" t="n">
        <v>60</v>
      </c>
      <c r="Q40" s="203" t="n">
        <v>20</v>
      </c>
      <c r="R40" s="202" t="n">
        <f aca="false">O40*P40</f>
        <v>0</v>
      </c>
    </row>
    <row r="41" customFormat="false" ht="15" hidden="false" customHeight="false" outlineLevel="0" collapsed="false">
      <c r="A41" s="198" t="n">
        <v>5</v>
      </c>
      <c r="B41" s="199" t="s">
        <v>42</v>
      </c>
      <c r="C41" s="206" t="n">
        <v>18693</v>
      </c>
      <c r="D41" s="206" t="n">
        <v>22952</v>
      </c>
      <c r="E41" s="201" t="n">
        <f aca="false">C41/D41*100-100</f>
        <v>-18.556117113977</v>
      </c>
      <c r="F41" s="206" t="n">
        <v>3574</v>
      </c>
      <c r="G41" s="206" t="n">
        <v>5458</v>
      </c>
      <c r="H41" s="201" t="n">
        <f aca="false">F41/G41*100-100</f>
        <v>-34.5181385122756</v>
      </c>
      <c r="I41" s="206" t="n">
        <v>28733</v>
      </c>
      <c r="J41" s="206" t="n">
        <v>26634</v>
      </c>
      <c r="K41" s="201" t="n">
        <f aca="false">I41/J41*100-100</f>
        <v>7.88090410753173</v>
      </c>
      <c r="L41" s="206" t="n">
        <v>5045</v>
      </c>
      <c r="M41" s="206" t="n">
        <v>3293</v>
      </c>
      <c r="N41" s="201" t="n">
        <f aca="false">L41/M41*100-100</f>
        <v>53.2037655633161</v>
      </c>
      <c r="O41" s="203" t="n">
        <v>54</v>
      </c>
      <c r="P41" s="204" t="n">
        <v>70</v>
      </c>
      <c r="Q41" s="203" t="n">
        <v>54</v>
      </c>
      <c r="R41" s="202" t="n">
        <f aca="false">O41*P41</f>
        <v>3780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52158</v>
      </c>
      <c r="D42" s="200" t="n">
        <v>27567</v>
      </c>
      <c r="E42" s="201" t="n">
        <f aca="false">C42/D42*100-100</f>
        <v>89.2044836217216</v>
      </c>
      <c r="F42" s="200" t="n">
        <v>15809</v>
      </c>
      <c r="G42" s="200" t="n">
        <v>9649</v>
      </c>
      <c r="H42" s="201" t="n">
        <f aca="false">F42/G42*100-100</f>
        <v>63.8408125194321</v>
      </c>
      <c r="I42" s="200" t="n">
        <v>44848</v>
      </c>
      <c r="J42" s="200" t="n">
        <v>27919</v>
      </c>
      <c r="K42" s="201" t="n">
        <f aca="false">I42/J42*100-100</f>
        <v>60.6361259357427</v>
      </c>
      <c r="L42" s="200" t="n">
        <v>0</v>
      </c>
      <c r="M42" s="200" t="n">
        <v>0</v>
      </c>
      <c r="N42" s="201" t="n">
        <v>0</v>
      </c>
      <c r="O42" s="203" t="n">
        <v>64</v>
      </c>
      <c r="P42" s="204" t="n">
        <v>75</v>
      </c>
      <c r="Q42" s="203" t="n">
        <v>63</v>
      </c>
      <c r="R42" s="202" t="n">
        <f aca="false">O42*P42</f>
        <v>4800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0</v>
      </c>
      <c r="D43" s="200" t="n">
        <v>0</v>
      </c>
      <c r="E43" s="201" t="n">
        <v>0</v>
      </c>
      <c r="F43" s="200" t="n">
        <v>0</v>
      </c>
      <c r="G43" s="200" t="n">
        <v>0</v>
      </c>
      <c r="H43" s="201" t="n">
        <v>0</v>
      </c>
      <c r="I43" s="200" t="n">
        <v>0</v>
      </c>
      <c r="J43" s="200" t="n">
        <v>0</v>
      </c>
      <c r="K43" s="201" t="n">
        <v>0</v>
      </c>
      <c r="L43" s="200" t="n">
        <v>0</v>
      </c>
      <c r="M43" s="200" t="n">
        <v>0</v>
      </c>
      <c r="N43" s="201" t="n">
        <v>0</v>
      </c>
      <c r="O43" s="203" t="n">
        <v>23</v>
      </c>
      <c r="P43" s="204" t="n">
        <v>71</v>
      </c>
      <c r="Q43" s="203" t="n">
        <v>23</v>
      </c>
      <c r="R43" s="202" t="n">
        <f aca="false">O43*P43</f>
        <v>1633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6" t="n">
        <v>57632</v>
      </c>
      <c r="D44" s="206" t="n">
        <v>33198</v>
      </c>
      <c r="E44" s="201" t="n">
        <f aca="false">C44/D44*100-100</f>
        <v>73.6008193264655</v>
      </c>
      <c r="F44" s="206" t="n">
        <v>16372</v>
      </c>
      <c r="G44" s="206" t="n">
        <v>7998</v>
      </c>
      <c r="H44" s="201" t="n">
        <f aca="false">F44/G44*100-100</f>
        <v>104.701175293823</v>
      </c>
      <c r="I44" s="206" t="n">
        <v>57139</v>
      </c>
      <c r="J44" s="206" t="n">
        <v>35872</v>
      </c>
      <c r="K44" s="201" t="n">
        <f aca="false">I44/J44*100-100</f>
        <v>59.2857939339875</v>
      </c>
      <c r="L44" s="200" t="n">
        <v>0</v>
      </c>
      <c r="M44" s="200" t="n">
        <v>0</v>
      </c>
      <c r="N44" s="201" t="n">
        <v>0</v>
      </c>
      <c r="O44" s="203" t="n">
        <v>59</v>
      </c>
      <c r="P44" s="204" t="n">
        <v>82</v>
      </c>
      <c r="Q44" s="203" t="n">
        <v>58</v>
      </c>
      <c r="R44" s="202" t="n">
        <f aca="false">O44*P44</f>
        <v>4838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88995</v>
      </c>
      <c r="D45" s="200" t="n">
        <v>97174</v>
      </c>
      <c r="E45" s="201" t="n">
        <f aca="false">C45/D45*100-100</f>
        <v>-8.41686047708234</v>
      </c>
      <c r="F45" s="208" t="n">
        <v>31888</v>
      </c>
      <c r="G45" s="200" t="n">
        <v>18255</v>
      </c>
      <c r="H45" s="201" t="n">
        <f aca="false">F45/G45*100-100</f>
        <v>74.6809093399069</v>
      </c>
      <c r="I45" s="200" t="n">
        <v>54435</v>
      </c>
      <c r="J45" s="209" t="n">
        <v>91905</v>
      </c>
      <c r="K45" s="201" t="n">
        <f aca="false">I45/J45*100-100</f>
        <v>-40.7703606985474</v>
      </c>
      <c r="L45" s="200" t="n">
        <v>0</v>
      </c>
      <c r="M45" s="200" t="n">
        <v>0</v>
      </c>
      <c r="N45" s="201" t="n">
        <v>0</v>
      </c>
      <c r="O45" s="203" t="n">
        <v>75</v>
      </c>
      <c r="P45" s="204" t="n">
        <v>130</v>
      </c>
      <c r="Q45" s="203" t="n">
        <v>64</v>
      </c>
      <c r="R45" s="202" t="n">
        <f aca="false">O45*P45</f>
        <v>9750</v>
      </c>
    </row>
    <row r="46" s="211" customFormat="true" ht="15" hidden="false" customHeight="false" outlineLevel="0" collapsed="false">
      <c r="A46" s="210" t="n">
        <v>10</v>
      </c>
      <c r="B46" s="199" t="s">
        <v>47</v>
      </c>
      <c r="C46" s="208" t="n">
        <v>285419</v>
      </c>
      <c r="D46" s="200" t="n">
        <v>548554</v>
      </c>
      <c r="E46" s="201" t="n">
        <f aca="false">C46/D46*100-100</f>
        <v>-47.9688417184088</v>
      </c>
      <c r="F46" s="208" t="n">
        <v>7680</v>
      </c>
      <c r="G46" s="200" t="n">
        <v>0</v>
      </c>
      <c r="H46" s="201" t="n">
        <v>0</v>
      </c>
      <c r="I46" s="200" t="n">
        <v>302212</v>
      </c>
      <c r="J46" s="200" t="n">
        <v>416928</v>
      </c>
      <c r="K46" s="201" t="n">
        <f aca="false">I46/J46*100-100</f>
        <v>-27.5145828536342</v>
      </c>
      <c r="L46" s="200" t="n">
        <v>299889</v>
      </c>
      <c r="M46" s="200" t="n">
        <v>415199</v>
      </c>
      <c r="N46" s="201" t="n">
        <f aca="false">L46/M46*100-100</f>
        <v>-27.7722248849347</v>
      </c>
      <c r="O46" s="203" t="n">
        <v>188</v>
      </c>
      <c r="P46" s="204" t="n">
        <v>84</v>
      </c>
      <c r="Q46" s="203" t="n">
        <v>190</v>
      </c>
      <c r="R46" s="202" t="n">
        <f aca="false">O46*P46</f>
        <v>15792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0</v>
      </c>
      <c r="D47" s="200" t="n">
        <v>0</v>
      </c>
      <c r="E47" s="201" t="n">
        <v>0</v>
      </c>
      <c r="F47" s="200" t="n">
        <v>0</v>
      </c>
      <c r="G47" s="200" t="n">
        <v>0</v>
      </c>
      <c r="H47" s="201" t="n">
        <v>0</v>
      </c>
      <c r="I47" s="200" t="n">
        <v>0</v>
      </c>
      <c r="J47" s="200" t="n">
        <v>0</v>
      </c>
      <c r="K47" s="201" t="n">
        <v>0</v>
      </c>
      <c r="L47" s="200" t="n">
        <v>0</v>
      </c>
      <c r="M47" s="200" t="n">
        <v>0</v>
      </c>
      <c r="N47" s="201" t="n">
        <v>0</v>
      </c>
      <c r="O47" s="203" t="n">
        <v>8</v>
      </c>
      <c r="P47" s="204" t="n">
        <v>80</v>
      </c>
      <c r="Q47" s="203" t="n">
        <v>8</v>
      </c>
      <c r="R47" s="202" t="n">
        <f aca="false">O47*P47</f>
        <v>640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42701</v>
      </c>
      <c r="D48" s="200" t="n">
        <v>38956</v>
      </c>
      <c r="E48" s="201" t="n">
        <f aca="false">C48/D48*100-100</f>
        <v>9.61341000102681</v>
      </c>
      <c r="F48" s="212" t="n">
        <v>16498</v>
      </c>
      <c r="G48" s="212" t="n">
        <v>6128</v>
      </c>
      <c r="H48" s="201" t="n">
        <f aca="false">F48/G48*100-100</f>
        <v>169.223237597911</v>
      </c>
      <c r="I48" s="212" t="n">
        <v>47820</v>
      </c>
      <c r="J48" s="212" t="n">
        <v>33178</v>
      </c>
      <c r="K48" s="201" t="n">
        <f aca="false">I48/J48*100-100</f>
        <v>44.1316535053349</v>
      </c>
      <c r="L48" s="213" t="n">
        <v>40404</v>
      </c>
      <c r="M48" s="212" t="n">
        <v>33178</v>
      </c>
      <c r="N48" s="201" t="n">
        <f aca="false">L48/M48*100-100</f>
        <v>21.7794924347459</v>
      </c>
      <c r="O48" s="203" t="n">
        <v>27</v>
      </c>
      <c r="P48" s="204" t="n">
        <v>138</v>
      </c>
      <c r="Q48" s="203" t="n">
        <v>26</v>
      </c>
      <c r="R48" s="202" t="n">
        <f aca="false">O48*P48</f>
        <v>3726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133783</v>
      </c>
      <c r="D49" s="207" t="n">
        <v>161500</v>
      </c>
      <c r="E49" s="201" t="n">
        <f aca="false">C49/D49*100-100</f>
        <v>-17.1622291021672</v>
      </c>
      <c r="F49" s="207" t="n">
        <v>25881</v>
      </c>
      <c r="G49" s="207" t="n">
        <v>28559</v>
      </c>
      <c r="H49" s="201" t="n">
        <f aca="false">F49/G49*100-100</f>
        <v>-9.37707902937778</v>
      </c>
      <c r="I49" s="200" t="n">
        <v>128845</v>
      </c>
      <c r="J49" s="200" t="n">
        <v>150963</v>
      </c>
      <c r="K49" s="201" t="n">
        <f aca="false">I49/J49*100-100</f>
        <v>-14.6512721660274</v>
      </c>
      <c r="L49" s="207" t="n">
        <v>0</v>
      </c>
      <c r="M49" s="207" t="n">
        <v>0</v>
      </c>
      <c r="N49" s="201" t="n">
        <v>0</v>
      </c>
      <c r="O49" s="203" t="n">
        <v>75</v>
      </c>
      <c r="P49" s="204" t="n">
        <v>151</v>
      </c>
      <c r="Q49" s="203" t="n">
        <v>73</v>
      </c>
      <c r="R49" s="202" t="n">
        <f aca="false">O49*P49</f>
        <v>11325</v>
      </c>
    </row>
    <row r="50" customFormat="false" ht="15" hidden="false" customHeight="false" outlineLevel="0" collapsed="false">
      <c r="A50" s="198" t="n">
        <v>14</v>
      </c>
      <c r="B50" s="199" t="s">
        <v>51</v>
      </c>
      <c r="C50" s="203" t="n">
        <v>8972</v>
      </c>
      <c r="D50" s="203" t="n">
        <v>8115</v>
      </c>
      <c r="E50" s="201" t="n">
        <f aca="false">C50/D50*100-100</f>
        <v>10.5606900800986</v>
      </c>
      <c r="F50" s="203" t="n">
        <v>1316</v>
      </c>
      <c r="G50" s="203" t="n">
        <v>1445</v>
      </c>
      <c r="H50" s="201" t="n">
        <f aca="false">F50/G50*100-100</f>
        <v>-8.92733564013841</v>
      </c>
      <c r="I50" s="203" t="n">
        <v>7880</v>
      </c>
      <c r="J50" s="203" t="n">
        <v>9504</v>
      </c>
      <c r="K50" s="201" t="n">
        <f aca="false">I50/J50*100-100</f>
        <v>-17.0875420875421</v>
      </c>
      <c r="L50" s="203" t="n">
        <v>1576</v>
      </c>
      <c r="M50" s="203" t="n">
        <v>0</v>
      </c>
      <c r="N50" s="201" t="n">
        <v>0</v>
      </c>
      <c r="O50" s="203" t="n">
        <v>13</v>
      </c>
      <c r="P50" s="204" t="n">
        <v>80</v>
      </c>
      <c r="Q50" s="203" t="n">
        <v>13</v>
      </c>
      <c r="R50" s="202" t="n">
        <f aca="false">O50*P50</f>
        <v>1040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82238</v>
      </c>
      <c r="D51" s="203" t="n">
        <v>48269</v>
      </c>
      <c r="E51" s="201" t="n">
        <f aca="false">C51/D51*100-100</f>
        <v>70.3743603555077</v>
      </c>
      <c r="F51" s="203" t="n">
        <v>30154</v>
      </c>
      <c r="G51" s="203" t="n">
        <v>27444</v>
      </c>
      <c r="H51" s="201" t="n">
        <f aca="false">F51/G51*100-100</f>
        <v>9.87465384054802</v>
      </c>
      <c r="I51" s="203" t="n">
        <v>90706</v>
      </c>
      <c r="J51" s="203" t="n">
        <v>96009</v>
      </c>
      <c r="K51" s="201" t="n">
        <f aca="false">I51/J51*100-100</f>
        <v>-5.52344051078545</v>
      </c>
      <c r="L51" s="203" t="n">
        <v>84873</v>
      </c>
      <c r="M51" s="203" t="n">
        <v>95240</v>
      </c>
      <c r="N51" s="201" t="n">
        <f aca="false">L51/M51*100-100</f>
        <v>-10.885132297354</v>
      </c>
      <c r="O51" s="203" t="n">
        <v>52</v>
      </c>
      <c r="P51" s="204" t="n">
        <v>96</v>
      </c>
      <c r="Q51" s="203" t="n">
        <v>54</v>
      </c>
      <c r="R51" s="202" t="n">
        <f aca="false">O51*P51</f>
        <v>4992</v>
      </c>
    </row>
    <row r="52" customFormat="false" ht="15" hidden="false" customHeight="false" outlineLevel="0" collapsed="false">
      <c r="A52" s="198" t="n">
        <v>16</v>
      </c>
      <c r="B52" s="199" t="s">
        <v>53</v>
      </c>
      <c r="C52" s="200" t="n">
        <v>1412</v>
      </c>
      <c r="D52" s="209" t="n">
        <v>1020</v>
      </c>
      <c r="E52" s="201" t="n">
        <f aca="false">C52/D52*100-100</f>
        <v>38.4313725490196</v>
      </c>
      <c r="F52" s="200" t="n">
        <v>150</v>
      </c>
      <c r="G52" s="200" t="n">
        <v>220</v>
      </c>
      <c r="H52" s="201" t="n">
        <f aca="false">F52/G52*100-100</f>
        <v>-31.8181818181818</v>
      </c>
      <c r="I52" s="200" t="n">
        <v>1310</v>
      </c>
      <c r="J52" s="200" t="n">
        <v>1020</v>
      </c>
      <c r="K52" s="201" t="n">
        <f aca="false">I52/J52*100-100</f>
        <v>28.4313725490196</v>
      </c>
      <c r="L52" s="200" t="n">
        <v>0</v>
      </c>
      <c r="M52" s="200" t="n">
        <v>0</v>
      </c>
      <c r="N52" s="201" t="n">
        <v>0</v>
      </c>
      <c r="O52" s="203" t="n">
        <v>3</v>
      </c>
      <c r="P52" s="204" t="n">
        <v>45</v>
      </c>
      <c r="Q52" s="203" t="n">
        <v>3</v>
      </c>
      <c r="R52" s="202" t="n">
        <f aca="false">O52*P52</f>
        <v>135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0</v>
      </c>
      <c r="D53" s="203" t="n">
        <v>282000</v>
      </c>
      <c r="E53" s="201" t="n">
        <v>0</v>
      </c>
      <c r="F53" s="203" t="n">
        <v>0</v>
      </c>
      <c r="G53" s="203" t="n">
        <v>150000</v>
      </c>
      <c r="H53" s="201" t="n">
        <v>0</v>
      </c>
      <c r="I53" s="203" t="n">
        <v>1008108</v>
      </c>
      <c r="J53" s="203" t="n">
        <v>45620</v>
      </c>
      <c r="K53" s="223" t="n">
        <f aca="false">I53/J53*100-100</f>
        <v>2109.79395002192</v>
      </c>
      <c r="L53" s="203" t="n">
        <v>0</v>
      </c>
      <c r="M53" s="203" t="n">
        <v>0</v>
      </c>
      <c r="N53" s="201" t="n">
        <v>0</v>
      </c>
      <c r="O53" s="203" t="n">
        <v>4</v>
      </c>
      <c r="P53" s="204" t="n">
        <v>70</v>
      </c>
      <c r="Q53" s="203" t="n">
        <v>4</v>
      </c>
      <c r="R53" s="202" t="n">
        <f aca="false">O53*P53</f>
        <v>280</v>
      </c>
    </row>
    <row r="54" customFormat="false" ht="15" hidden="false" customHeight="false" outlineLevel="0" collapsed="false">
      <c r="A54" s="215" t="s">
        <v>55</v>
      </c>
      <c r="B54" s="215"/>
      <c r="C54" s="216" t="n">
        <f aca="false">SUM(C37:C53)</f>
        <v>965840</v>
      </c>
      <c r="D54" s="216" t="n">
        <f aca="false">SUM(D37:D53)</f>
        <v>1526076</v>
      </c>
      <c r="E54" s="313" t="n">
        <f aca="false">C54/D54*100-100</f>
        <v>-36.7108846479468</v>
      </c>
      <c r="F54" s="216" t="n">
        <f aca="false">SUM(F37:F53)</f>
        <v>171550</v>
      </c>
      <c r="G54" s="216" t="n">
        <f aca="false">SUM(G37:G52)</f>
        <v>194412</v>
      </c>
      <c r="H54" s="313" t="n">
        <f aca="false">F54/G54*100-100</f>
        <v>-11.7595621669444</v>
      </c>
      <c r="I54" s="216" t="n">
        <f aca="false">SUM(I37:I53)</f>
        <v>1978902</v>
      </c>
      <c r="J54" s="216" t="n">
        <f aca="false">SUM(J37:J53)</f>
        <v>1210777</v>
      </c>
      <c r="K54" s="313" t="n">
        <f aca="false">I54/J54*100-100</f>
        <v>63.4406666132574</v>
      </c>
      <c r="L54" s="216" t="n">
        <f aca="false">SUM(L37:L53)</f>
        <v>511624</v>
      </c>
      <c r="M54" s="216" t="n">
        <f aca="false">SUM(M37:M53)</f>
        <v>677086</v>
      </c>
      <c r="N54" s="313" t="n">
        <f aca="false">L54/M54*100-100</f>
        <v>-24.4373683697492</v>
      </c>
      <c r="O54" s="216" t="n">
        <f aca="false">SUM(O37:O53)</f>
        <v>853</v>
      </c>
      <c r="P54" s="217" t="n">
        <f aca="false">R54/O54</f>
        <v>106.240328253224</v>
      </c>
      <c r="Q54" s="216" t="n">
        <f aca="false">SUM(Q37:Q53)</f>
        <v>856</v>
      </c>
      <c r="R54" s="216" t="n">
        <f aca="false">SUM(R37:R53)</f>
        <v>90623</v>
      </c>
    </row>
    <row r="55" customFormat="false" ht="15" hidden="false" customHeight="false" outlineLevel="0" collapsed="false">
      <c r="A55" s="203"/>
      <c r="B55" s="218"/>
      <c r="C55" s="203"/>
      <c r="D55" s="203"/>
      <c r="E55" s="203"/>
      <c r="F55" s="203"/>
      <c r="G55" s="203"/>
      <c r="H55" s="203"/>
      <c r="I55" s="203"/>
      <c r="J55" s="203"/>
      <c r="K55" s="192"/>
      <c r="L55" s="203"/>
      <c r="M55" s="203"/>
      <c r="N55" s="203"/>
      <c r="O55" s="203"/>
      <c r="P55" s="219"/>
      <c r="Q55" s="203"/>
      <c r="R55" s="197"/>
    </row>
    <row r="56" customFormat="false" ht="15" hidden="false" customHeight="false" outlineLevel="0" collapsed="false">
      <c r="A56" s="195" t="s">
        <v>56</v>
      </c>
      <c r="B56" s="195"/>
      <c r="C56" s="195" t="n">
        <v>3</v>
      </c>
      <c r="D56" s="195" t="n">
        <v>4</v>
      </c>
      <c r="E56" s="196" t="n">
        <v>5</v>
      </c>
      <c r="F56" s="195" t="n">
        <v>6</v>
      </c>
      <c r="G56" s="195" t="n">
        <v>7</v>
      </c>
      <c r="H56" s="195" t="n">
        <v>8</v>
      </c>
      <c r="I56" s="195" t="n">
        <v>9</v>
      </c>
      <c r="J56" s="195" t="n">
        <v>10</v>
      </c>
      <c r="K56" s="195" t="n">
        <v>11</v>
      </c>
      <c r="L56" s="195" t="n">
        <v>12</v>
      </c>
      <c r="M56" s="195" t="n">
        <v>13</v>
      </c>
      <c r="N56" s="195" t="n">
        <v>14</v>
      </c>
      <c r="O56" s="195" t="n">
        <v>15</v>
      </c>
      <c r="P56" s="196" t="n">
        <v>16</v>
      </c>
      <c r="Q56" s="195" t="n">
        <v>15</v>
      </c>
      <c r="R56" s="197"/>
    </row>
    <row r="57" customFormat="false" ht="15" hidden="false" customHeight="false" outlineLevel="0" collapsed="false">
      <c r="A57" s="204" t="n">
        <v>1</v>
      </c>
      <c r="B57" s="220" t="s">
        <v>57</v>
      </c>
      <c r="C57" s="221" t="n">
        <v>181101</v>
      </c>
      <c r="D57" s="222" t="n">
        <v>225724</v>
      </c>
      <c r="E57" s="201" t="n">
        <f aca="false">C57/D57*100-100</f>
        <v>-19.7688327337811</v>
      </c>
      <c r="F57" s="222" t="n">
        <v>61688</v>
      </c>
      <c r="G57" s="223" t="n">
        <v>30861</v>
      </c>
      <c r="H57" s="223" t="n">
        <f aca="false">F57/G57*100-100</f>
        <v>99.8898285862416</v>
      </c>
      <c r="I57" s="222" t="n">
        <v>188036</v>
      </c>
      <c r="J57" s="222" t="n">
        <v>204597</v>
      </c>
      <c r="K57" s="201" t="n">
        <f aca="false">I57/J57*100-100</f>
        <v>-8.09444908771879</v>
      </c>
      <c r="L57" s="222" t="n">
        <v>187209</v>
      </c>
      <c r="M57" s="222" t="n">
        <v>214979</v>
      </c>
      <c r="N57" s="201" t="n">
        <f aca="false">L57/M57*100-100</f>
        <v>-12.9175407830532</v>
      </c>
      <c r="O57" s="223" t="n">
        <v>158</v>
      </c>
      <c r="P57" s="222" t="n">
        <v>68</v>
      </c>
      <c r="Q57" s="223" t="n">
        <v>150</v>
      </c>
      <c r="R57" s="202" t="n">
        <f aca="false">O57*P57</f>
        <v>10744</v>
      </c>
    </row>
    <row r="58" customFormat="false" ht="15" hidden="false" customHeight="false" outlineLevel="0" collapsed="false">
      <c r="A58" s="224" t="n">
        <v>2</v>
      </c>
      <c r="B58" s="220" t="s">
        <v>58</v>
      </c>
      <c r="C58" s="200" t="n">
        <v>54359</v>
      </c>
      <c r="D58" s="200" t="n">
        <v>33609</v>
      </c>
      <c r="E58" s="201" t="n">
        <f aca="false">C58/D58*100-100</f>
        <v>61.7394150376387</v>
      </c>
      <c r="F58" s="223" t="n">
        <v>33731</v>
      </c>
      <c r="G58" s="223" t="n">
        <v>1063</v>
      </c>
      <c r="H58" s="223" t="n">
        <f aca="false">F58/G58*100-100</f>
        <v>3073.18908748824</v>
      </c>
      <c r="I58" s="223" t="n">
        <v>23159</v>
      </c>
      <c r="J58" s="223" t="n">
        <v>45186</v>
      </c>
      <c r="K58" s="201" t="n">
        <f aca="false">I58/J58*100-100</f>
        <v>-48.7473996370557</v>
      </c>
      <c r="L58" s="223" t="n">
        <v>0</v>
      </c>
      <c r="M58" s="223" t="n">
        <v>0</v>
      </c>
      <c r="N58" s="201" t="n">
        <v>0</v>
      </c>
      <c r="O58" s="223" t="n">
        <v>118</v>
      </c>
      <c r="P58" s="223" t="n">
        <v>105</v>
      </c>
      <c r="Q58" s="223" t="n">
        <v>118</v>
      </c>
      <c r="R58" s="202" t="n">
        <f aca="false">O58*P58</f>
        <v>12390</v>
      </c>
    </row>
    <row r="59" customFormat="false" ht="15" hidden="false" customHeight="false" outlineLevel="0" collapsed="false">
      <c r="A59" s="224" t="n">
        <v>3</v>
      </c>
      <c r="B59" s="220" t="s">
        <v>59</v>
      </c>
      <c r="C59" s="223" t="n">
        <v>113605</v>
      </c>
      <c r="D59" s="223" t="n">
        <v>84632</v>
      </c>
      <c r="E59" s="201" t="n">
        <f aca="false">C59/D59*100-100</f>
        <v>34.2340958502694</v>
      </c>
      <c r="F59" s="223" t="n">
        <v>36010</v>
      </c>
      <c r="G59" s="223" t="n">
        <v>26708</v>
      </c>
      <c r="H59" s="201" t="n">
        <f aca="false">F59/G59*100-100</f>
        <v>34.8285158005092</v>
      </c>
      <c r="I59" s="223" t="n">
        <v>113605</v>
      </c>
      <c r="J59" s="223" t="n">
        <v>84632</v>
      </c>
      <c r="K59" s="201" t="n">
        <f aca="false">I59/J59*100-100</f>
        <v>34.2340958502694</v>
      </c>
      <c r="L59" s="223" t="n">
        <v>0</v>
      </c>
      <c r="M59" s="223" t="n">
        <v>0</v>
      </c>
      <c r="N59" s="201" t="n">
        <v>0</v>
      </c>
      <c r="O59" s="223" t="n">
        <v>101</v>
      </c>
      <c r="P59" s="223" t="n">
        <v>50</v>
      </c>
      <c r="Q59" s="223" t="n">
        <v>85</v>
      </c>
      <c r="R59" s="202" t="n">
        <f aca="false">O59*P59</f>
        <v>5050</v>
      </c>
    </row>
    <row r="60" customFormat="false" ht="15" hidden="false" customHeight="false" outlineLevel="0" collapsed="false">
      <c r="A60" s="204" t="n">
        <v>4</v>
      </c>
      <c r="B60" s="220" t="s">
        <v>60</v>
      </c>
      <c r="C60" s="223" t="n">
        <v>118289</v>
      </c>
      <c r="D60" s="223" t="n">
        <v>147573</v>
      </c>
      <c r="E60" s="201" t="n">
        <f aca="false">C60/D60*100-100</f>
        <v>-19.8437383532218</v>
      </c>
      <c r="F60" s="223" t="n">
        <v>30083</v>
      </c>
      <c r="G60" s="223" t="n">
        <v>26071</v>
      </c>
      <c r="H60" s="201" t="n">
        <f aca="false">F60/G60*100-100</f>
        <v>15.3887461163745</v>
      </c>
      <c r="I60" s="206" t="n">
        <v>117862</v>
      </c>
      <c r="J60" s="206" t="n">
        <v>157353</v>
      </c>
      <c r="K60" s="201" t="n">
        <f aca="false">I60/J60*100-100</f>
        <v>-25.0970747300655</v>
      </c>
      <c r="L60" s="223" t="n">
        <f aca="false">33075+1051</f>
        <v>34126</v>
      </c>
      <c r="M60" s="223" t="n">
        <v>96603</v>
      </c>
      <c r="N60" s="201" t="n">
        <v>0</v>
      </c>
      <c r="O60" s="223" t="n">
        <v>71</v>
      </c>
      <c r="P60" s="223" t="n">
        <v>124</v>
      </c>
      <c r="Q60" s="223" t="n">
        <v>71</v>
      </c>
      <c r="R60" s="202" t="n">
        <f aca="false">O60*P60</f>
        <v>8804</v>
      </c>
    </row>
    <row r="61" customFormat="false" ht="15" hidden="false" customHeight="false" outlineLevel="0" collapsed="false">
      <c r="A61" s="224" t="n">
        <v>5</v>
      </c>
      <c r="B61" s="220" t="s">
        <v>61</v>
      </c>
      <c r="C61" s="200" t="n">
        <v>0</v>
      </c>
      <c r="D61" s="200" t="n">
        <v>0</v>
      </c>
      <c r="E61" s="201" t="n">
        <v>0</v>
      </c>
      <c r="F61" s="200" t="n">
        <v>0</v>
      </c>
      <c r="G61" s="200" t="n">
        <v>0</v>
      </c>
      <c r="H61" s="201" t="n">
        <v>0</v>
      </c>
      <c r="I61" s="200" t="n">
        <v>0</v>
      </c>
      <c r="J61" s="200" t="n">
        <v>0</v>
      </c>
      <c r="K61" s="201" t="n">
        <v>0</v>
      </c>
      <c r="L61" s="200" t="n">
        <v>0</v>
      </c>
      <c r="M61" s="200" t="n">
        <v>0</v>
      </c>
      <c r="N61" s="201" t="n">
        <v>0</v>
      </c>
      <c r="O61" s="203" t="n">
        <v>0</v>
      </c>
      <c r="P61" s="204" t="n">
        <v>0</v>
      </c>
      <c r="Q61" s="203" t="n">
        <v>0</v>
      </c>
      <c r="R61" s="202" t="n">
        <f aca="false">O61*P61</f>
        <v>0</v>
      </c>
    </row>
    <row r="62" customFormat="false" ht="15" hidden="false" customHeight="false" outlineLevel="0" collapsed="false">
      <c r="A62" s="224" t="n">
        <v>6</v>
      </c>
      <c r="B62" s="220" t="s">
        <v>62</v>
      </c>
      <c r="C62" s="223" t="n">
        <v>24242</v>
      </c>
      <c r="D62" s="223" t="n">
        <v>21492</v>
      </c>
      <c r="E62" s="201" t="n">
        <f aca="false">C62/D62*100-100</f>
        <v>12.7954587753583</v>
      </c>
      <c r="F62" s="223" t="n">
        <v>4975</v>
      </c>
      <c r="G62" s="223" t="n">
        <v>4574</v>
      </c>
      <c r="H62" s="201" t="n">
        <f aca="false">F62/G62*100-100</f>
        <v>8.76694359422825</v>
      </c>
      <c r="I62" s="223" t="n">
        <v>24136</v>
      </c>
      <c r="J62" s="223" t="n">
        <v>23851</v>
      </c>
      <c r="K62" s="201" t="n">
        <f aca="false">I62/J62*100-100</f>
        <v>1.19491845205653</v>
      </c>
      <c r="L62" s="223" t="n">
        <v>24136</v>
      </c>
      <c r="M62" s="223" t="n">
        <v>23716</v>
      </c>
      <c r="N62" s="201" t="n">
        <f aca="false">L62/M62*100-100</f>
        <v>1.77095631641086</v>
      </c>
      <c r="O62" s="223" t="n">
        <v>44</v>
      </c>
      <c r="P62" s="223" t="n">
        <v>56</v>
      </c>
      <c r="Q62" s="223" t="n">
        <v>43</v>
      </c>
      <c r="R62" s="202" t="n">
        <f aca="false">O62*P62</f>
        <v>2464</v>
      </c>
    </row>
    <row r="63" s="211" customFormat="true" ht="15" hidden="false" customHeight="false" outlineLevel="0" collapsed="false">
      <c r="A63" s="204" t="n">
        <v>7</v>
      </c>
      <c r="B63" s="220" t="s">
        <v>63</v>
      </c>
      <c r="C63" s="200" t="n">
        <v>12139</v>
      </c>
      <c r="D63" s="200" t="n">
        <v>18656</v>
      </c>
      <c r="E63" s="201" t="n">
        <f aca="false">C63/D63*100-100</f>
        <v>-34.932461406518</v>
      </c>
      <c r="F63" s="200" t="n">
        <v>5832</v>
      </c>
      <c r="G63" s="200" t="n">
        <v>0</v>
      </c>
      <c r="H63" s="201" t="n">
        <v>0</v>
      </c>
      <c r="I63" s="200" t="n">
        <v>23704</v>
      </c>
      <c r="J63" s="200" t="n">
        <v>27976</v>
      </c>
      <c r="K63" s="201" t="n">
        <f aca="false">I63/J63*100-100</f>
        <v>-15.270231627109</v>
      </c>
      <c r="L63" s="225" t="n">
        <v>23679</v>
      </c>
      <c r="M63" s="200" t="n">
        <v>27937</v>
      </c>
      <c r="N63" s="201" t="n">
        <f aca="false">L63/M63*100-100</f>
        <v>-15.2414360883416</v>
      </c>
      <c r="O63" s="223" t="n">
        <v>33</v>
      </c>
      <c r="P63" s="223" t="n">
        <v>50</v>
      </c>
      <c r="Q63" s="223" t="n">
        <v>34</v>
      </c>
      <c r="R63" s="202" t="n">
        <f aca="false">O63*P63</f>
        <v>1650</v>
      </c>
    </row>
    <row r="64" customFormat="false" ht="15" hidden="false" customHeight="false" outlineLevel="0" collapsed="false">
      <c r="A64" s="224" t="n">
        <v>8</v>
      </c>
      <c r="B64" s="220" t="s">
        <v>64</v>
      </c>
      <c r="C64" s="226" t="n">
        <v>94800</v>
      </c>
      <c r="D64" s="200" t="n">
        <v>98900</v>
      </c>
      <c r="E64" s="201" t="n">
        <f aca="false">C64/D64*100-100</f>
        <v>-4.14560161779576</v>
      </c>
      <c r="F64" s="200" t="n">
        <v>10700</v>
      </c>
      <c r="G64" s="227" t="n">
        <v>30000</v>
      </c>
      <c r="H64" s="201" t="n">
        <v>0</v>
      </c>
      <c r="I64" s="200" t="n">
        <v>127822</v>
      </c>
      <c r="J64" s="227" t="n">
        <v>143211</v>
      </c>
      <c r="K64" s="201" t="n">
        <f aca="false">I64/J64*100-100</f>
        <v>-10.7456829433493</v>
      </c>
      <c r="L64" s="200" t="n">
        <v>127822</v>
      </c>
      <c r="M64" s="227" t="n">
        <v>143211</v>
      </c>
      <c r="N64" s="201" t="n">
        <f aca="false">L64/M64*100-100</f>
        <v>-10.7456829433493</v>
      </c>
      <c r="O64" s="223" t="n">
        <v>35</v>
      </c>
      <c r="P64" s="222" t="n">
        <v>85</v>
      </c>
      <c r="Q64" s="223" t="n">
        <v>25</v>
      </c>
      <c r="R64" s="202" t="n">
        <f aca="false">O64*P64</f>
        <v>2975</v>
      </c>
    </row>
    <row r="65" customFormat="false" ht="15" hidden="false" customHeight="false" outlineLevel="0" collapsed="false">
      <c r="A65" s="224" t="n">
        <v>9</v>
      </c>
      <c r="B65" s="220" t="s">
        <v>65</v>
      </c>
      <c r="C65" s="200" t="n">
        <v>0</v>
      </c>
      <c r="D65" s="200" t="n">
        <v>0</v>
      </c>
      <c r="E65" s="201" t="n">
        <v>0</v>
      </c>
      <c r="F65" s="200" t="n">
        <v>0</v>
      </c>
      <c r="G65" s="200" t="n">
        <v>0</v>
      </c>
      <c r="H65" s="201" t="n">
        <v>0</v>
      </c>
      <c r="I65" s="200" t="n">
        <v>0</v>
      </c>
      <c r="J65" s="200" t="n">
        <v>0</v>
      </c>
      <c r="K65" s="201" t="n">
        <v>0</v>
      </c>
      <c r="L65" s="200" t="n">
        <v>0</v>
      </c>
      <c r="M65" s="200" t="n">
        <v>0</v>
      </c>
      <c r="N65" s="201" t="n">
        <v>0</v>
      </c>
      <c r="O65" s="203" t="n">
        <v>0</v>
      </c>
      <c r="P65" s="204" t="n">
        <v>0</v>
      </c>
      <c r="Q65" s="203" t="n">
        <v>0</v>
      </c>
      <c r="R65" s="202" t="n">
        <f aca="false">O65*P65</f>
        <v>0</v>
      </c>
    </row>
    <row r="66" customFormat="false" ht="15" hidden="false" customHeight="false" outlineLevel="0" collapsed="false">
      <c r="A66" s="228" t="s">
        <v>66</v>
      </c>
      <c r="B66" s="228"/>
      <c r="C66" s="229" t="n">
        <f aca="false">SUM(C57:C65)</f>
        <v>598535</v>
      </c>
      <c r="D66" s="229" t="n">
        <f aca="false">SUM(D57:D65)</f>
        <v>630586</v>
      </c>
      <c r="E66" s="313" t="n">
        <f aca="false">C66/D66*100-100</f>
        <v>-5.08273256938784</v>
      </c>
      <c r="F66" s="229" t="n">
        <f aca="false">SUM(F57:F65)</f>
        <v>183019</v>
      </c>
      <c r="G66" s="229" t="n">
        <f aca="false">SUM(G57:G65)</f>
        <v>119277</v>
      </c>
      <c r="H66" s="313" t="n">
        <f aca="false">F66/G66*100-100</f>
        <v>53.4403112083637</v>
      </c>
      <c r="I66" s="231" t="n">
        <f aca="false">SUM(I57:I65)</f>
        <v>618324</v>
      </c>
      <c r="J66" s="229" t="n">
        <f aca="false">SUM(J57:J65)</f>
        <v>686806</v>
      </c>
      <c r="K66" s="313" t="n">
        <f aca="false">I66/J66*100-100</f>
        <v>-9.97108353741814</v>
      </c>
      <c r="L66" s="229" t="n">
        <f aca="false">SUM(L57:L65)</f>
        <v>396972</v>
      </c>
      <c r="M66" s="229" t="n">
        <f aca="false">SUM(M57:M65)</f>
        <v>506446</v>
      </c>
      <c r="N66" s="313" t="n">
        <f aca="false">L66/M66*100-100</f>
        <v>-21.6161249175628</v>
      </c>
      <c r="O66" s="231" t="n">
        <f aca="false">SUM(O57:O65)</f>
        <v>560</v>
      </c>
      <c r="P66" s="230" t="n">
        <f aca="false">R66/O66</f>
        <v>78.7089285714286</v>
      </c>
      <c r="Q66" s="231" t="n">
        <f aca="false">SUM(Q57:Q65)</f>
        <v>526</v>
      </c>
      <c r="R66" s="232" t="n">
        <f aca="false">SUM(R57:R65)</f>
        <v>44077</v>
      </c>
    </row>
    <row r="67" customFormat="false" ht="15" hidden="false" customHeight="false" outlineLevel="0" collapsed="false">
      <c r="A67" s="197"/>
      <c r="B67" s="233"/>
      <c r="C67" s="197"/>
      <c r="D67" s="197"/>
      <c r="E67" s="197"/>
      <c r="F67" s="197"/>
      <c r="G67" s="197"/>
      <c r="H67" s="197"/>
      <c r="I67" s="197"/>
      <c r="J67" s="197"/>
      <c r="K67" s="234"/>
      <c r="L67" s="197"/>
      <c r="M67" s="197"/>
      <c r="N67" s="197"/>
      <c r="O67" s="197"/>
      <c r="P67" s="235"/>
      <c r="Q67" s="197"/>
      <c r="R67" s="197"/>
    </row>
    <row r="68" customFormat="false" ht="15" hidden="false" customHeight="false" outlineLevel="0" collapsed="false">
      <c r="A68" s="195" t="s">
        <v>67</v>
      </c>
      <c r="B68" s="195"/>
      <c r="C68" s="195" t="n">
        <v>3</v>
      </c>
      <c r="D68" s="195" t="n">
        <v>4</v>
      </c>
      <c r="E68" s="196" t="n">
        <v>5</v>
      </c>
      <c r="F68" s="195" t="n">
        <v>6</v>
      </c>
      <c r="G68" s="195" t="n">
        <v>7</v>
      </c>
      <c r="H68" s="195" t="n">
        <v>8</v>
      </c>
      <c r="I68" s="195" t="n">
        <v>9</v>
      </c>
      <c r="J68" s="195" t="n">
        <v>10</v>
      </c>
      <c r="K68" s="195" t="n">
        <v>11</v>
      </c>
      <c r="L68" s="195" t="n">
        <v>12</v>
      </c>
      <c r="M68" s="195" t="n">
        <v>13</v>
      </c>
      <c r="N68" s="195" t="n">
        <v>14</v>
      </c>
      <c r="O68" s="195" t="n">
        <v>15</v>
      </c>
      <c r="P68" s="196" t="n">
        <v>16</v>
      </c>
      <c r="Q68" s="195" t="n">
        <v>15</v>
      </c>
      <c r="R68" s="197"/>
    </row>
    <row r="69" customFormat="false" ht="15" hidden="false" customHeight="false" outlineLevel="0" collapsed="false">
      <c r="A69" s="198" t="n">
        <v>1</v>
      </c>
      <c r="B69" s="199" t="s">
        <v>68</v>
      </c>
      <c r="C69" s="203" t="n">
        <v>7485</v>
      </c>
      <c r="D69" s="203" t="n">
        <v>48987</v>
      </c>
      <c r="E69" s="201" t="n">
        <f aca="false">C69/D69*100-100</f>
        <v>-84.7204360340499</v>
      </c>
      <c r="F69" s="203" t="n">
        <v>3288</v>
      </c>
      <c r="G69" s="203" t="n">
        <v>272</v>
      </c>
      <c r="H69" s="223" t="n">
        <f aca="false">F69/G69*100-100</f>
        <v>1108.82352941176</v>
      </c>
      <c r="I69" s="203" t="n">
        <v>15725</v>
      </c>
      <c r="J69" s="203" t="n">
        <v>104548</v>
      </c>
      <c r="K69" s="214" t="n">
        <f aca="false">I69/J69*100</f>
        <v>15.0409381336802</v>
      </c>
      <c r="L69" s="203" t="n">
        <v>14816</v>
      </c>
      <c r="M69" s="203" t="n">
        <v>53172</v>
      </c>
      <c r="N69" s="201" t="n">
        <f aca="false">L69/M69*100-100</f>
        <v>-72.1357105243361</v>
      </c>
      <c r="O69" s="203" t="n">
        <v>150</v>
      </c>
      <c r="P69" s="219" t="n">
        <v>55</v>
      </c>
      <c r="Q69" s="203" t="n">
        <v>149</v>
      </c>
      <c r="R69" s="202" t="n">
        <f aca="false">O69*P69</f>
        <v>8250</v>
      </c>
    </row>
    <row r="70" customFormat="false" ht="15" hidden="false" customHeight="false" outlineLevel="0" collapsed="false">
      <c r="A70" s="198" t="n">
        <v>2</v>
      </c>
      <c r="B70" s="199" t="s">
        <v>69</v>
      </c>
      <c r="C70" s="208" t="n">
        <v>233938</v>
      </c>
      <c r="D70" s="208" t="n">
        <v>204344</v>
      </c>
      <c r="E70" s="201" t="n">
        <f aca="false">C70/D70*100-100</f>
        <v>14.4824413733704</v>
      </c>
      <c r="F70" s="208" t="n">
        <v>35234</v>
      </c>
      <c r="G70" s="208" t="n">
        <v>48860</v>
      </c>
      <c r="H70" s="201" t="n">
        <f aca="false">F70/G70*100-100</f>
        <v>-27.8878428162096</v>
      </c>
      <c r="I70" s="208" t="n">
        <v>234254</v>
      </c>
      <c r="J70" s="208" t="n">
        <v>204163</v>
      </c>
      <c r="K70" s="201" t="n">
        <f aca="false">I70/J70*100-100</f>
        <v>14.7387136748578</v>
      </c>
      <c r="L70" s="208" t="n">
        <v>234254</v>
      </c>
      <c r="M70" s="208" t="n">
        <v>204163</v>
      </c>
      <c r="N70" s="201" t="n">
        <f aca="false">L70/M70*100-100</f>
        <v>14.7387136748578</v>
      </c>
      <c r="O70" s="203" t="n">
        <v>23</v>
      </c>
      <c r="P70" s="204" t="n">
        <v>82</v>
      </c>
      <c r="Q70" s="203" t="n">
        <v>23</v>
      </c>
      <c r="R70" s="202" t="n">
        <f aca="false">O70*P70</f>
        <v>1886</v>
      </c>
    </row>
    <row r="71" customFormat="false" ht="15" hidden="false" customHeight="false" outlineLevel="0" collapsed="false">
      <c r="A71" s="198" t="n">
        <v>3</v>
      </c>
      <c r="B71" s="199" t="s">
        <v>70</v>
      </c>
      <c r="C71" s="203" t="n">
        <v>14093</v>
      </c>
      <c r="D71" s="203" t="n">
        <v>23785</v>
      </c>
      <c r="E71" s="201" t="n">
        <f aca="false">C71/D71*100-100</f>
        <v>-40.7483708219466</v>
      </c>
      <c r="F71" s="203" t="n">
        <v>4087</v>
      </c>
      <c r="G71" s="203" t="n">
        <v>1623</v>
      </c>
      <c r="H71" s="201" t="n">
        <f aca="false">F71/G71*100-100</f>
        <v>151.817621688232</v>
      </c>
      <c r="I71" s="203" t="n">
        <v>13303</v>
      </c>
      <c r="J71" s="203" t="n">
        <v>22895</v>
      </c>
      <c r="K71" s="201" t="n">
        <f aca="false">I71/J71*100-100</f>
        <v>-41.8956103952828</v>
      </c>
      <c r="L71" s="203" t="n">
        <v>7659</v>
      </c>
      <c r="M71" s="203" t="n">
        <v>3417</v>
      </c>
      <c r="N71" s="201" t="n">
        <f aca="false">L71/M71*100-100</f>
        <v>124.14398595259</v>
      </c>
      <c r="O71" s="203" t="n">
        <v>46</v>
      </c>
      <c r="P71" s="219" t="n">
        <v>52</v>
      </c>
      <c r="Q71" s="203" t="n">
        <v>44</v>
      </c>
      <c r="R71" s="202" t="n">
        <f aca="false">O71*P71</f>
        <v>2392</v>
      </c>
    </row>
    <row r="72" customFormat="false" ht="15" hidden="false" customHeight="false" outlineLevel="0" collapsed="false">
      <c r="A72" s="198" t="n">
        <v>4</v>
      </c>
      <c r="B72" s="199" t="s">
        <v>71</v>
      </c>
      <c r="C72" s="203" t="n">
        <v>32554</v>
      </c>
      <c r="D72" s="203" t="n">
        <v>10052</v>
      </c>
      <c r="E72" s="201" t="n">
        <f aca="false">C72/D72*100-100</f>
        <v>223.855949064863</v>
      </c>
      <c r="F72" s="203" t="n">
        <v>10379</v>
      </c>
      <c r="G72" s="203" t="n">
        <v>2444</v>
      </c>
      <c r="H72" s="201" t="n">
        <f aca="false">F72/G72*100-100</f>
        <v>324.672667757774</v>
      </c>
      <c r="I72" s="203" t="n">
        <v>28471</v>
      </c>
      <c r="J72" s="203" t="n">
        <v>10192</v>
      </c>
      <c r="K72" s="201" t="n">
        <f aca="false">I72/J72*100-100</f>
        <v>179.346546310832</v>
      </c>
      <c r="L72" s="203" t="n">
        <v>22158</v>
      </c>
      <c r="M72" s="203" t="n">
        <v>0</v>
      </c>
      <c r="N72" s="201" t="n">
        <v>0</v>
      </c>
      <c r="O72" s="203" t="n">
        <v>70</v>
      </c>
      <c r="P72" s="236" t="n">
        <v>50</v>
      </c>
      <c r="Q72" s="203" t="n">
        <v>74</v>
      </c>
      <c r="R72" s="202" t="n">
        <f aca="false">O72*P72</f>
        <v>3500</v>
      </c>
    </row>
    <row r="73" customFormat="false" ht="15" hidden="false" customHeight="false" outlineLevel="0" collapsed="false">
      <c r="A73" s="198" t="n">
        <v>5</v>
      </c>
      <c r="B73" s="199" t="s">
        <v>72</v>
      </c>
      <c r="C73" s="203" t="n">
        <v>1850</v>
      </c>
      <c r="D73" s="203" t="n">
        <v>7899</v>
      </c>
      <c r="E73" s="201" t="n">
        <f aca="false">C73/D73*100-100</f>
        <v>-76.5793138371946</v>
      </c>
      <c r="F73" s="203" t="n">
        <v>1375</v>
      </c>
      <c r="G73" s="203" t="n">
        <v>2050</v>
      </c>
      <c r="H73" s="201" t="n">
        <f aca="false">F73/G73*100-100</f>
        <v>-32.9268292682927</v>
      </c>
      <c r="I73" s="203" t="n">
        <v>1850</v>
      </c>
      <c r="J73" s="203" t="n">
        <v>8354</v>
      </c>
      <c r="K73" s="201" t="n">
        <f aca="false">I73/J73*100-100</f>
        <v>-77.8549197988987</v>
      </c>
      <c r="L73" s="203" t="n">
        <v>0</v>
      </c>
      <c r="M73" s="203" t="n">
        <v>0</v>
      </c>
      <c r="N73" s="201" t="n">
        <v>0</v>
      </c>
      <c r="O73" s="203" t="n">
        <v>83</v>
      </c>
      <c r="P73" s="219" t="n">
        <v>110</v>
      </c>
      <c r="Q73" s="203" t="n">
        <v>84</v>
      </c>
      <c r="R73" s="202" t="n">
        <f aca="false">O73*P73</f>
        <v>9130</v>
      </c>
    </row>
    <row r="74" s="211" customFormat="true" ht="15" hidden="false" customHeight="false" outlineLevel="0" collapsed="false">
      <c r="A74" s="210" t="n">
        <v>6</v>
      </c>
      <c r="B74" s="199" t="s">
        <v>73</v>
      </c>
      <c r="C74" s="203" t="n">
        <v>35835</v>
      </c>
      <c r="D74" s="203" t="n">
        <v>1241</v>
      </c>
      <c r="E74" s="201" t="n">
        <f aca="false">C74/D74*100-100</f>
        <v>2787.59065269944</v>
      </c>
      <c r="F74" s="203" t="n">
        <v>11</v>
      </c>
      <c r="G74" s="203" t="n">
        <v>668</v>
      </c>
      <c r="H74" s="201" t="n">
        <v>0</v>
      </c>
      <c r="I74" s="203" t="n">
        <v>54852</v>
      </c>
      <c r="J74" s="203" t="n">
        <v>1134</v>
      </c>
      <c r="K74" s="223" t="n">
        <f aca="false">I74/J74*100-100</f>
        <v>4737.03703703704</v>
      </c>
      <c r="L74" s="203" t="n">
        <v>33899</v>
      </c>
      <c r="M74" s="203" t="n">
        <v>0</v>
      </c>
      <c r="N74" s="201" t="n">
        <v>0</v>
      </c>
      <c r="O74" s="203" t="n">
        <v>8</v>
      </c>
      <c r="P74" s="219" t="n">
        <v>75</v>
      </c>
      <c r="Q74" s="203" t="n">
        <v>8</v>
      </c>
      <c r="R74" s="202" t="n">
        <f aca="false">O74*P74</f>
        <v>600</v>
      </c>
    </row>
    <row r="75" customFormat="false" ht="15" hidden="false" customHeight="false" outlineLevel="0" collapsed="false">
      <c r="A75" s="198" t="n">
        <v>7</v>
      </c>
      <c r="B75" s="199" t="s">
        <v>74</v>
      </c>
      <c r="C75" s="203" t="n">
        <v>231827</v>
      </c>
      <c r="D75" s="203" t="n">
        <v>280878</v>
      </c>
      <c r="E75" s="201" t="n">
        <f aca="false">C75/D75*100-100</f>
        <v>-17.4634538838927</v>
      </c>
      <c r="F75" s="203" t="n">
        <v>66136</v>
      </c>
      <c r="G75" s="203" t="n">
        <v>93850</v>
      </c>
      <c r="H75" s="201" t="n">
        <f aca="false">F75/G75*100-100</f>
        <v>-29.5301012253596</v>
      </c>
      <c r="I75" s="203" t="n">
        <v>232993</v>
      </c>
      <c r="J75" s="203" t="n">
        <v>277786</v>
      </c>
      <c r="K75" s="201" t="n">
        <f aca="false">I75/J75*100-100</f>
        <v>-16.1250026999201</v>
      </c>
      <c r="L75" s="203" t="n">
        <v>25674</v>
      </c>
      <c r="M75" s="203" t="n">
        <v>42260</v>
      </c>
      <c r="N75" s="201" t="n">
        <f aca="false">L75/M75*100-100</f>
        <v>-39.2475153809749</v>
      </c>
      <c r="O75" s="203" t="n">
        <v>135</v>
      </c>
      <c r="P75" s="204" t="n">
        <v>200</v>
      </c>
      <c r="Q75" s="203" t="n">
        <v>137</v>
      </c>
      <c r="R75" s="202" t="n">
        <f aca="false">O75*P75</f>
        <v>27000</v>
      </c>
    </row>
    <row r="76" customFormat="false" ht="15" hidden="false" customHeight="false" outlineLevel="0" collapsed="false">
      <c r="A76" s="198" t="n">
        <v>8</v>
      </c>
      <c r="B76" s="199" t="s">
        <v>75</v>
      </c>
      <c r="C76" s="203" t="n">
        <v>35322</v>
      </c>
      <c r="D76" s="203" t="n">
        <v>2716</v>
      </c>
      <c r="E76" s="201" t="n">
        <f aca="false">C76/D76*100-100</f>
        <v>1200.51546391753</v>
      </c>
      <c r="F76" s="203" t="n">
        <v>3925</v>
      </c>
      <c r="G76" s="203" t="n">
        <v>1318</v>
      </c>
      <c r="H76" s="201" t="n">
        <f aca="false">F76/G76*100-100</f>
        <v>197.799696509863</v>
      </c>
      <c r="I76" s="203" t="n">
        <v>35322</v>
      </c>
      <c r="J76" s="203" t="n">
        <v>2988</v>
      </c>
      <c r="K76" s="223" t="n">
        <f aca="false">I76/J76*100-100</f>
        <v>1082.12851405623</v>
      </c>
      <c r="L76" s="203" t="n">
        <v>1045</v>
      </c>
      <c r="M76" s="203" t="n">
        <v>0</v>
      </c>
      <c r="N76" s="201" t="n">
        <v>0</v>
      </c>
      <c r="O76" s="203" t="n">
        <v>33</v>
      </c>
      <c r="P76" s="219" t="n">
        <v>40</v>
      </c>
      <c r="Q76" s="203" t="n">
        <v>33</v>
      </c>
      <c r="R76" s="202" t="n">
        <f aca="false">O76*P76</f>
        <v>1320</v>
      </c>
    </row>
    <row r="77" customFormat="false" ht="15" hidden="false" customHeight="false" outlineLevel="0" collapsed="false">
      <c r="A77" s="215" t="s">
        <v>76</v>
      </c>
      <c r="B77" s="215" t="s">
        <v>77</v>
      </c>
      <c r="C77" s="216" t="n">
        <f aca="false">SUM(C69:C76)</f>
        <v>592904</v>
      </c>
      <c r="D77" s="216" t="n">
        <f aca="false">SUM(D69:D76)</f>
        <v>579902</v>
      </c>
      <c r="E77" s="313" t="n">
        <f aca="false">C77/D77*100-100</f>
        <v>2.24210297602008</v>
      </c>
      <c r="F77" s="216" t="n">
        <f aca="false">SUM(F69:F76)</f>
        <v>124435</v>
      </c>
      <c r="G77" s="216" t="n">
        <f aca="false">SUM(G69:G76)</f>
        <v>151085</v>
      </c>
      <c r="H77" s="313" t="n">
        <f aca="false">F77/G77*100-100</f>
        <v>-17.6390773405699</v>
      </c>
      <c r="I77" s="216" t="n">
        <f aca="false">SUM(I69:I76)</f>
        <v>616770</v>
      </c>
      <c r="J77" s="216" t="n">
        <f aca="false">SUM(J69:J76)</f>
        <v>632060</v>
      </c>
      <c r="K77" s="313" t="n">
        <f aca="false">I77/J77*100-100</f>
        <v>-2.41907413853116</v>
      </c>
      <c r="L77" s="216" t="n">
        <f aca="false">SUM(L69:L76)</f>
        <v>339505</v>
      </c>
      <c r="M77" s="216" t="n">
        <f aca="false">SUM(M69:M76)</f>
        <v>303012</v>
      </c>
      <c r="N77" s="313" t="n">
        <f aca="false">L77/M77*100-100</f>
        <v>12.0434174224123</v>
      </c>
      <c r="O77" s="216" t="n">
        <f aca="false">SUM(O69:O76)</f>
        <v>548</v>
      </c>
      <c r="P77" s="217" t="n">
        <f aca="false">R77/O77</f>
        <v>98.6824817518248</v>
      </c>
      <c r="Q77" s="216" t="n">
        <f aca="false">SUM(Q69:Q76)</f>
        <v>552</v>
      </c>
      <c r="R77" s="232" t="n">
        <f aca="false">SUM(R69:R76)</f>
        <v>54078</v>
      </c>
    </row>
    <row r="78" customFormat="false" ht="15" hidden="false" customHeight="false" outlineLevel="0" collapsed="false">
      <c r="A78" s="314" t="s">
        <v>78</v>
      </c>
      <c r="B78" s="314" t="s">
        <v>78</v>
      </c>
      <c r="C78" s="315" t="n">
        <f aca="false">C54+C66+C77</f>
        <v>2157279</v>
      </c>
      <c r="D78" s="315" t="n">
        <f aca="false">D54+D66+D77</f>
        <v>2736564</v>
      </c>
      <c r="E78" s="316" t="n">
        <f aca="false">C78/D78*100-100</f>
        <v>-21.1683337206804</v>
      </c>
      <c r="F78" s="315" t="n">
        <f aca="false">F54+F66+F77</f>
        <v>479004</v>
      </c>
      <c r="G78" s="315" t="n">
        <f aca="false">G54+G66+G77</f>
        <v>464774</v>
      </c>
      <c r="H78" s="316" t="n">
        <f aca="false">F78/G78*100-100</f>
        <v>3.06170310731669</v>
      </c>
      <c r="I78" s="315" t="n">
        <f aca="false">I54+I66+I77</f>
        <v>3213996</v>
      </c>
      <c r="J78" s="315" t="n">
        <f aca="false">J54+J66+J77</f>
        <v>2529643</v>
      </c>
      <c r="K78" s="316" t="n">
        <f aca="false">I78/J78*100-100</f>
        <v>27.0533431001924</v>
      </c>
      <c r="L78" s="315" t="n">
        <f aca="false">L54+L66+L77</f>
        <v>1248101</v>
      </c>
      <c r="M78" s="315" t="n">
        <f aca="false">M54+M66+M77</f>
        <v>1486544</v>
      </c>
      <c r="N78" s="316" t="n">
        <f aca="false">L78/M78*100-100</f>
        <v>-16.0400903034152</v>
      </c>
      <c r="O78" s="315" t="n">
        <f aca="false">O54+O66+O77</f>
        <v>1961</v>
      </c>
      <c r="P78" s="317" t="n">
        <f aca="false">R78/O78</f>
        <v>96.2661907190209</v>
      </c>
      <c r="Q78" s="315" t="n">
        <f aca="false">Q54+Q66+Q77</f>
        <v>1934</v>
      </c>
      <c r="R78" s="318" t="n">
        <f aca="false">R54+R66+R77</f>
        <v>188778</v>
      </c>
    </row>
    <row r="79" customFormat="false" ht="15" hidden="false" customHeight="false" outlineLevel="0" collapsed="false">
      <c r="A79" s="203"/>
      <c r="B79" s="218"/>
      <c r="C79" s="203"/>
      <c r="D79" s="203"/>
      <c r="E79" s="203"/>
      <c r="F79" s="203"/>
      <c r="G79" s="203"/>
      <c r="H79" s="203"/>
      <c r="I79" s="203"/>
      <c r="J79" s="203"/>
      <c r="K79" s="192"/>
      <c r="L79" s="203"/>
      <c r="M79" s="203"/>
      <c r="N79" s="203"/>
      <c r="O79" s="203"/>
      <c r="P79" s="219"/>
      <c r="Q79" s="203"/>
      <c r="R79" s="197"/>
    </row>
    <row r="80" customFormat="false" ht="15" hidden="false" customHeight="false" outlineLevel="0" collapsed="false">
      <c r="A80" s="190" t="s">
        <v>79</v>
      </c>
      <c r="B80" s="190"/>
      <c r="C80" s="195" t="n">
        <v>3</v>
      </c>
      <c r="D80" s="195" t="n">
        <v>4</v>
      </c>
      <c r="E80" s="196" t="n">
        <v>5</v>
      </c>
      <c r="F80" s="195" t="n">
        <v>6</v>
      </c>
      <c r="G80" s="195" t="n">
        <v>7</v>
      </c>
      <c r="H80" s="195" t="n">
        <v>8</v>
      </c>
      <c r="I80" s="195" t="n">
        <v>9</v>
      </c>
      <c r="J80" s="195" t="n">
        <v>10</v>
      </c>
      <c r="K80" s="195" t="n">
        <v>11</v>
      </c>
      <c r="L80" s="195" t="n">
        <v>12</v>
      </c>
      <c r="M80" s="195" t="n">
        <v>13</v>
      </c>
      <c r="N80" s="195" t="n">
        <v>14</v>
      </c>
      <c r="O80" s="195" t="n">
        <v>15</v>
      </c>
      <c r="P80" s="196" t="n">
        <v>16</v>
      </c>
      <c r="Q80" s="195" t="n">
        <v>15</v>
      </c>
      <c r="R80" s="197"/>
    </row>
    <row r="81" customFormat="false" ht="15" hidden="false" customHeight="false" outlineLevel="0" collapsed="false">
      <c r="A81" s="242" t="n">
        <v>1</v>
      </c>
      <c r="B81" s="243" t="s">
        <v>80</v>
      </c>
      <c r="C81" s="208" t="n">
        <v>2086</v>
      </c>
      <c r="D81" s="208" t="n">
        <v>10525</v>
      </c>
      <c r="E81" s="201" t="n">
        <f aca="false">C81/D81*100-100</f>
        <v>-80.1805225653207</v>
      </c>
      <c r="F81" s="208" t="n">
        <v>674</v>
      </c>
      <c r="G81" s="208" t="n">
        <v>243</v>
      </c>
      <c r="H81" s="201" t="n">
        <f aca="false">F81/G81*100-100</f>
        <v>177.366255144033</v>
      </c>
      <c r="I81" s="208" t="n">
        <v>2086</v>
      </c>
      <c r="J81" s="208" t="n">
        <v>989</v>
      </c>
      <c r="K81" s="201" t="n">
        <f aca="false">I81/J81*100-100</f>
        <v>110.920121334682</v>
      </c>
      <c r="L81" s="203" t="n">
        <v>0</v>
      </c>
      <c r="M81" s="208" t="n">
        <v>0</v>
      </c>
      <c r="N81" s="201" t="n">
        <v>0</v>
      </c>
      <c r="O81" s="203" t="n">
        <v>2524</v>
      </c>
      <c r="P81" s="208" t="n">
        <v>113</v>
      </c>
      <c r="Q81" s="203" t="n">
        <v>2524</v>
      </c>
      <c r="R81" s="202" t="n">
        <f aca="false">O81*P81</f>
        <v>285212</v>
      </c>
    </row>
    <row r="82" customFormat="false" ht="15" hidden="false" customHeight="false" outlineLevel="0" collapsed="false">
      <c r="A82" s="244" t="n">
        <v>2</v>
      </c>
      <c r="B82" s="243" t="s">
        <v>81</v>
      </c>
      <c r="C82" s="208" t="n">
        <v>319162</v>
      </c>
      <c r="D82" s="208" t="n">
        <v>214443</v>
      </c>
      <c r="E82" s="201" t="n">
        <f aca="false">C82/D82*100-100</f>
        <v>48.8330232276176</v>
      </c>
      <c r="F82" s="208" t="n">
        <v>62193</v>
      </c>
      <c r="G82" s="208" t="n">
        <v>44645</v>
      </c>
      <c r="H82" s="201" t="n">
        <f aca="false">F82/G82*100-100</f>
        <v>39.3056333296002</v>
      </c>
      <c r="I82" s="208" t="n">
        <v>369777</v>
      </c>
      <c r="J82" s="208" t="n">
        <v>255269</v>
      </c>
      <c r="K82" s="201" t="n">
        <f aca="false">I82/J82*100-100</f>
        <v>44.8577774817937</v>
      </c>
      <c r="L82" s="208" t="n">
        <v>361588</v>
      </c>
      <c r="M82" s="208" t="n">
        <v>252515</v>
      </c>
      <c r="N82" s="201" t="n">
        <f aca="false">L82/M82*100-100</f>
        <v>43.1946617032652</v>
      </c>
      <c r="O82" s="203" t="n">
        <v>777</v>
      </c>
      <c r="P82" s="208" t="n">
        <v>124</v>
      </c>
      <c r="Q82" s="203" t="n">
        <v>888</v>
      </c>
      <c r="R82" s="202" t="n">
        <f aca="false">O82*P82</f>
        <v>96348</v>
      </c>
    </row>
    <row r="83" customFormat="false" ht="15" hidden="false" customHeight="false" outlineLevel="0" collapsed="false">
      <c r="A83" s="242" t="n">
        <v>3</v>
      </c>
      <c r="B83" s="243" t="s">
        <v>82</v>
      </c>
      <c r="C83" s="208" t="n">
        <v>358056</v>
      </c>
      <c r="D83" s="208" t="n">
        <v>159808</v>
      </c>
      <c r="E83" s="201" t="n">
        <f aca="false">C83/D83*100-100</f>
        <v>124.053864637565</v>
      </c>
      <c r="F83" s="208" t="n">
        <v>101715</v>
      </c>
      <c r="G83" s="208" t="n">
        <v>21864</v>
      </c>
      <c r="H83" s="201" t="n">
        <f aca="false">F83/G83*100-100</f>
        <v>365.216794731065</v>
      </c>
      <c r="I83" s="208" t="n">
        <v>514468</v>
      </c>
      <c r="J83" s="208" t="n">
        <v>474577</v>
      </c>
      <c r="K83" s="201" t="n">
        <f aca="false">I83/J83*100-100</f>
        <v>8.40559066284293</v>
      </c>
      <c r="L83" s="208" t="n">
        <v>118552</v>
      </c>
      <c r="M83" s="208" t="n">
        <v>82143</v>
      </c>
      <c r="N83" s="201" t="n">
        <f aca="false">L83/M83*100-100</f>
        <v>44.3239229149167</v>
      </c>
      <c r="O83" s="203" t="n">
        <v>30</v>
      </c>
      <c r="P83" s="208" t="n">
        <v>306</v>
      </c>
      <c r="Q83" s="203" t="n">
        <v>28</v>
      </c>
      <c r="R83" s="202" t="n">
        <f aca="false">O83*P83</f>
        <v>9180</v>
      </c>
    </row>
    <row r="84" customFormat="false" ht="15" hidden="false" customHeight="false" outlineLevel="0" collapsed="false">
      <c r="A84" s="244" t="n">
        <v>4</v>
      </c>
      <c r="B84" s="243" t="s">
        <v>83</v>
      </c>
      <c r="C84" s="208" t="n">
        <v>405306</v>
      </c>
      <c r="D84" s="208" t="n">
        <v>334629</v>
      </c>
      <c r="E84" s="201" t="n">
        <f aca="false">C84/D84*100-100</f>
        <v>21.1210026626503</v>
      </c>
      <c r="F84" s="208" t="n">
        <v>80552</v>
      </c>
      <c r="G84" s="208" t="n">
        <v>79019</v>
      </c>
      <c r="H84" s="201" t="n">
        <f aca="false">F84/G84*100-100</f>
        <v>1.94003973727837</v>
      </c>
      <c r="I84" s="208" t="n">
        <v>38565</v>
      </c>
      <c r="J84" s="208" t="n">
        <v>314598</v>
      </c>
      <c r="K84" s="201" t="n">
        <f aca="false">I84/J84*100-100</f>
        <v>-87.7414986744989</v>
      </c>
      <c r="L84" s="203" t="n">
        <v>242245</v>
      </c>
      <c r="M84" s="208" t="n">
        <v>209265</v>
      </c>
      <c r="N84" s="201" t="n">
        <f aca="false">L84/M84*100-100</f>
        <v>15.7599216304686</v>
      </c>
      <c r="O84" s="203" t="n">
        <v>174</v>
      </c>
      <c r="P84" s="208" t="n">
        <v>40</v>
      </c>
      <c r="Q84" s="203" t="n">
        <v>174</v>
      </c>
      <c r="R84" s="202" t="n">
        <f aca="false">O84*P84</f>
        <v>6960</v>
      </c>
    </row>
    <row r="85" customFormat="false" ht="15" hidden="false" customHeight="false" outlineLevel="0" collapsed="false">
      <c r="A85" s="242" t="n">
        <v>5</v>
      </c>
      <c r="B85" s="243" t="s">
        <v>84</v>
      </c>
      <c r="C85" s="219" t="n">
        <v>145225</v>
      </c>
      <c r="D85" s="219" t="n">
        <v>118678</v>
      </c>
      <c r="E85" s="201" t="n">
        <f aca="false">C85/D85*100-100</f>
        <v>22.3689310571462</v>
      </c>
      <c r="F85" s="219" t="n">
        <v>31679</v>
      </c>
      <c r="G85" s="219" t="n">
        <v>27617</v>
      </c>
      <c r="H85" s="201" t="n">
        <f aca="false">F85/G85*100-100</f>
        <v>14.7083318246008</v>
      </c>
      <c r="I85" s="219" t="n">
        <v>146397</v>
      </c>
      <c r="J85" s="219" t="n">
        <v>114703</v>
      </c>
      <c r="K85" s="201" t="n">
        <f aca="false">I85/J85*100-100</f>
        <v>27.6313609931737</v>
      </c>
      <c r="L85" s="203" t="n">
        <v>76329</v>
      </c>
      <c r="M85" s="219" t="n">
        <v>47737</v>
      </c>
      <c r="N85" s="201" t="n">
        <f aca="false">L85/M85*100-100</f>
        <v>59.8948404801307</v>
      </c>
      <c r="O85" s="203" t="n">
        <v>96</v>
      </c>
      <c r="P85" s="219" t="n">
        <v>60</v>
      </c>
      <c r="Q85" s="203" t="n">
        <v>100</v>
      </c>
      <c r="R85" s="202" t="n">
        <f aca="false">O85*P85</f>
        <v>5760</v>
      </c>
    </row>
    <row r="86" customFormat="false" ht="15" hidden="false" customHeight="false" outlineLevel="0" collapsed="false">
      <c r="A86" s="244" t="n">
        <v>6</v>
      </c>
      <c r="B86" s="243" t="s">
        <v>85</v>
      </c>
      <c r="C86" s="200" t="n">
        <v>0</v>
      </c>
      <c r="D86" s="200" t="n">
        <v>0</v>
      </c>
      <c r="E86" s="201" t="n">
        <v>0</v>
      </c>
      <c r="F86" s="200" t="n">
        <v>0</v>
      </c>
      <c r="G86" s="200" t="n">
        <v>0</v>
      </c>
      <c r="H86" s="201" t="n">
        <v>0</v>
      </c>
      <c r="I86" s="200" t="n">
        <v>0</v>
      </c>
      <c r="J86" s="200" t="n">
        <v>0</v>
      </c>
      <c r="K86" s="201" t="n">
        <v>0</v>
      </c>
      <c r="L86" s="200" t="n">
        <v>0</v>
      </c>
      <c r="M86" s="200" t="n">
        <v>0</v>
      </c>
      <c r="N86" s="201" t="n">
        <v>0</v>
      </c>
      <c r="O86" s="203" t="n">
        <v>0</v>
      </c>
      <c r="P86" s="204" t="n">
        <v>0</v>
      </c>
      <c r="Q86" s="203" t="n">
        <v>0</v>
      </c>
      <c r="R86" s="202" t="n">
        <f aca="false">O86*P86</f>
        <v>0</v>
      </c>
    </row>
    <row r="87" customFormat="false" ht="15" hidden="false" customHeight="false" outlineLevel="0" collapsed="false">
      <c r="A87" s="242" t="n">
        <v>7</v>
      </c>
      <c r="B87" s="243" t="s">
        <v>86</v>
      </c>
      <c r="C87" s="208" t="n">
        <v>50</v>
      </c>
      <c r="D87" s="219" t="n">
        <v>305</v>
      </c>
      <c r="E87" s="201" t="n">
        <f aca="false">C87/D87*100-100</f>
        <v>-83.6065573770492</v>
      </c>
      <c r="F87" s="208" t="n">
        <v>50</v>
      </c>
      <c r="G87" s="219" t="n">
        <v>305</v>
      </c>
      <c r="H87" s="201" t="n">
        <v>0</v>
      </c>
      <c r="I87" s="208" t="n">
        <v>50</v>
      </c>
      <c r="J87" s="219" t="n">
        <v>305</v>
      </c>
      <c r="K87" s="201" t="n">
        <f aca="false">I87/J87*100-100</f>
        <v>-83.6065573770492</v>
      </c>
      <c r="L87" s="203" t="n">
        <v>0</v>
      </c>
      <c r="M87" s="219" t="n">
        <v>0</v>
      </c>
      <c r="N87" s="201" t="n">
        <v>0</v>
      </c>
      <c r="O87" s="203" t="n">
        <v>8</v>
      </c>
      <c r="P87" s="208" t="n">
        <v>75</v>
      </c>
      <c r="Q87" s="203" t="n">
        <v>8</v>
      </c>
      <c r="R87" s="202" t="n">
        <f aca="false">O87*P87</f>
        <v>600</v>
      </c>
    </row>
    <row r="88" customFormat="false" ht="15" hidden="false" customHeight="false" outlineLevel="0" collapsed="false">
      <c r="A88" s="244" t="n">
        <v>8</v>
      </c>
      <c r="B88" s="245" t="s">
        <v>87</v>
      </c>
      <c r="C88" s="219" t="n">
        <v>227487</v>
      </c>
      <c r="D88" s="219" t="n">
        <v>270617</v>
      </c>
      <c r="E88" s="201" t="n">
        <f aca="false">C88/D88*100-100</f>
        <v>-15.9376535842168</v>
      </c>
      <c r="F88" s="219" t="n">
        <v>65388</v>
      </c>
      <c r="G88" s="219" t="n">
        <v>84444</v>
      </c>
      <c r="H88" s="201" t="n">
        <f aca="false">F88/G88*100-100</f>
        <v>-22.5664345601819</v>
      </c>
      <c r="I88" s="219" t="n">
        <v>414453</v>
      </c>
      <c r="J88" s="219" t="n">
        <v>333172</v>
      </c>
      <c r="K88" s="201" t="n">
        <f aca="false">I88/J88*100-100</f>
        <v>24.3961077161346</v>
      </c>
      <c r="L88" s="203" t="n">
        <v>133409</v>
      </c>
      <c r="M88" s="219" t="n">
        <v>61653</v>
      </c>
      <c r="N88" s="201" t="n">
        <f aca="false">L88/M88*100-100</f>
        <v>116.386874929038</v>
      </c>
      <c r="O88" s="203" t="n">
        <v>65</v>
      </c>
      <c r="P88" s="208" t="n">
        <v>128</v>
      </c>
      <c r="Q88" s="203" t="n">
        <v>68</v>
      </c>
      <c r="R88" s="202" t="n">
        <f aca="false">O88*P88</f>
        <v>8320</v>
      </c>
    </row>
    <row r="89" customFormat="false" ht="15" hidden="false" customHeight="false" outlineLevel="0" collapsed="false">
      <c r="A89" s="242" t="n">
        <v>9</v>
      </c>
      <c r="B89" s="245" t="s">
        <v>88</v>
      </c>
      <c r="C89" s="208" t="n">
        <v>702001</v>
      </c>
      <c r="D89" s="208" t="n">
        <v>698266</v>
      </c>
      <c r="E89" s="201" t="n">
        <f aca="false">C89/D89*100-100</f>
        <v>0.534896443475688</v>
      </c>
      <c r="F89" s="208" t="n">
        <v>204933</v>
      </c>
      <c r="G89" s="208" t="n">
        <v>205964</v>
      </c>
      <c r="H89" s="201" t="n">
        <f aca="false">F89/G89*100-100</f>
        <v>-0.500572915655155</v>
      </c>
      <c r="I89" s="208" t="n">
        <v>733532</v>
      </c>
      <c r="J89" s="208" t="n">
        <v>664805</v>
      </c>
      <c r="K89" s="201" t="n">
        <f aca="false">I89/J89*100-100</f>
        <v>10.3379186377961</v>
      </c>
      <c r="L89" s="203" t="n">
        <v>9660</v>
      </c>
      <c r="M89" s="208" t="n">
        <v>0</v>
      </c>
      <c r="N89" s="201" t="n">
        <v>0</v>
      </c>
      <c r="O89" s="203" t="n">
        <v>125</v>
      </c>
      <c r="P89" s="208" t="n">
        <v>145</v>
      </c>
      <c r="Q89" s="203" t="n">
        <v>127</v>
      </c>
      <c r="R89" s="202" t="n">
        <f aca="false">O89*P89</f>
        <v>18125</v>
      </c>
    </row>
    <row r="90" customFormat="false" ht="15" hidden="false" customHeight="false" outlineLevel="0" collapsed="false">
      <c r="A90" s="244" t="n">
        <v>10</v>
      </c>
      <c r="B90" s="243" t="s">
        <v>89</v>
      </c>
      <c r="C90" s="208" t="n">
        <v>609299</v>
      </c>
      <c r="D90" s="208" t="n">
        <v>549073</v>
      </c>
      <c r="E90" s="201" t="n">
        <f aca="false">C90/D90*100-100</f>
        <v>10.9686690112244</v>
      </c>
      <c r="F90" s="208" t="n">
        <v>174154</v>
      </c>
      <c r="G90" s="208" t="n">
        <v>114080</v>
      </c>
      <c r="H90" s="201" t="n">
        <f aca="false">F90/G90*100-100</f>
        <v>52.6595371669004</v>
      </c>
      <c r="I90" s="208" t="n">
        <v>606531</v>
      </c>
      <c r="J90" s="208" t="n">
        <v>509701</v>
      </c>
      <c r="K90" s="201" t="n">
        <f aca="false">I90/J90*100-100</f>
        <v>18.9974122083339</v>
      </c>
      <c r="L90" s="203" t="n">
        <f aca="false">140170+216951</f>
        <v>357121</v>
      </c>
      <c r="M90" s="208" t="n">
        <f aca="false">131271+134593</f>
        <v>265864</v>
      </c>
      <c r="N90" s="201" t="n">
        <f aca="false">L90/M90*100-100</f>
        <v>34.3246923238949</v>
      </c>
      <c r="O90" s="203" t="n">
        <v>101</v>
      </c>
      <c r="P90" s="208" t="n">
        <v>200</v>
      </c>
      <c r="Q90" s="203" t="n">
        <v>101</v>
      </c>
      <c r="R90" s="202" t="n">
        <f aca="false">O90*P90</f>
        <v>20200</v>
      </c>
    </row>
    <row r="91" customFormat="false" ht="15" hidden="false" customHeight="false" outlineLevel="0" collapsed="false">
      <c r="A91" s="242" t="n">
        <v>11</v>
      </c>
      <c r="B91" s="243" t="s">
        <v>90</v>
      </c>
      <c r="C91" s="242" t="n">
        <v>28400</v>
      </c>
      <c r="D91" s="246" t="n">
        <v>25410</v>
      </c>
      <c r="E91" s="201" t="n">
        <f aca="false">C91/D91*100-100</f>
        <v>11.76702085793</v>
      </c>
      <c r="F91" s="208" t="n">
        <v>145090</v>
      </c>
      <c r="G91" s="208" t="n">
        <v>107938</v>
      </c>
      <c r="H91" s="201" t="n">
        <f aca="false">F91/G91*100-100</f>
        <v>34.41975949156</v>
      </c>
      <c r="I91" s="247" t="n">
        <v>1428425</v>
      </c>
      <c r="J91" s="248" t="n">
        <v>1352584</v>
      </c>
      <c r="K91" s="201" t="n">
        <f aca="false">I91/J91*100-100</f>
        <v>5.60711940995901</v>
      </c>
      <c r="L91" s="247" t="n">
        <v>25669</v>
      </c>
      <c r="M91" s="248" t="n">
        <f aca="false">35076+18279</f>
        <v>53355</v>
      </c>
      <c r="N91" s="201" t="n">
        <f aca="false">L91/M91*100-100</f>
        <v>-51.8901696185924</v>
      </c>
      <c r="O91" s="203" t="n">
        <v>53</v>
      </c>
      <c r="P91" s="208" t="n">
        <v>250</v>
      </c>
      <c r="Q91" s="203" t="n">
        <v>53</v>
      </c>
      <c r="R91" s="202" t="n">
        <f aca="false">O91*P91</f>
        <v>13250</v>
      </c>
    </row>
    <row r="92" customFormat="false" ht="15" hidden="false" customHeight="false" outlineLevel="0" collapsed="false">
      <c r="A92" s="215" t="s">
        <v>91</v>
      </c>
      <c r="B92" s="215" t="s">
        <v>92</v>
      </c>
      <c r="C92" s="237" t="n">
        <f aca="false">SUM(C81:C91)</f>
        <v>2797072</v>
      </c>
      <c r="D92" s="237" t="n">
        <f aca="false">SUM(D81:D91)</f>
        <v>2381754</v>
      </c>
      <c r="E92" s="313" t="n">
        <f aca="false">C92/D92*100-100</f>
        <v>17.4374851475005</v>
      </c>
      <c r="F92" s="237" t="n">
        <f aca="false">SUM(F81:F91)</f>
        <v>866428</v>
      </c>
      <c r="G92" s="237" t="n">
        <f aca="false">SUM(G81:G91)</f>
        <v>686119</v>
      </c>
      <c r="H92" s="313" t="n">
        <f aca="false">F92/G92*100-100</f>
        <v>26.2795520893606</v>
      </c>
      <c r="I92" s="237" t="n">
        <f aca="false">SUM(I81:I91)</f>
        <v>4254284</v>
      </c>
      <c r="J92" s="237" t="n">
        <f aca="false">SUM(J81:J91)</f>
        <v>4020703</v>
      </c>
      <c r="K92" s="313" t="n">
        <f aca="false">I92/J92*100-100</f>
        <v>5.80945670446189</v>
      </c>
      <c r="L92" s="237" t="n">
        <f aca="false">SUM(L81:L91)</f>
        <v>1324573</v>
      </c>
      <c r="M92" s="237" t="n">
        <f aca="false">SUM(M81:M91)</f>
        <v>972532</v>
      </c>
      <c r="N92" s="313" t="n">
        <f aca="false">L92/M92*100-100</f>
        <v>36.198397584861</v>
      </c>
      <c r="O92" s="216" t="n">
        <f aca="false">SUM(O81:O91)</f>
        <v>3953</v>
      </c>
      <c r="P92" s="217" t="n">
        <f aca="false">R92/O92</f>
        <v>117.367821907412</v>
      </c>
      <c r="Q92" s="216" t="n">
        <f aca="false">SUM(Q81:Q91)</f>
        <v>4071</v>
      </c>
      <c r="R92" s="232" t="n">
        <f aca="false">SUM(R81:R91)</f>
        <v>463955</v>
      </c>
    </row>
    <row r="93" customFormat="false" ht="15" hidden="false" customHeight="false" outlineLevel="0" collapsed="false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192"/>
      <c r="L93" s="203"/>
      <c r="M93" s="203"/>
      <c r="N93" s="203"/>
      <c r="O93" s="203"/>
      <c r="P93" s="219"/>
      <c r="Q93" s="203"/>
      <c r="R93" s="197"/>
    </row>
    <row r="94" customFormat="false" ht="15" hidden="false" customHeight="false" outlineLevel="0" collapsed="false">
      <c r="A94" s="190" t="s">
        <v>93</v>
      </c>
      <c r="B94" s="190"/>
      <c r="C94" s="195" t="n">
        <v>3</v>
      </c>
      <c r="D94" s="195" t="n">
        <v>4</v>
      </c>
      <c r="E94" s="196" t="n">
        <v>5</v>
      </c>
      <c r="F94" s="195" t="n">
        <v>6</v>
      </c>
      <c r="G94" s="195" t="n">
        <v>7</v>
      </c>
      <c r="H94" s="195" t="n">
        <v>8</v>
      </c>
      <c r="I94" s="195" t="n">
        <v>9</v>
      </c>
      <c r="J94" s="195" t="n">
        <v>10</v>
      </c>
      <c r="K94" s="195" t="n">
        <v>11</v>
      </c>
      <c r="L94" s="195" t="n">
        <v>12</v>
      </c>
      <c r="M94" s="195" t="n">
        <v>13</v>
      </c>
      <c r="N94" s="195" t="n">
        <v>14</v>
      </c>
      <c r="O94" s="195" t="n">
        <v>15</v>
      </c>
      <c r="P94" s="196" t="n">
        <v>16</v>
      </c>
      <c r="Q94" s="195" t="n">
        <v>15</v>
      </c>
      <c r="R94" s="197"/>
    </row>
    <row r="95" customFormat="false" ht="15" hidden="false" customHeight="false" outlineLevel="0" collapsed="false">
      <c r="A95" s="249" t="n">
        <v>1</v>
      </c>
      <c r="B95" s="245" t="s">
        <v>94</v>
      </c>
      <c r="C95" s="250" t="n">
        <v>106873</v>
      </c>
      <c r="D95" s="250" t="n">
        <v>98993</v>
      </c>
      <c r="E95" s="201" t="n">
        <f aca="false">C95/D95*100-100</f>
        <v>7.96015879910701</v>
      </c>
      <c r="F95" s="250" t="n">
        <v>41256</v>
      </c>
      <c r="G95" s="250" t="n">
        <v>35807</v>
      </c>
      <c r="H95" s="201" t="n">
        <f aca="false">F95/G95*100-100</f>
        <v>15.2176948641327</v>
      </c>
      <c r="I95" s="250" t="n">
        <v>100168</v>
      </c>
      <c r="J95" s="251" t="n">
        <v>85075</v>
      </c>
      <c r="K95" s="201" t="n">
        <f aca="false">I95/J95*100-100</f>
        <v>17.7408169262415</v>
      </c>
      <c r="L95" s="250" t="n">
        <v>100148</v>
      </c>
      <c r="M95" s="250" t="n">
        <v>85028</v>
      </c>
      <c r="N95" s="201" t="n">
        <f aca="false">L95/M95*100-100</f>
        <v>17.7823775697417</v>
      </c>
      <c r="O95" s="252" t="n">
        <v>310</v>
      </c>
      <c r="P95" s="219" t="n">
        <v>100</v>
      </c>
      <c r="Q95" s="252" t="n">
        <v>337</v>
      </c>
      <c r="R95" s="202" t="n">
        <f aca="false">O95*P95</f>
        <v>31000</v>
      </c>
    </row>
    <row r="96" customFormat="false" ht="15" hidden="false" customHeight="false" outlineLevel="0" collapsed="false">
      <c r="A96" s="249" t="n">
        <v>2</v>
      </c>
      <c r="B96" s="245" t="s">
        <v>95</v>
      </c>
      <c r="C96" s="200" t="n">
        <v>0</v>
      </c>
      <c r="D96" s="200" t="n">
        <v>0</v>
      </c>
      <c r="E96" s="201" t="n">
        <v>0</v>
      </c>
      <c r="F96" s="200" t="n">
        <v>0</v>
      </c>
      <c r="G96" s="200" t="n">
        <v>0</v>
      </c>
      <c r="H96" s="201" t="n">
        <v>0</v>
      </c>
      <c r="I96" s="200" t="n">
        <v>0</v>
      </c>
      <c r="J96" s="200" t="n">
        <v>0</v>
      </c>
      <c r="K96" s="201" t="n">
        <v>0</v>
      </c>
      <c r="L96" s="200" t="n">
        <v>0</v>
      </c>
      <c r="M96" s="200" t="n">
        <v>0</v>
      </c>
      <c r="N96" s="201" t="n">
        <v>0</v>
      </c>
      <c r="O96" s="203" t="n">
        <v>0</v>
      </c>
      <c r="P96" s="204" t="n">
        <v>0</v>
      </c>
      <c r="Q96" s="203" t="n">
        <v>0</v>
      </c>
      <c r="R96" s="202" t="n">
        <f aca="false">O96*P96</f>
        <v>0</v>
      </c>
    </row>
    <row r="97" customFormat="false" ht="15" hidden="false" customHeight="false" outlineLevel="0" collapsed="false">
      <c r="A97" s="249" t="n">
        <v>3</v>
      </c>
      <c r="B97" s="243" t="s">
        <v>96</v>
      </c>
      <c r="C97" s="200" t="n">
        <v>0</v>
      </c>
      <c r="D97" s="200" t="n">
        <v>0</v>
      </c>
      <c r="E97" s="201" t="n">
        <v>0</v>
      </c>
      <c r="F97" s="200" t="n">
        <v>0</v>
      </c>
      <c r="G97" s="200" t="n">
        <v>0</v>
      </c>
      <c r="H97" s="201" t="n">
        <v>0</v>
      </c>
      <c r="I97" s="200" t="n">
        <v>0</v>
      </c>
      <c r="J97" s="200" t="n">
        <v>0</v>
      </c>
      <c r="K97" s="201" t="n">
        <v>0</v>
      </c>
      <c r="L97" s="200" t="n">
        <v>0</v>
      </c>
      <c r="M97" s="200" t="n">
        <v>0</v>
      </c>
      <c r="N97" s="201" t="n">
        <v>0</v>
      </c>
      <c r="O97" s="203" t="n">
        <v>0</v>
      </c>
      <c r="P97" s="204" t="n">
        <v>0</v>
      </c>
      <c r="Q97" s="203" t="n">
        <v>0</v>
      </c>
      <c r="R97" s="202" t="n">
        <f aca="false">O97*P97</f>
        <v>0</v>
      </c>
    </row>
    <row r="98" customFormat="false" ht="15" hidden="false" customHeight="false" outlineLevel="0" collapsed="false">
      <c r="A98" s="249" t="n">
        <v>4</v>
      </c>
      <c r="B98" s="243" t="s">
        <v>97</v>
      </c>
      <c r="C98" s="200" t="n">
        <v>0</v>
      </c>
      <c r="D98" s="200" t="n">
        <v>0</v>
      </c>
      <c r="E98" s="201" t="n">
        <v>0</v>
      </c>
      <c r="F98" s="200" t="n">
        <v>0</v>
      </c>
      <c r="G98" s="200" t="n">
        <v>0</v>
      </c>
      <c r="H98" s="201" t="n">
        <v>0</v>
      </c>
      <c r="I98" s="200" t="n">
        <v>6671</v>
      </c>
      <c r="J98" s="200" t="n">
        <v>9664</v>
      </c>
      <c r="K98" s="201" t="n">
        <f aca="false">I98/J98*100-100</f>
        <v>-30.9706125827815</v>
      </c>
      <c r="L98" s="200" t="n">
        <v>0</v>
      </c>
      <c r="M98" s="200" t="n">
        <v>0</v>
      </c>
      <c r="N98" s="201" t="n">
        <v>0</v>
      </c>
      <c r="O98" s="203" t="n">
        <v>25</v>
      </c>
      <c r="P98" s="250" t="n">
        <v>149</v>
      </c>
      <c r="Q98" s="203" t="n">
        <v>25</v>
      </c>
      <c r="R98" s="202" t="n">
        <f aca="false">O98*P98</f>
        <v>3725</v>
      </c>
    </row>
    <row r="99" customFormat="false" ht="15" hidden="false" customHeight="false" outlineLevel="0" collapsed="false">
      <c r="A99" s="249" t="n">
        <v>5</v>
      </c>
      <c r="B99" s="245" t="s">
        <v>98</v>
      </c>
      <c r="C99" s="250" t="n">
        <v>288543</v>
      </c>
      <c r="D99" s="250" t="n">
        <v>262031</v>
      </c>
      <c r="E99" s="201" t="n">
        <f aca="false">C99/D99*100-100</f>
        <v>10.1178868149188</v>
      </c>
      <c r="F99" s="250" t="n">
        <v>25585</v>
      </c>
      <c r="G99" s="250" t="n">
        <v>57027</v>
      </c>
      <c r="H99" s="201" t="n">
        <v>0</v>
      </c>
      <c r="I99" s="250" t="n">
        <v>250815</v>
      </c>
      <c r="J99" s="250" t="n">
        <v>295210</v>
      </c>
      <c r="K99" s="201" t="n">
        <f aca="false">I99/J99*100-100</f>
        <v>-15.0384472070729</v>
      </c>
      <c r="L99" s="250" t="n">
        <v>250815</v>
      </c>
      <c r="M99" s="250" t="n">
        <v>295210</v>
      </c>
      <c r="N99" s="201" t="n">
        <f aca="false">L99/M99*100-100</f>
        <v>-15.0384472070729</v>
      </c>
      <c r="O99" s="252" t="n">
        <v>408</v>
      </c>
      <c r="P99" s="250" t="n">
        <v>52</v>
      </c>
      <c r="Q99" s="252" t="n">
        <v>409</v>
      </c>
      <c r="R99" s="202" t="n">
        <f aca="false">O99*P99</f>
        <v>21216</v>
      </c>
    </row>
    <row r="100" customFormat="false" ht="15" hidden="false" customHeight="false" outlineLevel="0" collapsed="false">
      <c r="A100" s="249" t="n">
        <v>6</v>
      </c>
      <c r="B100" s="245" t="s">
        <v>99</v>
      </c>
      <c r="C100" s="200" t="n">
        <v>0</v>
      </c>
      <c r="D100" s="200" t="n">
        <v>0</v>
      </c>
      <c r="E100" s="201" t="n">
        <v>0</v>
      </c>
      <c r="F100" s="200" t="n">
        <v>0</v>
      </c>
      <c r="G100" s="200" t="n">
        <v>0</v>
      </c>
      <c r="H100" s="201" t="n">
        <v>0</v>
      </c>
      <c r="I100" s="200" t="n">
        <v>0</v>
      </c>
      <c r="J100" s="200" t="n">
        <v>0</v>
      </c>
      <c r="K100" s="201" t="n">
        <v>0</v>
      </c>
      <c r="L100" s="200" t="n">
        <v>0</v>
      </c>
      <c r="M100" s="200" t="n">
        <v>0</v>
      </c>
      <c r="N100" s="201" t="n">
        <v>0</v>
      </c>
      <c r="O100" s="203" t="n">
        <v>0</v>
      </c>
      <c r="P100" s="204" t="n">
        <v>0</v>
      </c>
      <c r="Q100" s="203" t="n">
        <v>0</v>
      </c>
      <c r="R100" s="202" t="n">
        <f aca="false">O100*P100</f>
        <v>0</v>
      </c>
    </row>
    <row r="101" customFormat="false" ht="15" hidden="false" customHeight="false" outlineLevel="0" collapsed="false">
      <c r="A101" s="249" t="n">
        <v>7</v>
      </c>
      <c r="B101" s="243" t="s">
        <v>100</v>
      </c>
      <c r="C101" s="200" t="n">
        <v>0</v>
      </c>
      <c r="D101" s="200" t="n">
        <v>0</v>
      </c>
      <c r="E101" s="201" t="n">
        <v>0</v>
      </c>
      <c r="F101" s="200" t="n">
        <v>0</v>
      </c>
      <c r="G101" s="200" t="n">
        <v>0</v>
      </c>
      <c r="H101" s="201" t="n">
        <v>0</v>
      </c>
      <c r="I101" s="200" t="n">
        <v>0</v>
      </c>
      <c r="J101" s="200" t="n">
        <v>0</v>
      </c>
      <c r="K101" s="201" t="n">
        <v>0</v>
      </c>
      <c r="L101" s="200" t="n">
        <v>0</v>
      </c>
      <c r="M101" s="200" t="n">
        <v>0</v>
      </c>
      <c r="N101" s="201" t="n">
        <v>0</v>
      </c>
      <c r="O101" s="203" t="n">
        <v>0</v>
      </c>
      <c r="P101" s="204" t="n">
        <v>0</v>
      </c>
      <c r="Q101" s="203" t="n">
        <v>0</v>
      </c>
      <c r="R101" s="202" t="n">
        <f aca="false">O101*P101</f>
        <v>0</v>
      </c>
    </row>
    <row r="102" customFormat="false" ht="15" hidden="false" customHeight="false" outlineLevel="0" collapsed="false">
      <c r="A102" s="249" t="n">
        <v>8</v>
      </c>
      <c r="B102" s="245" t="s">
        <v>101</v>
      </c>
      <c r="C102" s="208" t="n">
        <v>179880</v>
      </c>
      <c r="D102" s="208" t="n">
        <v>98618</v>
      </c>
      <c r="E102" s="201" t="n">
        <f aca="false">C102/D102*100-100</f>
        <v>82.4007787624977</v>
      </c>
      <c r="F102" s="208" t="n">
        <v>18714</v>
      </c>
      <c r="G102" s="208" t="n">
        <v>20053</v>
      </c>
      <c r="H102" s="201" t="n">
        <f aca="false">F102/G102*100-100</f>
        <v>-6.67730514137536</v>
      </c>
      <c r="I102" s="208" t="n">
        <v>182221</v>
      </c>
      <c r="J102" s="208" t="n">
        <v>69472</v>
      </c>
      <c r="K102" s="201" t="n">
        <f aca="false">I102/J102*100-100</f>
        <v>162.294161676647</v>
      </c>
      <c r="L102" s="208" t="n">
        <v>67551</v>
      </c>
      <c r="M102" s="208" t="n">
        <v>1971</v>
      </c>
      <c r="N102" s="201" t="n">
        <v>0</v>
      </c>
      <c r="O102" s="208" t="n">
        <v>161</v>
      </c>
      <c r="P102" s="208" t="n">
        <v>89</v>
      </c>
      <c r="Q102" s="208" t="n">
        <v>151</v>
      </c>
      <c r="R102" s="202" t="n">
        <f aca="false">O102*P102</f>
        <v>14329</v>
      </c>
    </row>
    <row r="103" customFormat="false" ht="15" hidden="false" customHeight="false" outlineLevel="0" collapsed="false">
      <c r="A103" s="249" t="n">
        <v>9</v>
      </c>
      <c r="B103" s="245" t="s">
        <v>102</v>
      </c>
      <c r="C103" s="200" t="n">
        <v>0</v>
      </c>
      <c r="D103" s="200" t="n">
        <v>0</v>
      </c>
      <c r="E103" s="201" t="n">
        <v>0</v>
      </c>
      <c r="F103" s="200" t="n">
        <v>0</v>
      </c>
      <c r="G103" s="200" t="n">
        <v>0</v>
      </c>
      <c r="H103" s="201" t="n">
        <v>0</v>
      </c>
      <c r="I103" s="200" t="n">
        <v>0</v>
      </c>
      <c r="J103" s="200" t="n">
        <v>0</v>
      </c>
      <c r="K103" s="201" t="n">
        <v>0</v>
      </c>
      <c r="L103" s="200" t="n">
        <v>0</v>
      </c>
      <c r="M103" s="200" t="n">
        <v>0</v>
      </c>
      <c r="N103" s="201" t="n">
        <v>0</v>
      </c>
      <c r="O103" s="203" t="n">
        <v>0</v>
      </c>
      <c r="P103" s="204" t="n">
        <v>0</v>
      </c>
      <c r="Q103" s="203" t="n">
        <v>0</v>
      </c>
      <c r="R103" s="202" t="n">
        <f aca="false">O103*P103</f>
        <v>0</v>
      </c>
    </row>
    <row r="104" customFormat="false" ht="15" hidden="false" customHeight="false" outlineLevel="0" collapsed="false">
      <c r="A104" s="249" t="n">
        <v>10</v>
      </c>
      <c r="B104" s="243" t="s">
        <v>103</v>
      </c>
      <c r="C104" s="203" t="n">
        <v>76233</v>
      </c>
      <c r="D104" s="203" t="n">
        <v>36066</v>
      </c>
      <c r="E104" s="201" t="n">
        <f aca="false">C104/D104*100-100</f>
        <v>111.370820163034</v>
      </c>
      <c r="F104" s="203" t="n">
        <v>26222</v>
      </c>
      <c r="G104" s="203" t="n">
        <v>13057</v>
      </c>
      <c r="H104" s="201" t="n">
        <v>0</v>
      </c>
      <c r="I104" s="203" t="n">
        <v>76233</v>
      </c>
      <c r="J104" s="203" t="n">
        <v>36066</v>
      </c>
      <c r="K104" s="201" t="n">
        <f aca="false">I104/J104*100-100</f>
        <v>111.370820163034</v>
      </c>
      <c r="L104" s="203" t="n">
        <v>76233</v>
      </c>
      <c r="M104" s="203" t="n">
        <v>36066</v>
      </c>
      <c r="N104" s="201" t="n">
        <f aca="false">L104/M104*100-100</f>
        <v>111.370820163034</v>
      </c>
      <c r="O104" s="252" t="n">
        <v>92</v>
      </c>
      <c r="P104" s="250" t="n">
        <v>44</v>
      </c>
      <c r="Q104" s="252" t="n">
        <v>94</v>
      </c>
      <c r="R104" s="202" t="n">
        <f aca="false">O104*P104</f>
        <v>4048</v>
      </c>
    </row>
    <row r="105" customFormat="false" ht="15" hidden="false" customHeight="false" outlineLevel="0" collapsed="false">
      <c r="A105" s="249" t="n">
        <v>11</v>
      </c>
      <c r="B105" s="245" t="s">
        <v>104</v>
      </c>
      <c r="C105" s="200" t="n">
        <v>0</v>
      </c>
      <c r="D105" s="200" t="n">
        <v>0</v>
      </c>
      <c r="E105" s="201" t="n">
        <v>0</v>
      </c>
      <c r="F105" s="200" t="n">
        <v>0</v>
      </c>
      <c r="G105" s="200" t="n">
        <v>0</v>
      </c>
      <c r="H105" s="201" t="n">
        <v>0</v>
      </c>
      <c r="I105" s="200" t="n">
        <v>0</v>
      </c>
      <c r="J105" s="200" t="n">
        <v>0</v>
      </c>
      <c r="K105" s="201" t="n">
        <v>0</v>
      </c>
      <c r="L105" s="200" t="n">
        <v>0</v>
      </c>
      <c r="M105" s="200" t="n">
        <v>0</v>
      </c>
      <c r="N105" s="201" t="n">
        <v>0</v>
      </c>
      <c r="O105" s="203" t="n">
        <v>0</v>
      </c>
      <c r="P105" s="204" t="n">
        <v>0</v>
      </c>
      <c r="Q105" s="203" t="n">
        <v>0</v>
      </c>
      <c r="R105" s="202" t="n">
        <f aca="false">O105*P105</f>
        <v>0</v>
      </c>
    </row>
    <row r="106" customFormat="false" ht="15" hidden="false" customHeight="false" outlineLevel="0" collapsed="false">
      <c r="A106" s="249" t="n">
        <v>12</v>
      </c>
      <c r="B106" s="245" t="s">
        <v>105</v>
      </c>
      <c r="C106" s="251" t="n">
        <v>29730</v>
      </c>
      <c r="D106" s="250" t="n">
        <v>34166</v>
      </c>
      <c r="E106" s="201" t="n">
        <f aca="false">C106/D106*100-100</f>
        <v>-12.9836679740093</v>
      </c>
      <c r="F106" s="251" t="n">
        <v>8500</v>
      </c>
      <c r="G106" s="250" t="n">
        <v>10250</v>
      </c>
      <c r="H106" s="201" t="n">
        <f aca="false">F106/G106*100-100</f>
        <v>-17.0731707317073</v>
      </c>
      <c r="I106" s="251" t="n">
        <v>23800</v>
      </c>
      <c r="J106" s="251" t="n">
        <v>27500</v>
      </c>
      <c r="K106" s="201" t="n">
        <f aca="false">I106/J106*100-100</f>
        <v>-13.4545454545455</v>
      </c>
      <c r="L106" s="250" t="n">
        <v>0</v>
      </c>
      <c r="M106" s="250" t="n">
        <v>0</v>
      </c>
      <c r="N106" s="201" t="n">
        <v>0</v>
      </c>
      <c r="O106" s="252" t="n">
        <v>15</v>
      </c>
      <c r="P106" s="250" t="n">
        <v>55</v>
      </c>
      <c r="Q106" s="252" t="n">
        <v>0</v>
      </c>
      <c r="R106" s="202" t="n">
        <f aca="false">O106*P106</f>
        <v>825</v>
      </c>
    </row>
    <row r="107" customFormat="false" ht="15" hidden="false" customHeight="false" outlineLevel="0" collapsed="false">
      <c r="A107" s="249" t="n">
        <v>13</v>
      </c>
      <c r="B107" s="245" t="s">
        <v>106</v>
      </c>
      <c r="C107" s="251" t="n">
        <v>6191</v>
      </c>
      <c r="D107" s="250" t="n">
        <v>32876</v>
      </c>
      <c r="E107" s="201" t="n">
        <f aca="false">C107/D107*100-100</f>
        <v>-81.1686336537292</v>
      </c>
      <c r="F107" s="251" t="n">
        <v>2251</v>
      </c>
      <c r="G107" s="251" t="n">
        <v>7276</v>
      </c>
      <c r="H107" s="201" t="n">
        <f aca="false">F107/G107*100-100</f>
        <v>-69.062671797691</v>
      </c>
      <c r="I107" s="251" t="n">
        <v>7781</v>
      </c>
      <c r="J107" s="251" t="n">
        <v>71783</v>
      </c>
      <c r="K107" s="201" t="n">
        <f aca="false">I107/J107*100-100</f>
        <v>-89.160386163855</v>
      </c>
      <c r="L107" s="250" t="n">
        <v>1529</v>
      </c>
      <c r="M107" s="250" t="n">
        <f aca="false">28982+39209</f>
        <v>68191</v>
      </c>
      <c r="N107" s="201" t="n">
        <f aca="false">L107/M107*100-100</f>
        <v>-97.7577686204925</v>
      </c>
      <c r="O107" s="252" t="n">
        <v>53</v>
      </c>
      <c r="P107" s="250" t="n">
        <v>53</v>
      </c>
      <c r="Q107" s="252" t="n">
        <v>56</v>
      </c>
      <c r="R107" s="202" t="n">
        <f aca="false">O107*P107</f>
        <v>2809</v>
      </c>
    </row>
    <row r="108" customFormat="false" ht="15" hidden="false" customHeight="false" outlineLevel="0" collapsed="false">
      <c r="A108" s="249" t="n">
        <v>14</v>
      </c>
      <c r="B108" s="245" t="s">
        <v>107</v>
      </c>
      <c r="C108" s="200" t="n">
        <v>0</v>
      </c>
      <c r="D108" s="200" t="n">
        <v>0</v>
      </c>
      <c r="E108" s="201" t="n">
        <v>0</v>
      </c>
      <c r="F108" s="200" t="n">
        <v>0</v>
      </c>
      <c r="G108" s="200" t="n">
        <v>0</v>
      </c>
      <c r="H108" s="201" t="n">
        <v>0</v>
      </c>
      <c r="I108" s="200" t="n">
        <v>0</v>
      </c>
      <c r="J108" s="200" t="n">
        <v>0</v>
      </c>
      <c r="K108" s="201" t="n">
        <v>0</v>
      </c>
      <c r="L108" s="200" t="n">
        <v>0</v>
      </c>
      <c r="M108" s="200" t="n">
        <v>0</v>
      </c>
      <c r="N108" s="201" t="n">
        <v>0</v>
      </c>
      <c r="O108" s="203" t="n">
        <v>0</v>
      </c>
      <c r="P108" s="204" t="n">
        <v>0</v>
      </c>
      <c r="Q108" s="203" t="n">
        <v>0</v>
      </c>
      <c r="R108" s="202" t="n">
        <f aca="false">O108*P108</f>
        <v>0</v>
      </c>
    </row>
    <row r="109" customFormat="false" ht="15" hidden="false" customHeight="false" outlineLevel="0" collapsed="false">
      <c r="A109" s="249" t="n">
        <v>15</v>
      </c>
      <c r="B109" s="245" t="s">
        <v>108</v>
      </c>
      <c r="C109" s="208" t="n">
        <v>68395</v>
      </c>
      <c r="D109" s="208" t="n">
        <v>26490</v>
      </c>
      <c r="E109" s="201" t="n">
        <f aca="false">C109/D109*100-100</f>
        <v>158.191770479426</v>
      </c>
      <c r="F109" s="208" t="n">
        <v>0</v>
      </c>
      <c r="G109" s="208" t="n">
        <v>0</v>
      </c>
      <c r="H109" s="201" t="n">
        <v>0</v>
      </c>
      <c r="I109" s="208" t="n">
        <v>68295</v>
      </c>
      <c r="J109" s="208" t="n">
        <v>26490</v>
      </c>
      <c r="K109" s="201" t="n">
        <f aca="false">I109/J109*100-100</f>
        <v>157.814269535674</v>
      </c>
      <c r="L109" s="208" t="n">
        <v>68395</v>
      </c>
      <c r="M109" s="208" t="n">
        <v>26490</v>
      </c>
      <c r="N109" s="201" t="n">
        <f aca="false">L109/M109*100-100</f>
        <v>158.191770479426</v>
      </c>
      <c r="O109" s="203"/>
      <c r="P109" s="204" t="n">
        <v>80</v>
      </c>
      <c r="Q109" s="203" t="n">
        <v>87</v>
      </c>
      <c r="R109" s="202" t="n">
        <f aca="false">O109*P109</f>
        <v>0</v>
      </c>
    </row>
    <row r="110" customFormat="false" ht="15" hidden="false" customHeight="false" outlineLevel="0" collapsed="false">
      <c r="A110" s="249" t="n">
        <v>16</v>
      </c>
      <c r="B110" s="245" t="s">
        <v>109</v>
      </c>
      <c r="C110" s="208" t="n">
        <v>85824</v>
      </c>
      <c r="D110" s="208" t="n">
        <v>187177</v>
      </c>
      <c r="E110" s="201" t="n">
        <f aca="false">C110/D110*100-100</f>
        <v>-54.1482126543325</v>
      </c>
      <c r="F110" s="208" t="n">
        <v>29814</v>
      </c>
      <c r="G110" s="208" t="n">
        <v>16700</v>
      </c>
      <c r="H110" s="201" t="n">
        <f aca="false">F110/G110*100-100</f>
        <v>78.5269461077844</v>
      </c>
      <c r="I110" s="208" t="n">
        <v>86528</v>
      </c>
      <c r="J110" s="208" t="n">
        <v>173051</v>
      </c>
      <c r="K110" s="201" t="n">
        <f aca="false">I110/J110*100-100</f>
        <v>-49.9985553391775</v>
      </c>
      <c r="L110" s="208" t="n">
        <v>0</v>
      </c>
      <c r="M110" s="208" t="n">
        <v>0</v>
      </c>
      <c r="N110" s="201" t="n">
        <v>0</v>
      </c>
      <c r="O110" s="252" t="n">
        <v>68</v>
      </c>
      <c r="P110" s="204" t="n">
        <v>65</v>
      </c>
      <c r="Q110" s="252" t="n">
        <v>65</v>
      </c>
      <c r="R110" s="202" t="n">
        <f aca="false">O110*P110</f>
        <v>4420</v>
      </c>
    </row>
    <row r="111" customFormat="false" ht="15" hidden="false" customHeight="false" outlineLevel="0" collapsed="false">
      <c r="A111" s="249" t="n">
        <v>17</v>
      </c>
      <c r="B111" s="245" t="s">
        <v>110</v>
      </c>
      <c r="C111" s="251" t="n">
        <v>213029</v>
      </c>
      <c r="D111" s="250" t="n">
        <v>304945</v>
      </c>
      <c r="E111" s="201" t="n">
        <f aca="false">C111/D111*100-100</f>
        <v>-30.1418288543836</v>
      </c>
      <c r="F111" s="251" t="n">
        <v>31051</v>
      </c>
      <c r="G111" s="251" t="n">
        <v>78880</v>
      </c>
      <c r="H111" s="201" t="n">
        <f aca="false">F111/G111*100-100</f>
        <v>-60.6351419878296</v>
      </c>
      <c r="I111" s="251" t="n">
        <v>133142</v>
      </c>
      <c r="J111" s="251" t="n">
        <v>238128</v>
      </c>
      <c r="K111" s="201" t="n">
        <f aca="false">I111/J111*100-100</f>
        <v>-44.0880534838406</v>
      </c>
      <c r="L111" s="250" t="n">
        <v>0</v>
      </c>
      <c r="M111" s="250" t="n">
        <v>0</v>
      </c>
      <c r="N111" s="201" t="n">
        <v>0</v>
      </c>
      <c r="O111" s="252" t="n">
        <v>171</v>
      </c>
      <c r="P111" s="250" t="n">
        <v>65</v>
      </c>
      <c r="Q111" s="252" t="n">
        <v>171</v>
      </c>
      <c r="R111" s="202" t="n">
        <f aca="false">O111*P111</f>
        <v>11115</v>
      </c>
    </row>
    <row r="112" customFormat="false" ht="15" hidden="false" customHeight="false" outlineLevel="0" collapsed="false">
      <c r="A112" s="249" t="n">
        <v>18</v>
      </c>
      <c r="B112" s="243" t="s">
        <v>111</v>
      </c>
      <c r="C112" s="208" t="n">
        <v>235252</v>
      </c>
      <c r="D112" s="208" t="n">
        <v>174301</v>
      </c>
      <c r="E112" s="201" t="n">
        <f aca="false">C112/D112*100-100</f>
        <v>34.9688183085582</v>
      </c>
      <c r="F112" s="208" t="n">
        <v>31149</v>
      </c>
      <c r="G112" s="208" t="n">
        <v>50914</v>
      </c>
      <c r="H112" s="201" t="n">
        <f aca="false">F112/G112*100-100</f>
        <v>-38.8203637506383</v>
      </c>
      <c r="I112" s="208" t="n">
        <v>235252</v>
      </c>
      <c r="J112" s="208" t="n">
        <v>174301</v>
      </c>
      <c r="K112" s="201" t="n">
        <f aca="false">I112/J112*100-100</f>
        <v>34.9688183085582</v>
      </c>
      <c r="L112" s="208" t="n">
        <v>235252</v>
      </c>
      <c r="M112" s="208" t="n">
        <v>174301</v>
      </c>
      <c r="N112" s="201" t="n">
        <f aca="false">L112/M112*100-100</f>
        <v>34.9688183085582</v>
      </c>
      <c r="O112" s="252" t="n">
        <v>406</v>
      </c>
      <c r="P112" s="250" t="n">
        <v>68</v>
      </c>
      <c r="Q112" s="252" t="n">
        <v>398</v>
      </c>
      <c r="R112" s="202" t="n">
        <f aca="false">O112*P112</f>
        <v>27608</v>
      </c>
    </row>
    <row r="113" customFormat="false" ht="15" hidden="false" customHeight="false" outlineLevel="0" collapsed="false">
      <c r="A113" s="249" t="n">
        <v>19</v>
      </c>
      <c r="B113" s="245" t="s">
        <v>112</v>
      </c>
      <c r="C113" s="200" t="n">
        <v>0</v>
      </c>
      <c r="D113" s="200" t="n">
        <v>0</v>
      </c>
      <c r="E113" s="201" t="n">
        <v>0</v>
      </c>
      <c r="F113" s="200" t="n">
        <v>0</v>
      </c>
      <c r="G113" s="200" t="n">
        <v>0</v>
      </c>
      <c r="H113" s="201" t="n">
        <v>0</v>
      </c>
      <c r="I113" s="200" t="n">
        <v>0</v>
      </c>
      <c r="J113" s="200" t="n">
        <v>0</v>
      </c>
      <c r="K113" s="201" t="n">
        <v>0</v>
      </c>
      <c r="L113" s="200" t="n">
        <v>0</v>
      </c>
      <c r="M113" s="200" t="n">
        <v>0</v>
      </c>
      <c r="N113" s="201" t="n">
        <v>0</v>
      </c>
      <c r="O113" s="203" t="n">
        <v>0</v>
      </c>
      <c r="P113" s="204" t="n">
        <v>0</v>
      </c>
      <c r="Q113" s="203" t="n">
        <v>0</v>
      </c>
      <c r="R113" s="202" t="n">
        <f aca="false">O113*P113</f>
        <v>0</v>
      </c>
    </row>
    <row r="114" customFormat="false" ht="15" hidden="false" customHeight="false" outlineLevel="0" collapsed="false">
      <c r="A114" s="249" t="n">
        <v>20</v>
      </c>
      <c r="B114" s="245" t="s">
        <v>113</v>
      </c>
      <c r="C114" s="200" t="n">
        <v>0</v>
      </c>
      <c r="D114" s="200" t="n">
        <v>0</v>
      </c>
      <c r="E114" s="201" t="n">
        <v>0</v>
      </c>
      <c r="F114" s="200" t="n">
        <v>0</v>
      </c>
      <c r="G114" s="200" t="n">
        <v>0</v>
      </c>
      <c r="H114" s="201" t="n">
        <v>0</v>
      </c>
      <c r="I114" s="200" t="n">
        <v>0</v>
      </c>
      <c r="J114" s="200" t="n">
        <v>0</v>
      </c>
      <c r="K114" s="201" t="n">
        <v>0</v>
      </c>
      <c r="L114" s="200" t="n">
        <v>0</v>
      </c>
      <c r="M114" s="200" t="n">
        <v>0</v>
      </c>
      <c r="N114" s="201" t="n">
        <v>0</v>
      </c>
      <c r="O114" s="203" t="n">
        <v>0</v>
      </c>
      <c r="P114" s="204" t="n">
        <v>0</v>
      </c>
      <c r="Q114" s="203" t="n">
        <v>0</v>
      </c>
      <c r="R114" s="202" t="n">
        <f aca="false">O114*P114</f>
        <v>0</v>
      </c>
    </row>
    <row r="115" customFormat="false" ht="15" hidden="false" customHeight="false" outlineLevel="0" collapsed="false">
      <c r="A115" s="249" t="n">
        <v>21</v>
      </c>
      <c r="B115" s="245" t="s">
        <v>114</v>
      </c>
      <c r="C115" s="250" t="n">
        <v>24495</v>
      </c>
      <c r="D115" s="250" t="n">
        <v>12518</v>
      </c>
      <c r="E115" s="201" t="n">
        <f aca="false">C115/D115*100-100</f>
        <v>95.678223358364</v>
      </c>
      <c r="F115" s="250" t="n">
        <v>2623</v>
      </c>
      <c r="G115" s="250" t="n">
        <v>3483</v>
      </c>
      <c r="H115" s="201" t="n">
        <f aca="false">F115/G115*100-100</f>
        <v>-24.6913580246914</v>
      </c>
      <c r="I115" s="250" t="n">
        <v>24495</v>
      </c>
      <c r="J115" s="250" t="n">
        <v>12518</v>
      </c>
      <c r="K115" s="201" t="n">
        <f aca="false">I115/J115*100-100</f>
        <v>95.678223358364</v>
      </c>
      <c r="L115" s="250" t="n">
        <v>23641</v>
      </c>
      <c r="M115" s="250" t="n">
        <v>12518</v>
      </c>
      <c r="N115" s="201" t="n">
        <f aca="false">L115/M115*100-100</f>
        <v>88.8560472918997</v>
      </c>
      <c r="O115" s="252" t="n">
        <v>15</v>
      </c>
      <c r="P115" s="250" t="n">
        <v>60</v>
      </c>
      <c r="Q115" s="252" t="n">
        <v>13</v>
      </c>
      <c r="R115" s="202" t="n">
        <f aca="false">O115*P115</f>
        <v>900</v>
      </c>
    </row>
    <row r="116" customFormat="false" ht="15" hidden="false" customHeight="false" outlineLevel="0" collapsed="false">
      <c r="A116" s="249" t="n">
        <v>22</v>
      </c>
      <c r="B116" s="243" t="s">
        <v>115</v>
      </c>
      <c r="C116" s="251" t="n">
        <v>10490</v>
      </c>
      <c r="D116" s="251" t="n">
        <v>8050</v>
      </c>
      <c r="E116" s="201" t="n">
        <f aca="false">C116/D116*100-100</f>
        <v>30.3105590062112</v>
      </c>
      <c r="F116" s="251" t="n">
        <v>3360</v>
      </c>
      <c r="G116" s="251" t="n">
        <v>2520</v>
      </c>
      <c r="H116" s="201" t="n">
        <f aca="false">F116/G116*100-100</f>
        <v>33.3333333333333</v>
      </c>
      <c r="I116" s="251" t="n">
        <v>17458</v>
      </c>
      <c r="J116" s="251" t="n">
        <v>15388</v>
      </c>
      <c r="K116" s="201" t="n">
        <f aca="false">I116/J116*100-100</f>
        <v>13.4520405510788</v>
      </c>
      <c r="L116" s="250" t="n">
        <v>0</v>
      </c>
      <c r="M116" s="251" t="n">
        <v>0</v>
      </c>
      <c r="N116" s="201" t="n">
        <v>0</v>
      </c>
      <c r="O116" s="252" t="n">
        <v>12</v>
      </c>
      <c r="P116" s="250" t="n">
        <v>79</v>
      </c>
      <c r="Q116" s="252" t="n">
        <v>12</v>
      </c>
      <c r="R116" s="202" t="n">
        <f aca="false">O116*P116</f>
        <v>948</v>
      </c>
    </row>
    <row r="117" customFormat="false" ht="15" hidden="false" customHeight="false" outlineLevel="0" collapsed="false">
      <c r="A117" s="249" t="n">
        <v>23</v>
      </c>
      <c r="B117" s="243" t="s">
        <v>116</v>
      </c>
      <c r="C117" s="251" t="n">
        <v>48032</v>
      </c>
      <c r="D117" s="250" t="n">
        <v>43847</v>
      </c>
      <c r="E117" s="201" t="n">
        <v>0</v>
      </c>
      <c r="F117" s="251" t="n">
        <v>11878</v>
      </c>
      <c r="G117" s="251" t="n">
        <v>16435</v>
      </c>
      <c r="H117" s="201" t="n">
        <v>0</v>
      </c>
      <c r="I117" s="251" t="n">
        <v>48767</v>
      </c>
      <c r="J117" s="251" t="n">
        <v>45186</v>
      </c>
      <c r="K117" s="201" t="n">
        <v>0</v>
      </c>
      <c r="L117" s="250" t="n">
        <v>0</v>
      </c>
      <c r="M117" s="250" t="n">
        <v>0</v>
      </c>
      <c r="N117" s="201" t="n">
        <v>0</v>
      </c>
      <c r="O117" s="252" t="n">
        <v>42</v>
      </c>
      <c r="P117" s="250" t="n">
        <v>60</v>
      </c>
      <c r="Q117" s="252" t="n">
        <v>0</v>
      </c>
      <c r="R117" s="202" t="n">
        <f aca="false">O117*P117</f>
        <v>2520</v>
      </c>
    </row>
    <row r="118" customFormat="false" ht="15" hidden="false" customHeight="false" outlineLevel="0" collapsed="false">
      <c r="A118" s="249" t="n">
        <v>24</v>
      </c>
      <c r="B118" s="245" t="s">
        <v>117</v>
      </c>
      <c r="C118" s="250" t="n">
        <v>22980</v>
      </c>
      <c r="D118" s="250" t="n">
        <v>12301</v>
      </c>
      <c r="E118" s="201" t="n">
        <f aca="false">C118/D118*100-100</f>
        <v>86.8140801560849</v>
      </c>
      <c r="F118" s="250" t="n">
        <v>1357</v>
      </c>
      <c r="G118" s="251" t="n">
        <v>1766</v>
      </c>
      <c r="H118" s="201" t="n">
        <v>0</v>
      </c>
      <c r="I118" s="250" t="n">
        <v>56209</v>
      </c>
      <c r="J118" s="250" t="n">
        <v>63274</v>
      </c>
      <c r="K118" s="201" t="n">
        <f aca="false">I118/J118*100-100</f>
        <v>-11.165723677972</v>
      </c>
      <c r="L118" s="254" t="n">
        <v>0</v>
      </c>
      <c r="M118" s="250" t="n">
        <v>0</v>
      </c>
      <c r="N118" s="201" t="n">
        <v>0</v>
      </c>
      <c r="O118" s="252" t="n">
        <v>55</v>
      </c>
      <c r="P118" s="250" t="n">
        <v>56</v>
      </c>
      <c r="Q118" s="252" t="n">
        <v>56</v>
      </c>
      <c r="R118" s="202" t="n">
        <f aca="false">O118*P118</f>
        <v>3080</v>
      </c>
    </row>
    <row r="119" customFormat="false" ht="15" hidden="false" customHeight="false" outlineLevel="0" collapsed="false">
      <c r="A119" s="249" t="n">
        <v>25</v>
      </c>
      <c r="B119" s="245" t="s">
        <v>118</v>
      </c>
      <c r="C119" s="250" t="n">
        <v>14538</v>
      </c>
      <c r="D119" s="250" t="n">
        <v>15110</v>
      </c>
      <c r="E119" s="201" t="n">
        <f aca="false">C119/D119*100-100</f>
        <v>-3.78557246856387</v>
      </c>
      <c r="F119" s="250" t="n">
        <v>9845</v>
      </c>
      <c r="G119" s="250" t="n">
        <v>2979</v>
      </c>
      <c r="H119" s="201" t="n">
        <f aca="false">F119/G119*100-100</f>
        <v>230.480026854649</v>
      </c>
      <c r="I119" s="250" t="n">
        <v>15075</v>
      </c>
      <c r="J119" s="250" t="n">
        <v>14348</v>
      </c>
      <c r="K119" s="201" t="n">
        <f aca="false">I119/J119*100-100</f>
        <v>5.06690827989964</v>
      </c>
      <c r="L119" s="250" t="n">
        <v>0</v>
      </c>
      <c r="M119" s="250" t="n">
        <v>0</v>
      </c>
      <c r="N119" s="201" t="n">
        <v>0</v>
      </c>
      <c r="O119" s="252" t="n">
        <v>22</v>
      </c>
      <c r="P119" s="250" t="n">
        <v>50</v>
      </c>
      <c r="Q119" s="252" t="n">
        <v>22</v>
      </c>
      <c r="R119" s="202" t="n">
        <f aca="false">O119*P119</f>
        <v>1100</v>
      </c>
    </row>
    <row r="120" customFormat="false" ht="15" hidden="false" customHeight="false" outlineLevel="0" collapsed="false">
      <c r="A120" s="215" t="s">
        <v>119</v>
      </c>
      <c r="B120" s="215" t="s">
        <v>119</v>
      </c>
      <c r="C120" s="216" t="n">
        <f aca="false">SUM(C95:C119)</f>
        <v>1410485</v>
      </c>
      <c r="D120" s="216" t="n">
        <f aca="false">SUM(D95:D119)</f>
        <v>1347489</v>
      </c>
      <c r="E120" s="313" t="n">
        <f aca="false">C120/D120*100-100</f>
        <v>4.67506599311758</v>
      </c>
      <c r="F120" s="216" t="n">
        <f aca="false">SUM(F95:F119)</f>
        <v>243605</v>
      </c>
      <c r="G120" s="216" t="n">
        <f aca="false">SUM(G95:G119)</f>
        <v>317147</v>
      </c>
      <c r="H120" s="313" t="n">
        <f aca="false">F120/G120*100-100</f>
        <v>-23.1886160045657</v>
      </c>
      <c r="I120" s="216" t="n">
        <f aca="false">SUM(I95:I119)</f>
        <v>1332910</v>
      </c>
      <c r="J120" s="216" t="n">
        <f aca="false">SUM(J95:J119)</f>
        <v>1357454</v>
      </c>
      <c r="K120" s="313" t="n">
        <f aca="false">I120/J120*100-100</f>
        <v>-1.80809073456632</v>
      </c>
      <c r="L120" s="216" t="n">
        <f aca="false">SUM(L95:L119)</f>
        <v>823564</v>
      </c>
      <c r="M120" s="216" t="n">
        <f aca="false">SUM(M95:M119)</f>
        <v>699775</v>
      </c>
      <c r="N120" s="313" t="n">
        <f aca="false">L120/M120*100-100</f>
        <v>17.6898288735665</v>
      </c>
      <c r="O120" s="216" t="n">
        <f aca="false">SUM(O95:O119)</f>
        <v>1855</v>
      </c>
      <c r="P120" s="217" t="n">
        <f aca="false">R120/O120</f>
        <v>69.888409703504</v>
      </c>
      <c r="Q120" s="216" t="n">
        <f aca="false">SUM(Q95:Q119)</f>
        <v>1896</v>
      </c>
      <c r="R120" s="232" t="n">
        <f aca="false">SUM(R95:R119)</f>
        <v>129643</v>
      </c>
    </row>
    <row r="121" customFormat="false" ht="15" hidden="false" customHeight="false" outlineLevel="0" collapsed="false">
      <c r="A121" s="249"/>
      <c r="B121" s="245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51"/>
      <c r="O121" s="203"/>
      <c r="P121" s="204"/>
      <c r="Q121" s="203"/>
      <c r="R121" s="202"/>
    </row>
    <row r="122" customFormat="false" ht="15" hidden="false" customHeight="false" outlineLevel="0" collapsed="false">
      <c r="A122" s="255"/>
      <c r="B122" s="255"/>
      <c r="C122" s="256"/>
      <c r="D122" s="256"/>
      <c r="E122" s="257"/>
      <c r="F122" s="256"/>
      <c r="G122" s="256"/>
      <c r="H122" s="257"/>
      <c r="I122" s="256"/>
      <c r="J122" s="256"/>
      <c r="K122" s="257"/>
      <c r="L122" s="256"/>
      <c r="M122" s="256"/>
      <c r="N122" s="257"/>
      <c r="O122" s="256"/>
      <c r="P122" s="257"/>
      <c r="Q122" s="256"/>
      <c r="R122" s="202" t="n">
        <f aca="false">O122*P122</f>
        <v>0</v>
      </c>
    </row>
    <row r="123" customFormat="false" ht="15" hidden="false" customHeight="false" outlineLevel="0" collapsed="false">
      <c r="A123" s="195"/>
      <c r="B123" s="195" t="s">
        <v>120</v>
      </c>
      <c r="C123" s="195" t="n">
        <v>3</v>
      </c>
      <c r="D123" s="195" t="n">
        <v>4</v>
      </c>
      <c r="E123" s="196" t="n">
        <v>5</v>
      </c>
      <c r="F123" s="195" t="n">
        <v>6</v>
      </c>
      <c r="G123" s="195" t="n">
        <v>7</v>
      </c>
      <c r="H123" s="195" t="n">
        <v>8</v>
      </c>
      <c r="I123" s="195" t="n">
        <v>9</v>
      </c>
      <c r="J123" s="195" t="n">
        <v>10</v>
      </c>
      <c r="K123" s="195" t="n">
        <v>11</v>
      </c>
      <c r="L123" s="195" t="n">
        <v>12</v>
      </c>
      <c r="M123" s="195" t="n">
        <v>13</v>
      </c>
      <c r="N123" s="195" t="n">
        <v>14</v>
      </c>
      <c r="O123" s="195" t="n">
        <v>15</v>
      </c>
      <c r="P123" s="196" t="n">
        <v>16</v>
      </c>
      <c r="Q123" s="195" t="n">
        <v>15</v>
      </c>
      <c r="R123" s="202" t="n">
        <f aca="false">O123*P123</f>
        <v>240</v>
      </c>
    </row>
    <row r="124" customFormat="false" ht="15" hidden="false" customHeight="false" outlineLevel="0" collapsed="false">
      <c r="A124" s="210" t="n">
        <v>1</v>
      </c>
      <c r="B124" s="258" t="s">
        <v>121</v>
      </c>
      <c r="C124" s="200" t="n">
        <v>0</v>
      </c>
      <c r="D124" s="200" t="n">
        <v>0</v>
      </c>
      <c r="E124" s="201" t="n">
        <v>0</v>
      </c>
      <c r="F124" s="200" t="n">
        <v>0</v>
      </c>
      <c r="G124" s="200" t="n">
        <v>0</v>
      </c>
      <c r="H124" s="201" t="n">
        <v>0</v>
      </c>
      <c r="I124" s="200" t="n">
        <v>0</v>
      </c>
      <c r="J124" s="200" t="n">
        <v>0</v>
      </c>
      <c r="K124" s="201" t="n">
        <v>0</v>
      </c>
      <c r="L124" s="200" t="n">
        <v>0</v>
      </c>
      <c r="M124" s="200" t="n">
        <v>0</v>
      </c>
      <c r="N124" s="201" t="n">
        <v>0</v>
      </c>
      <c r="O124" s="203" t="n">
        <v>0</v>
      </c>
      <c r="P124" s="204" t="n">
        <v>0</v>
      </c>
      <c r="Q124" s="203" t="n">
        <v>0</v>
      </c>
      <c r="R124" s="202" t="n">
        <f aca="false">O124*P124</f>
        <v>0</v>
      </c>
    </row>
    <row r="125" s="211" customFormat="true" ht="15" hidden="false" customHeight="false" outlineLevel="0" collapsed="false">
      <c r="A125" s="210" t="n">
        <v>2</v>
      </c>
      <c r="B125" s="258" t="s">
        <v>122</v>
      </c>
      <c r="C125" s="203" t="n">
        <v>52458</v>
      </c>
      <c r="D125" s="203" t="n">
        <v>124355</v>
      </c>
      <c r="E125" s="201" t="n">
        <f aca="false">C125/D125*100-100</f>
        <v>-57.8159301998311</v>
      </c>
      <c r="F125" s="203" t="n">
        <v>18624</v>
      </c>
      <c r="G125" s="203" t="n">
        <v>30178</v>
      </c>
      <c r="H125" s="201" t="n">
        <f aca="false">F125/G125*100-100</f>
        <v>-38.286168732189</v>
      </c>
      <c r="I125" s="203" t="n">
        <v>35390</v>
      </c>
      <c r="J125" s="203" t="n">
        <v>154211</v>
      </c>
      <c r="K125" s="201" t="n">
        <f aca="false">I125/J125*100-100</f>
        <v>-77.050923734364</v>
      </c>
      <c r="L125" s="203" t="n">
        <v>0</v>
      </c>
      <c r="M125" s="203" t="n">
        <v>0</v>
      </c>
      <c r="N125" s="192" t="n">
        <v>0</v>
      </c>
      <c r="O125" s="219" t="n">
        <v>74</v>
      </c>
      <c r="P125" s="204" t="n">
        <v>80</v>
      </c>
      <c r="Q125" s="219" t="n">
        <v>74</v>
      </c>
      <c r="R125" s="202" t="n">
        <f aca="false">O125*P125</f>
        <v>5920</v>
      </c>
    </row>
    <row r="126" customFormat="false" ht="15" hidden="false" customHeight="false" outlineLevel="0" collapsed="false">
      <c r="A126" s="210" t="n">
        <v>3</v>
      </c>
      <c r="B126" s="258" t="s">
        <v>123</v>
      </c>
      <c r="C126" s="200" t="n">
        <v>0</v>
      </c>
      <c r="D126" s="200" t="n">
        <v>0</v>
      </c>
      <c r="E126" s="201" t="n">
        <v>0</v>
      </c>
      <c r="F126" s="200" t="n">
        <v>0</v>
      </c>
      <c r="G126" s="200" t="n">
        <v>0</v>
      </c>
      <c r="H126" s="201" t="n">
        <v>0</v>
      </c>
      <c r="I126" s="200" t="n">
        <v>0</v>
      </c>
      <c r="J126" s="200" t="n">
        <v>0</v>
      </c>
      <c r="K126" s="201" t="n">
        <v>0</v>
      </c>
      <c r="L126" s="200" t="n">
        <v>0</v>
      </c>
      <c r="M126" s="200" t="n">
        <v>0</v>
      </c>
      <c r="N126" s="201" t="n">
        <v>0</v>
      </c>
      <c r="O126" s="203" t="n">
        <v>0</v>
      </c>
      <c r="P126" s="204" t="n">
        <v>0</v>
      </c>
      <c r="Q126" s="203" t="n">
        <v>0</v>
      </c>
      <c r="R126" s="202" t="n">
        <f aca="false">O126*P126</f>
        <v>0</v>
      </c>
    </row>
    <row r="127" customFormat="false" ht="15" hidden="false" customHeight="false" outlineLevel="0" collapsed="false">
      <c r="A127" s="210" t="n">
        <v>4</v>
      </c>
      <c r="B127" s="258" t="s">
        <v>124</v>
      </c>
      <c r="C127" s="200" t="n">
        <v>0</v>
      </c>
      <c r="D127" s="200" t="n">
        <v>0</v>
      </c>
      <c r="E127" s="201" t="n">
        <v>0</v>
      </c>
      <c r="F127" s="200" t="n">
        <v>0</v>
      </c>
      <c r="G127" s="200" t="n">
        <v>0</v>
      </c>
      <c r="H127" s="201" t="n">
        <v>0</v>
      </c>
      <c r="I127" s="200" t="n">
        <v>0</v>
      </c>
      <c r="J127" s="200" t="n">
        <v>0</v>
      </c>
      <c r="K127" s="201" t="n">
        <v>0</v>
      </c>
      <c r="L127" s="200" t="n">
        <v>0</v>
      </c>
      <c r="M127" s="200" t="n">
        <v>0</v>
      </c>
      <c r="N127" s="201" t="n">
        <v>0</v>
      </c>
      <c r="O127" s="203" t="n">
        <v>0</v>
      </c>
      <c r="P127" s="204" t="n">
        <v>0</v>
      </c>
      <c r="Q127" s="203" t="n">
        <v>0</v>
      </c>
      <c r="R127" s="202" t="n">
        <f aca="false">O127*P127</f>
        <v>0</v>
      </c>
    </row>
    <row r="128" customFormat="false" ht="15" hidden="false" customHeight="false" outlineLevel="0" collapsed="false">
      <c r="A128" s="210" t="n">
        <v>5</v>
      </c>
      <c r="B128" s="259" t="s">
        <v>125</v>
      </c>
      <c r="C128" s="251" t="n">
        <v>1050</v>
      </c>
      <c r="D128" s="251" t="n">
        <v>2940</v>
      </c>
      <c r="E128" s="201" t="n">
        <v>0</v>
      </c>
      <c r="F128" s="251" t="n">
        <v>0</v>
      </c>
      <c r="G128" s="251" t="n">
        <v>2940</v>
      </c>
      <c r="H128" s="201" t="n">
        <v>0</v>
      </c>
      <c r="I128" s="251" t="n">
        <v>3211</v>
      </c>
      <c r="J128" s="251" t="n">
        <v>4027</v>
      </c>
      <c r="K128" s="201" t="n">
        <f aca="false">I128/J128*100-100</f>
        <v>-20.263223243109</v>
      </c>
      <c r="L128" s="251" t="n">
        <v>0</v>
      </c>
      <c r="M128" s="251" t="n">
        <v>0</v>
      </c>
      <c r="N128" s="251" t="n">
        <v>0</v>
      </c>
      <c r="O128" s="219" t="n">
        <v>8</v>
      </c>
      <c r="P128" s="261" t="n">
        <v>70</v>
      </c>
      <c r="Q128" s="219" t="n">
        <v>8</v>
      </c>
      <c r="R128" s="202" t="n">
        <f aca="false">O128*P128</f>
        <v>560</v>
      </c>
    </row>
    <row r="129" customFormat="false" ht="15" hidden="false" customHeight="false" outlineLevel="0" collapsed="false">
      <c r="A129" s="210" t="n">
        <v>6</v>
      </c>
      <c r="B129" s="259" t="s">
        <v>126</v>
      </c>
      <c r="C129" s="200" t="n">
        <v>0</v>
      </c>
      <c r="D129" s="200" t="n">
        <v>0</v>
      </c>
      <c r="E129" s="201" t="n">
        <v>0</v>
      </c>
      <c r="F129" s="200" t="n">
        <v>0</v>
      </c>
      <c r="G129" s="200" t="n">
        <v>0</v>
      </c>
      <c r="H129" s="201" t="n">
        <v>0</v>
      </c>
      <c r="I129" s="200" t="n">
        <v>0</v>
      </c>
      <c r="J129" s="200" t="n">
        <v>0</v>
      </c>
      <c r="K129" s="201" t="n">
        <v>0</v>
      </c>
      <c r="L129" s="200" t="n">
        <v>0</v>
      </c>
      <c r="M129" s="200" t="n">
        <v>0</v>
      </c>
      <c r="N129" s="201" t="n">
        <v>0</v>
      </c>
      <c r="O129" s="203" t="n">
        <v>0</v>
      </c>
      <c r="P129" s="204" t="n">
        <v>0</v>
      </c>
      <c r="Q129" s="203" t="n">
        <v>0</v>
      </c>
      <c r="R129" s="202" t="n">
        <f aca="false">O129*P129</f>
        <v>0</v>
      </c>
    </row>
    <row r="130" customFormat="false" ht="15" hidden="false" customHeight="false" outlineLevel="0" collapsed="false">
      <c r="A130" s="210" t="n">
        <v>7</v>
      </c>
      <c r="B130" s="258" t="s">
        <v>127</v>
      </c>
      <c r="C130" s="208" t="n">
        <v>14607</v>
      </c>
      <c r="D130" s="208" t="n">
        <v>7397</v>
      </c>
      <c r="E130" s="201" t="n">
        <f aca="false">C130/D130*100-100</f>
        <v>97.4719480870623</v>
      </c>
      <c r="F130" s="208" t="n">
        <v>3790</v>
      </c>
      <c r="G130" s="208" t="n">
        <v>0</v>
      </c>
      <c r="H130" s="201" t="n">
        <v>0</v>
      </c>
      <c r="I130" s="208" t="n">
        <v>146</v>
      </c>
      <c r="J130" s="208" t="n">
        <v>7397</v>
      </c>
      <c r="K130" s="201" t="n">
        <f aca="false">I130/J130*100-100</f>
        <v>-98.0262268487225</v>
      </c>
      <c r="L130" s="208" t="n">
        <v>0</v>
      </c>
      <c r="M130" s="208" t="n">
        <v>0</v>
      </c>
      <c r="N130" s="192" t="n">
        <v>0</v>
      </c>
      <c r="O130" s="219" t="n">
        <v>14</v>
      </c>
      <c r="P130" s="250" t="n">
        <v>62</v>
      </c>
      <c r="Q130" s="219" t="n">
        <v>14</v>
      </c>
      <c r="R130" s="202" t="n">
        <f aca="false">O130*P130</f>
        <v>868</v>
      </c>
    </row>
    <row r="131" customFormat="false" ht="15" hidden="false" customHeight="false" outlineLevel="0" collapsed="false">
      <c r="A131" s="215" t="s">
        <v>128</v>
      </c>
      <c r="B131" s="215" t="s">
        <v>128</v>
      </c>
      <c r="C131" s="216" t="n">
        <f aca="false">SUM(C124:C130)</f>
        <v>68115</v>
      </c>
      <c r="D131" s="216" t="n">
        <f aca="false">SUM(D124:D130)</f>
        <v>134692</v>
      </c>
      <c r="E131" s="313" t="n">
        <f aca="false">C131/D131*100-100</f>
        <v>-49.4290677991269</v>
      </c>
      <c r="F131" s="216" t="n">
        <f aca="false">SUM(F124:F130)</f>
        <v>22414</v>
      </c>
      <c r="G131" s="216" t="n">
        <f aca="false">SUM(G124:G130)</f>
        <v>33118</v>
      </c>
      <c r="H131" s="313" t="n">
        <f aca="false">F131/G131*100-100</f>
        <v>-32.3207923183767</v>
      </c>
      <c r="I131" s="216" t="n">
        <f aca="false">SUM(I124:I130)</f>
        <v>38747</v>
      </c>
      <c r="J131" s="216" t="n">
        <f aca="false">SUM(J124:J130)</f>
        <v>165635</v>
      </c>
      <c r="K131" s="313" t="n">
        <f aca="false">I131/J131*100-100</f>
        <v>-76.6069973133698</v>
      </c>
      <c r="L131" s="216" t="n">
        <f aca="false">SUM(L124:L130)</f>
        <v>0</v>
      </c>
      <c r="M131" s="216" t="n">
        <f aca="false">SUM(M124:M130)</f>
        <v>0</v>
      </c>
      <c r="N131" s="237" t="n">
        <v>0</v>
      </c>
      <c r="O131" s="216" t="n">
        <f aca="false">SUM(O124:O130)</f>
        <v>96</v>
      </c>
      <c r="P131" s="237" t="n">
        <f aca="false">R131/O131</f>
        <v>76.5416666666667</v>
      </c>
      <c r="Q131" s="216" t="n">
        <f aca="false">SUM(Q124:Q130)</f>
        <v>96</v>
      </c>
      <c r="R131" s="232" t="n">
        <f aca="false">SUM(R124:R130)</f>
        <v>7348</v>
      </c>
    </row>
    <row r="132" customFormat="false" ht="15" hidden="false" customHeight="false" outlineLevel="0" collapsed="false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192"/>
      <c r="L132" s="203"/>
      <c r="M132" s="203"/>
      <c r="N132" s="203"/>
      <c r="O132" s="203"/>
      <c r="P132" s="219"/>
      <c r="Q132" s="203"/>
      <c r="R132" s="197"/>
    </row>
    <row r="133" customFormat="false" ht="15" hidden="false" customHeight="false" outlineLevel="0" collapsed="false">
      <c r="A133" s="190" t="s">
        <v>129</v>
      </c>
      <c r="B133" s="190"/>
      <c r="C133" s="195" t="n">
        <v>3</v>
      </c>
      <c r="D133" s="195" t="n">
        <v>4</v>
      </c>
      <c r="E133" s="196" t="n">
        <v>5</v>
      </c>
      <c r="F133" s="195" t="n">
        <v>6</v>
      </c>
      <c r="G133" s="195" t="n">
        <v>7</v>
      </c>
      <c r="H133" s="195" t="n">
        <v>8</v>
      </c>
      <c r="I133" s="195" t="n">
        <v>9</v>
      </c>
      <c r="J133" s="195" t="n">
        <v>10</v>
      </c>
      <c r="K133" s="195" t="n">
        <v>11</v>
      </c>
      <c r="L133" s="195" t="n">
        <v>12</v>
      </c>
      <c r="M133" s="195" t="n">
        <v>13</v>
      </c>
      <c r="N133" s="195" t="n">
        <v>14</v>
      </c>
      <c r="O133" s="195" t="n">
        <v>15</v>
      </c>
      <c r="P133" s="196" t="n">
        <v>16</v>
      </c>
      <c r="Q133" s="195" t="n">
        <v>15</v>
      </c>
      <c r="R133" s="189"/>
    </row>
    <row r="134" customFormat="false" ht="15" hidden="false" customHeight="false" outlineLevel="0" collapsed="false">
      <c r="A134" s="262" t="n">
        <v>1</v>
      </c>
      <c r="B134" s="243" t="s">
        <v>130</v>
      </c>
      <c r="C134" s="219" t="n">
        <v>51638044</v>
      </c>
      <c r="D134" s="219" t="n">
        <v>46660940</v>
      </c>
      <c r="E134" s="201" t="n">
        <f aca="false">C134/D134*100-100</f>
        <v>10.6665317929729</v>
      </c>
      <c r="F134" s="219" t="n">
        <v>10833512</v>
      </c>
      <c r="G134" s="219" t="n">
        <v>10812927</v>
      </c>
      <c r="H134" s="201" t="n">
        <f aca="false">F134/G134*100-100</f>
        <v>0.190373984768428</v>
      </c>
      <c r="I134" s="262" t="n">
        <v>52105709</v>
      </c>
      <c r="J134" s="262" t="n">
        <v>47002168</v>
      </c>
      <c r="K134" s="201" t="n">
        <f aca="false">I134/J134*100-100</f>
        <v>10.8580970137377</v>
      </c>
      <c r="L134" s="262" t="n">
        <v>26450120</v>
      </c>
      <c r="M134" s="262" t="n">
        <v>21567528</v>
      </c>
      <c r="N134" s="201" t="n">
        <f aca="false">L134/M134*100-100</f>
        <v>22.6386259936697</v>
      </c>
      <c r="O134" s="203" t="n">
        <v>2971</v>
      </c>
      <c r="P134" s="219" t="n">
        <v>145</v>
      </c>
      <c r="Q134" s="203" t="n">
        <v>2965</v>
      </c>
      <c r="R134" s="202" t="n">
        <f aca="false">O134*P134</f>
        <v>430795</v>
      </c>
    </row>
    <row r="135" customFormat="false" ht="15" hidden="false" customHeight="false" outlineLevel="0" collapsed="false">
      <c r="A135" s="262" t="n">
        <v>2</v>
      </c>
      <c r="B135" s="243" t="s">
        <v>131</v>
      </c>
      <c r="C135" s="219" t="n">
        <v>10071870</v>
      </c>
      <c r="D135" s="219" t="n">
        <v>10740135</v>
      </c>
      <c r="E135" s="201" t="n">
        <f aca="false">C135/D135*100-100</f>
        <v>-6.22212849279828</v>
      </c>
      <c r="F135" s="219" t="n">
        <v>2459638</v>
      </c>
      <c r="G135" s="219" t="n">
        <v>2359407</v>
      </c>
      <c r="H135" s="201" t="n">
        <f aca="false">F135/G135*100-100</f>
        <v>4.24814370729594</v>
      </c>
      <c r="I135" s="262" t="n">
        <v>7438921</v>
      </c>
      <c r="J135" s="262" t="n">
        <v>9559647</v>
      </c>
      <c r="K135" s="201" t="n">
        <f aca="false">I135/J135*100-100</f>
        <v>-22.1841455024438</v>
      </c>
      <c r="L135" s="262" t="n">
        <v>7438921</v>
      </c>
      <c r="M135" s="262" t="n">
        <v>9559647</v>
      </c>
      <c r="N135" s="201" t="n">
        <f aca="false">L135/M135*100-100</f>
        <v>-22.1841455024438</v>
      </c>
      <c r="O135" s="203" t="n">
        <v>1002</v>
      </c>
      <c r="P135" s="219" t="n">
        <v>120</v>
      </c>
      <c r="Q135" s="203" t="n">
        <v>1005</v>
      </c>
      <c r="R135" s="202" t="n">
        <f aca="false">O135*P135</f>
        <v>120240</v>
      </c>
    </row>
    <row r="136" customFormat="false" ht="15" hidden="false" customHeight="false" outlineLevel="0" collapsed="false">
      <c r="A136" s="262" t="n">
        <v>3</v>
      </c>
      <c r="B136" s="243" t="s">
        <v>132</v>
      </c>
      <c r="C136" s="219" t="n">
        <v>9892079</v>
      </c>
      <c r="D136" s="219" t="n">
        <v>10825321</v>
      </c>
      <c r="E136" s="201" t="n">
        <f aca="false">C136/D136*100-100</f>
        <v>-8.62091756909564</v>
      </c>
      <c r="F136" s="219" t="n">
        <v>2661572</v>
      </c>
      <c r="G136" s="219" t="n">
        <v>2080799</v>
      </c>
      <c r="H136" s="201" t="n">
        <f aca="false">F136/G136*100-100</f>
        <v>27.9110572429149</v>
      </c>
      <c r="I136" s="262" t="n">
        <v>7191801</v>
      </c>
      <c r="J136" s="262" t="n">
        <v>8404024</v>
      </c>
      <c r="K136" s="201" t="n">
        <f aca="false">I136/J136*100-100</f>
        <v>-14.4243162561173</v>
      </c>
      <c r="L136" s="262" t="n">
        <v>7191801</v>
      </c>
      <c r="M136" s="262" t="n">
        <f aca="false">1958616+6445408</f>
        <v>8404024</v>
      </c>
      <c r="N136" s="201" t="n">
        <f aca="false">L136/M136*100-100</f>
        <v>-14.4243162561173</v>
      </c>
      <c r="O136" s="203" t="n">
        <v>1202</v>
      </c>
      <c r="P136" s="236" t="n">
        <v>306</v>
      </c>
      <c r="Q136" s="203" t="n">
        <v>1206</v>
      </c>
      <c r="R136" s="202" t="n">
        <f aca="false">O136*P136</f>
        <v>367812</v>
      </c>
    </row>
    <row r="137" customFormat="false" ht="15" hidden="false" customHeight="false" outlineLevel="0" collapsed="false">
      <c r="A137" s="262" t="n">
        <v>4</v>
      </c>
      <c r="B137" s="243" t="s">
        <v>133</v>
      </c>
      <c r="C137" s="236" t="n">
        <v>2149038</v>
      </c>
      <c r="D137" s="236" t="n">
        <v>1878546</v>
      </c>
      <c r="E137" s="201" t="n">
        <f aca="false">C137/D137*100-100</f>
        <v>14.3990085949453</v>
      </c>
      <c r="F137" s="203" t="n">
        <v>525983</v>
      </c>
      <c r="G137" s="203" t="n">
        <v>321996</v>
      </c>
      <c r="H137" s="201" t="n">
        <f aca="false">F137/G137*100-100</f>
        <v>63.3507869662977</v>
      </c>
      <c r="I137" s="203" t="n">
        <v>2254213</v>
      </c>
      <c r="J137" s="203" t="n">
        <v>1530136</v>
      </c>
      <c r="K137" s="201" t="n">
        <f aca="false">I137/J137*100-100</f>
        <v>47.3210877987316</v>
      </c>
      <c r="L137" s="203" t="n">
        <v>2254213</v>
      </c>
      <c r="M137" s="203" t="n">
        <v>1530136</v>
      </c>
      <c r="N137" s="201" t="n">
        <f aca="false">L137/M137*100-100</f>
        <v>47.3210877987316</v>
      </c>
      <c r="O137" s="203" t="n">
        <v>519</v>
      </c>
      <c r="P137" s="219" t="n">
        <v>150</v>
      </c>
      <c r="Q137" s="203" t="n">
        <v>527</v>
      </c>
      <c r="R137" s="202" t="n">
        <f aca="false">O137*P137</f>
        <v>77850</v>
      </c>
    </row>
    <row r="138" customFormat="false" ht="15" hidden="false" customHeight="false" outlineLevel="0" collapsed="false">
      <c r="A138" s="262" t="n">
        <v>5</v>
      </c>
      <c r="B138" s="243" t="s">
        <v>134</v>
      </c>
      <c r="C138" s="203" t="n">
        <v>1427801</v>
      </c>
      <c r="D138" s="203" t="n">
        <v>1729565</v>
      </c>
      <c r="E138" s="201" t="n">
        <f aca="false">C138/D138*100-100</f>
        <v>-17.4473928415526</v>
      </c>
      <c r="F138" s="203" t="n">
        <v>396930</v>
      </c>
      <c r="G138" s="203" t="n">
        <v>421524</v>
      </c>
      <c r="H138" s="201" t="n">
        <f aca="false">F138/G138*100-100</f>
        <v>-5.8345432288553</v>
      </c>
      <c r="I138" s="203" t="n">
        <v>1565400</v>
      </c>
      <c r="J138" s="203" t="n">
        <v>667074</v>
      </c>
      <c r="K138" s="201" t="n">
        <f aca="false">I138/J138*100-100</f>
        <v>134.666618695977</v>
      </c>
      <c r="L138" s="203" t="n">
        <v>1565400</v>
      </c>
      <c r="M138" s="203" t="n">
        <v>667074</v>
      </c>
      <c r="N138" s="201" t="n">
        <f aca="false">L138/M138*100-100</f>
        <v>134.666618695977</v>
      </c>
      <c r="O138" s="203" t="n">
        <v>434</v>
      </c>
      <c r="P138" s="204" t="n">
        <v>210</v>
      </c>
      <c r="Q138" s="203" t="n">
        <v>420</v>
      </c>
      <c r="R138" s="202" t="n">
        <f aca="false">O138*P138</f>
        <v>91140</v>
      </c>
    </row>
    <row r="139" customFormat="false" ht="15" hidden="false" customHeight="false" outlineLevel="0" collapsed="false">
      <c r="A139" s="215" t="s">
        <v>135</v>
      </c>
      <c r="B139" s="215" t="s">
        <v>136</v>
      </c>
      <c r="C139" s="237" t="n">
        <f aca="false">SUM(C134:C138)</f>
        <v>75178832</v>
      </c>
      <c r="D139" s="237" t="n">
        <f aca="false">SUM(D134:D138)</f>
        <v>71834507</v>
      </c>
      <c r="E139" s="313" t="n">
        <f aca="false">C139/D139*100-100</f>
        <v>4.65559678720979</v>
      </c>
      <c r="F139" s="237" t="n">
        <f aca="false">SUM(F134:F138)</f>
        <v>16877635</v>
      </c>
      <c r="G139" s="237" t="n">
        <f aca="false">SUM(G134:G138)</f>
        <v>15996653</v>
      </c>
      <c r="H139" s="313" t="n">
        <f aca="false">F139/G139*100-100</f>
        <v>5.50728955613403</v>
      </c>
      <c r="I139" s="237" t="n">
        <f aca="false">SUM(I134:I138)</f>
        <v>70556044</v>
      </c>
      <c r="J139" s="237" t="n">
        <f aca="false">SUM(J134:J138)</f>
        <v>67163049</v>
      </c>
      <c r="K139" s="313" t="n">
        <f aca="false">I139/J139*100-100</f>
        <v>5.05187755844736</v>
      </c>
      <c r="L139" s="237" t="n">
        <f aca="false">SUM(L134:L138)</f>
        <v>44900455</v>
      </c>
      <c r="M139" s="237" t="n">
        <f aca="false">SUM(M134:M138)</f>
        <v>41728409</v>
      </c>
      <c r="N139" s="313" t="n">
        <f aca="false">L139/M139*100-100</f>
        <v>7.60164615909511</v>
      </c>
      <c r="O139" s="237" t="n">
        <f aca="false">SUM(O134:O138)</f>
        <v>6128</v>
      </c>
      <c r="P139" s="237" t="n">
        <f aca="false">R139/O139</f>
        <v>177.519092689295</v>
      </c>
      <c r="Q139" s="237" t="n">
        <f aca="false">SUM(Q134:Q138)</f>
        <v>6123</v>
      </c>
      <c r="R139" s="237" t="n">
        <f aca="false">SUM(R134:R138)</f>
        <v>1087837</v>
      </c>
    </row>
    <row r="140" customFormat="false" ht="15" hidden="false" customHeight="false" outlineLevel="0" collapsed="false">
      <c r="A140" s="263"/>
      <c r="B140" s="263"/>
      <c r="C140" s="264"/>
      <c r="D140" s="264"/>
      <c r="E140" s="265"/>
      <c r="F140" s="266"/>
      <c r="G140" s="266"/>
      <c r="H140" s="265"/>
      <c r="I140" s="266"/>
      <c r="J140" s="266"/>
      <c r="K140" s="265"/>
      <c r="L140" s="266"/>
      <c r="M140" s="266"/>
      <c r="N140" s="265"/>
      <c r="O140" s="266"/>
      <c r="P140" s="264"/>
      <c r="Q140" s="266"/>
      <c r="R140" s="267"/>
    </row>
    <row r="141" customFormat="false" ht="15" hidden="false" customHeight="false" outlineLevel="0" collapsed="false">
      <c r="A141" s="263"/>
      <c r="B141" s="263" t="s">
        <v>137</v>
      </c>
      <c r="C141" s="195" t="n">
        <v>3</v>
      </c>
      <c r="D141" s="195" t="n">
        <v>4</v>
      </c>
      <c r="E141" s="196" t="n">
        <v>5</v>
      </c>
      <c r="F141" s="195" t="n">
        <v>6</v>
      </c>
      <c r="G141" s="195" t="n">
        <v>7</v>
      </c>
      <c r="H141" s="195" t="n">
        <v>8</v>
      </c>
      <c r="I141" s="195" t="n">
        <v>9</v>
      </c>
      <c r="J141" s="195" t="n">
        <v>10</v>
      </c>
      <c r="K141" s="195" t="n">
        <v>11</v>
      </c>
      <c r="L141" s="195" t="n">
        <v>12</v>
      </c>
      <c r="M141" s="195" t="n">
        <v>13</v>
      </c>
      <c r="N141" s="195" t="n">
        <v>14</v>
      </c>
      <c r="O141" s="195" t="n">
        <v>15</v>
      </c>
      <c r="P141" s="196" t="n">
        <v>16</v>
      </c>
      <c r="Q141" s="195" t="n">
        <v>15</v>
      </c>
      <c r="R141" s="267"/>
    </row>
    <row r="142" customFormat="false" ht="15" hidden="false" customHeight="false" outlineLevel="0" collapsed="false">
      <c r="A142" s="262" t="n">
        <v>6</v>
      </c>
      <c r="B142" s="243" t="s">
        <v>138</v>
      </c>
      <c r="C142" s="219" t="n">
        <v>51638044</v>
      </c>
      <c r="D142" s="219" t="n">
        <v>46660940</v>
      </c>
      <c r="E142" s="201" t="n">
        <f aca="false">C142/D142*100-100</f>
        <v>10.6665317929729</v>
      </c>
      <c r="F142" s="219" t="n">
        <v>1083512</v>
      </c>
      <c r="G142" s="219" t="n">
        <v>1081292</v>
      </c>
      <c r="H142" s="201" t="n">
        <f aca="false">F142/G142*100-100</f>
        <v>0.205309944029921</v>
      </c>
      <c r="I142" s="262" t="n">
        <v>52105709</v>
      </c>
      <c r="J142" s="262" t="n">
        <v>47002118</v>
      </c>
      <c r="K142" s="201" t="n">
        <f aca="false">I142/J142*100-100</f>
        <v>10.8582149425692</v>
      </c>
      <c r="L142" s="262" t="n">
        <v>2640120</v>
      </c>
      <c r="M142" s="262" t="n">
        <v>21567528</v>
      </c>
      <c r="N142" s="201" t="n">
        <f aca="false">L142/M142*100-100</f>
        <v>-87.7588196477594</v>
      </c>
      <c r="O142" s="203" t="n">
        <v>490</v>
      </c>
      <c r="P142" s="236" t="n">
        <v>150</v>
      </c>
      <c r="Q142" s="203" t="n">
        <v>490</v>
      </c>
      <c r="R142" s="202" t="n">
        <f aca="false">O142*P142</f>
        <v>73500</v>
      </c>
    </row>
    <row r="143" customFormat="false" ht="15" hidden="false" customHeight="false" outlineLevel="0" collapsed="false">
      <c r="A143" s="262" t="n">
        <v>10</v>
      </c>
      <c r="B143" s="243" t="s">
        <v>139</v>
      </c>
      <c r="C143" s="219" t="n">
        <v>18370488</v>
      </c>
      <c r="D143" s="219" t="n">
        <v>17621740</v>
      </c>
      <c r="E143" s="201" t="n">
        <f aca="false">C143/D143*100-100</f>
        <v>4.24900151744379</v>
      </c>
      <c r="F143" s="236" t="n">
        <v>3357034</v>
      </c>
      <c r="G143" s="236" t="n">
        <v>3481417</v>
      </c>
      <c r="H143" s="201" t="n">
        <f aca="false">F143/G143*100-100</f>
        <v>-3.57276936373896</v>
      </c>
      <c r="I143" s="203" t="n">
        <v>18221613</v>
      </c>
      <c r="J143" s="203" t="n">
        <v>16739880</v>
      </c>
      <c r="K143" s="201" t="n">
        <f aca="false">I143/J143*100-100</f>
        <v>8.85151506462411</v>
      </c>
      <c r="L143" s="203" t="n">
        <v>18777990</v>
      </c>
      <c r="M143" s="203" t="n">
        <v>16697340</v>
      </c>
      <c r="N143" s="201" t="n">
        <f aca="false">L143/M143*100-100</f>
        <v>12.4609668366339</v>
      </c>
      <c r="O143" s="203" t="n">
        <v>655</v>
      </c>
      <c r="P143" s="219" t="n">
        <v>165</v>
      </c>
      <c r="Q143" s="203" t="n">
        <v>659</v>
      </c>
      <c r="R143" s="202" t="n">
        <f aca="false">O143*P143</f>
        <v>108075</v>
      </c>
    </row>
    <row r="144" customFormat="false" ht="15" hidden="false" customHeight="false" outlineLevel="0" collapsed="false">
      <c r="A144" s="262" t="n">
        <v>11</v>
      </c>
      <c r="B144" s="243" t="s">
        <v>140</v>
      </c>
      <c r="C144" s="219" t="n">
        <v>13283102</v>
      </c>
      <c r="D144" s="219" t="n">
        <v>12260208</v>
      </c>
      <c r="E144" s="201" t="n">
        <f aca="false">C144/D144*100-100</f>
        <v>8.34320266018325</v>
      </c>
      <c r="F144" s="203" t="n">
        <v>2889426</v>
      </c>
      <c r="G144" s="203" t="n">
        <v>2937624</v>
      </c>
      <c r="H144" s="201" t="n">
        <f aca="false">F144/G144*100-100</f>
        <v>-1.64071371965915</v>
      </c>
      <c r="I144" s="203" t="n">
        <v>13332883</v>
      </c>
      <c r="J144" s="203" t="n">
        <v>12418175</v>
      </c>
      <c r="K144" s="201" t="n">
        <f aca="false">I144/J144*100-100</f>
        <v>7.36588105740175</v>
      </c>
      <c r="L144" s="203" t="n">
        <v>13332883</v>
      </c>
      <c r="M144" s="203" t="n">
        <v>12418175</v>
      </c>
      <c r="N144" s="201" t="n">
        <f aca="false">L144/M144*100-100</f>
        <v>7.36588105740175</v>
      </c>
      <c r="O144" s="203" t="n">
        <v>558</v>
      </c>
      <c r="P144" s="219" t="n">
        <v>180</v>
      </c>
      <c r="Q144" s="203" t="n">
        <v>557</v>
      </c>
      <c r="R144" s="202" t="n">
        <f aca="false">O144*P144</f>
        <v>100440</v>
      </c>
    </row>
    <row r="145" customFormat="false" ht="15" hidden="false" customHeight="false" outlineLevel="0" collapsed="false">
      <c r="A145" s="262" t="n">
        <v>14</v>
      </c>
      <c r="B145" s="243" t="s">
        <v>141</v>
      </c>
      <c r="C145" s="236" t="n">
        <v>1907561</v>
      </c>
      <c r="D145" s="236" t="n">
        <v>1684724</v>
      </c>
      <c r="E145" s="201" t="n">
        <f aca="false">C145/D145*100-100</f>
        <v>13.2269143194969</v>
      </c>
      <c r="F145" s="262" t="n">
        <v>397852</v>
      </c>
      <c r="G145" s="262" t="n">
        <v>363326</v>
      </c>
      <c r="H145" s="201" t="n">
        <f aca="false">F145/G145*100-100</f>
        <v>9.50276060617736</v>
      </c>
      <c r="I145" s="262" t="n">
        <v>2122118</v>
      </c>
      <c r="J145" s="262" t="n">
        <v>1590688</v>
      </c>
      <c r="K145" s="201" t="n">
        <f aca="false">I145/J145*100-100</f>
        <v>33.4088142992215</v>
      </c>
      <c r="L145" s="262" t="n">
        <v>0</v>
      </c>
      <c r="M145" s="262" t="n">
        <v>0</v>
      </c>
      <c r="N145" s="201" t="n">
        <v>0</v>
      </c>
      <c r="O145" s="203" t="n">
        <v>310</v>
      </c>
      <c r="P145" s="236" t="n">
        <v>58</v>
      </c>
      <c r="Q145" s="203" t="n">
        <v>310</v>
      </c>
      <c r="R145" s="202" t="n">
        <f aca="false">O145*P145</f>
        <v>17980</v>
      </c>
    </row>
    <row r="146" customFormat="false" ht="15" hidden="false" customHeight="false" outlineLevel="0" collapsed="false">
      <c r="A146" s="262" t="n">
        <v>9</v>
      </c>
      <c r="B146" s="243" t="s">
        <v>142</v>
      </c>
      <c r="C146" s="236" t="n">
        <v>12285084</v>
      </c>
      <c r="D146" s="236" t="n">
        <v>10662310</v>
      </c>
      <c r="E146" s="201" t="n">
        <f aca="false">C146/D146*100-100</f>
        <v>15.2197225554312</v>
      </c>
      <c r="F146" s="236" t="n">
        <v>2420813</v>
      </c>
      <c r="G146" s="236" t="n">
        <v>3050915</v>
      </c>
      <c r="H146" s="201" t="n">
        <f aca="false">F146/G146*100-100</f>
        <v>-20.6528861013827</v>
      </c>
      <c r="I146" s="203" t="n">
        <v>11373558</v>
      </c>
      <c r="J146" s="203" t="n">
        <v>10677250</v>
      </c>
      <c r="K146" s="201" t="n">
        <f aca="false">I146/J146*100-100</f>
        <v>6.52141703153902</v>
      </c>
      <c r="L146" s="203" t="n">
        <v>11373558</v>
      </c>
      <c r="M146" s="203" t="n">
        <v>10677250</v>
      </c>
      <c r="N146" s="201" t="n">
        <f aca="false">L146/M146*100-100</f>
        <v>6.52141703153902</v>
      </c>
      <c r="O146" s="203" t="n">
        <v>969</v>
      </c>
      <c r="P146" s="219" t="n">
        <v>100</v>
      </c>
      <c r="Q146" s="203" t="n">
        <v>968</v>
      </c>
      <c r="R146" s="202" t="n">
        <f aca="false">O146*P146</f>
        <v>96900</v>
      </c>
    </row>
    <row r="147" customFormat="false" ht="15" hidden="false" customHeight="false" outlineLevel="0" collapsed="false">
      <c r="A147" s="262" t="n">
        <v>15</v>
      </c>
      <c r="B147" s="243" t="s">
        <v>143</v>
      </c>
      <c r="C147" s="219" t="n">
        <v>14292779</v>
      </c>
      <c r="D147" s="219" t="n">
        <v>13059546</v>
      </c>
      <c r="E147" s="201" t="n">
        <f aca="false">C147/D147*100-100</f>
        <v>9.44315369002872</v>
      </c>
      <c r="F147" s="219" t="n">
        <v>2699319</v>
      </c>
      <c r="G147" s="219" t="n">
        <v>2745927</v>
      </c>
      <c r="H147" s="201" t="n">
        <f aca="false">F147/G147*100-100</f>
        <v>-1.69735029372595</v>
      </c>
      <c r="I147" s="203" t="n">
        <v>14558666</v>
      </c>
      <c r="J147" s="203" t="n">
        <v>11579992</v>
      </c>
      <c r="K147" s="201" t="n">
        <f aca="false">I147/J147*100-100</f>
        <v>25.7225911727746</v>
      </c>
      <c r="L147" s="203" t="n">
        <v>14540050</v>
      </c>
      <c r="M147" s="203" t="n">
        <v>11531043</v>
      </c>
      <c r="N147" s="201" t="n">
        <f aca="false">L147/M147*100-100</f>
        <v>26.094838081863</v>
      </c>
      <c r="O147" s="203" t="n">
        <v>641</v>
      </c>
      <c r="P147" s="219" t="n">
        <v>130</v>
      </c>
      <c r="Q147" s="203" t="n">
        <v>641</v>
      </c>
      <c r="R147" s="202" t="n">
        <f aca="false">O147*P147</f>
        <v>83330</v>
      </c>
    </row>
    <row r="148" customFormat="false" ht="15" hidden="false" customHeight="false" outlineLevel="0" collapsed="false">
      <c r="A148" s="262" t="n">
        <v>13</v>
      </c>
      <c r="B148" s="243" t="s">
        <v>144</v>
      </c>
      <c r="C148" s="200" t="n">
        <v>0</v>
      </c>
      <c r="D148" s="200" t="n">
        <v>0</v>
      </c>
      <c r="E148" s="201" t="n">
        <v>0</v>
      </c>
      <c r="F148" s="200" t="n">
        <v>0</v>
      </c>
      <c r="G148" s="200" t="n">
        <v>0</v>
      </c>
      <c r="H148" s="201" t="n">
        <v>0</v>
      </c>
      <c r="I148" s="200" t="n">
        <v>0</v>
      </c>
      <c r="J148" s="200" t="n">
        <v>0</v>
      </c>
      <c r="K148" s="201" t="n">
        <v>0</v>
      </c>
      <c r="L148" s="200" t="n">
        <v>0</v>
      </c>
      <c r="M148" s="200" t="n">
        <v>0</v>
      </c>
      <c r="N148" s="201" t="n">
        <v>0</v>
      </c>
      <c r="O148" s="203" t="n">
        <v>0</v>
      </c>
      <c r="P148" s="204" t="n">
        <v>0</v>
      </c>
      <c r="Q148" s="203" t="n">
        <v>0</v>
      </c>
      <c r="R148" s="202" t="n">
        <f aca="false">O148*P148</f>
        <v>0</v>
      </c>
    </row>
    <row r="149" customFormat="false" ht="15" hidden="false" customHeight="false" outlineLevel="0" collapsed="false">
      <c r="A149" s="215" t="s">
        <v>145</v>
      </c>
      <c r="B149" s="215" t="s">
        <v>136</v>
      </c>
      <c r="C149" s="237" t="n">
        <f aca="false">SUM(C142:C148)</f>
        <v>111777058</v>
      </c>
      <c r="D149" s="237" t="n">
        <f aca="false">SUM(D142:D148)</f>
        <v>101949468</v>
      </c>
      <c r="E149" s="313" t="n">
        <f aca="false">C149/D149*100-100</f>
        <v>9.63966776167973</v>
      </c>
      <c r="F149" s="237" t="n">
        <f aca="false">SUM(F142:F148)</f>
        <v>12847956</v>
      </c>
      <c r="G149" s="237" t="n">
        <f aca="false">SUM(G142:G148)</f>
        <v>13660501</v>
      </c>
      <c r="H149" s="313" t="n">
        <f aca="false">F149/G149*100-100</f>
        <v>-5.94813469872005</v>
      </c>
      <c r="I149" s="237" t="n">
        <f aca="false">SUM(I142:I148)</f>
        <v>111714547</v>
      </c>
      <c r="J149" s="237" t="n">
        <f aca="false">SUM(J142:J148)</f>
        <v>100008103</v>
      </c>
      <c r="K149" s="313" t="n">
        <f aca="false">I149/J149*100-100</f>
        <v>11.7054955036993</v>
      </c>
      <c r="L149" s="237" t="n">
        <f aca="false">SUM(L142:L148)</f>
        <v>60664601</v>
      </c>
      <c r="M149" s="237" t="n">
        <f aca="false">SUM(M142:M148)</f>
        <v>72891336</v>
      </c>
      <c r="N149" s="313" t="n">
        <f aca="false">L149/M149*100-100</f>
        <v>-16.7739208401942</v>
      </c>
      <c r="O149" s="216" t="n">
        <f aca="false">SUM(O142:O148)</f>
        <v>3623</v>
      </c>
      <c r="P149" s="237" t="n">
        <f aca="false">R149/O149</f>
        <v>132.548992547612</v>
      </c>
      <c r="Q149" s="216" t="n">
        <f aca="false">SUM(Q142:Q148)</f>
        <v>3625</v>
      </c>
      <c r="R149" s="232" t="n">
        <f aca="false">SUM(R142:R148)</f>
        <v>480225</v>
      </c>
    </row>
    <row r="150" customFormat="false" ht="15" hidden="false" customHeight="false" outlineLevel="0" collapsed="false">
      <c r="A150" s="319" t="s">
        <v>146</v>
      </c>
      <c r="B150" s="319" t="s">
        <v>78</v>
      </c>
      <c r="C150" s="320" t="n">
        <f aca="false">C139+C149</f>
        <v>186955890</v>
      </c>
      <c r="D150" s="320" t="n">
        <f aca="false">D139+D149</f>
        <v>173783975</v>
      </c>
      <c r="E150" s="310" t="n">
        <f aca="false">C150/D150*100-100</f>
        <v>7.57947618587961</v>
      </c>
      <c r="F150" s="320" t="n">
        <f aca="false">F139+F149</f>
        <v>29725591</v>
      </c>
      <c r="G150" s="320" t="n">
        <f aca="false">G139+G149</f>
        <v>29657154</v>
      </c>
      <c r="H150" s="310" t="n">
        <f aca="false">F150/G150*100-100</f>
        <v>0.230760510600575</v>
      </c>
      <c r="I150" s="320" t="n">
        <f aca="false">I139+I149</f>
        <v>182270591</v>
      </c>
      <c r="J150" s="320" t="n">
        <f aca="false">J139+J149</f>
        <v>167171152</v>
      </c>
      <c r="K150" s="310" t="n">
        <f aca="false">I150/J150*100-100</f>
        <v>9.03232335205777</v>
      </c>
      <c r="L150" s="320" t="n">
        <f aca="false">L139+L149</f>
        <v>105565056</v>
      </c>
      <c r="M150" s="320" t="n">
        <f aca="false">M139+M149</f>
        <v>114619745</v>
      </c>
      <c r="N150" s="310" t="n">
        <f aca="false">L150/M150*100-100</f>
        <v>-7.89976369254704</v>
      </c>
      <c r="O150" s="320" t="n">
        <f aca="false">O139+O149</f>
        <v>9751</v>
      </c>
      <c r="P150" s="321" t="n">
        <f aca="false">R150/O150</f>
        <v>160.810378422726</v>
      </c>
      <c r="Q150" s="320" t="n">
        <f aca="false">Q139+Q149</f>
        <v>9748</v>
      </c>
      <c r="R150" s="320" t="n">
        <f aca="false">R139+R149</f>
        <v>1568062</v>
      </c>
    </row>
    <row r="151" customFormat="false" ht="15" hidden="false" customHeight="false" outlineLevel="0" collapsed="false">
      <c r="A151" s="263"/>
      <c r="B151" s="263"/>
      <c r="C151" s="264"/>
      <c r="D151" s="264"/>
      <c r="E151" s="265"/>
      <c r="F151" s="266"/>
      <c r="G151" s="266"/>
      <c r="H151" s="265"/>
      <c r="I151" s="266"/>
      <c r="J151" s="266"/>
      <c r="K151" s="265"/>
      <c r="L151" s="266"/>
      <c r="M151" s="266"/>
      <c r="N151" s="265"/>
      <c r="O151" s="266"/>
      <c r="P151" s="264"/>
      <c r="Q151" s="266"/>
      <c r="R151" s="267"/>
    </row>
    <row r="152" customFormat="false" ht="15" hidden="false" customHeight="false" outlineLevel="0" collapsed="false">
      <c r="A152" s="179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189"/>
    </row>
    <row r="153" customFormat="false" ht="15" hidden="false" customHeight="false" outlineLevel="0" collapsed="false">
      <c r="A153" s="270"/>
      <c r="B153" s="270" t="s">
        <v>147</v>
      </c>
      <c r="C153" s="195" t="n">
        <v>3</v>
      </c>
      <c r="D153" s="195" t="n">
        <v>4</v>
      </c>
      <c r="E153" s="196" t="n">
        <v>5</v>
      </c>
      <c r="F153" s="195" t="n">
        <v>6</v>
      </c>
      <c r="G153" s="195" t="n">
        <v>7</v>
      </c>
      <c r="H153" s="195" t="n">
        <v>8</v>
      </c>
      <c r="I153" s="195" t="n">
        <v>9</v>
      </c>
      <c r="J153" s="195" t="n">
        <v>10</v>
      </c>
      <c r="K153" s="195" t="n">
        <v>11</v>
      </c>
      <c r="L153" s="195" t="n">
        <v>12</v>
      </c>
      <c r="M153" s="195" t="n">
        <v>13</v>
      </c>
      <c r="N153" s="195" t="n">
        <v>14</v>
      </c>
      <c r="O153" s="195" t="n">
        <v>15</v>
      </c>
      <c r="P153" s="196" t="n">
        <v>16</v>
      </c>
      <c r="Q153" s="195" t="n">
        <v>15</v>
      </c>
      <c r="R153" s="271"/>
    </row>
    <row r="154" customFormat="false" ht="15" hidden="false" customHeight="false" outlineLevel="0" collapsed="false">
      <c r="A154" s="262" t="n">
        <v>1</v>
      </c>
      <c r="B154" s="272" t="s">
        <v>148</v>
      </c>
      <c r="C154" s="262" t="n">
        <v>14531</v>
      </c>
      <c r="D154" s="262" t="n">
        <v>18736</v>
      </c>
      <c r="E154" s="201" t="n">
        <f aca="false">C154/D154*100-100</f>
        <v>-22.4434244235696</v>
      </c>
      <c r="F154" s="192" t="n">
        <v>4740</v>
      </c>
      <c r="G154" s="262" t="n">
        <v>5523</v>
      </c>
      <c r="H154" s="201" t="n">
        <f aca="false">F154/G154*100-100</f>
        <v>-14.1770776751765</v>
      </c>
      <c r="I154" s="262" t="n">
        <v>14531</v>
      </c>
      <c r="J154" s="262" t="n">
        <v>18736</v>
      </c>
      <c r="K154" s="201" t="n">
        <f aca="false">I154/J154*100-100</f>
        <v>-22.4434244235696</v>
      </c>
      <c r="L154" s="262" t="n">
        <v>0</v>
      </c>
      <c r="M154" s="262" t="n">
        <v>0</v>
      </c>
      <c r="N154" s="201" t="n">
        <v>0</v>
      </c>
      <c r="O154" s="262" t="n">
        <v>51</v>
      </c>
      <c r="P154" s="236" t="n">
        <v>89</v>
      </c>
      <c r="Q154" s="262" t="n">
        <v>51</v>
      </c>
      <c r="R154" s="202" t="n">
        <f aca="false">O154*P154</f>
        <v>4539</v>
      </c>
    </row>
    <row r="155" customFormat="false" ht="15" hidden="false" customHeight="false" outlineLevel="0" collapsed="false">
      <c r="A155" s="262" t="n">
        <v>2</v>
      </c>
      <c r="B155" s="272" t="s">
        <v>149</v>
      </c>
      <c r="C155" s="208" t="n">
        <v>4095156</v>
      </c>
      <c r="D155" s="208" t="n">
        <v>1926276</v>
      </c>
      <c r="E155" s="201" t="n">
        <f aca="false">C155/D155*100-100</f>
        <v>112.594456869109</v>
      </c>
      <c r="F155" s="208" t="n">
        <v>645969</v>
      </c>
      <c r="G155" s="208" t="n">
        <v>255781</v>
      </c>
      <c r="H155" s="201" t="n">
        <f aca="false">F155/G155*100-100</f>
        <v>152.547687279352</v>
      </c>
      <c r="I155" s="208" t="n">
        <v>3381776</v>
      </c>
      <c r="J155" s="208" t="n">
        <v>2155613</v>
      </c>
      <c r="K155" s="201" t="n">
        <f aca="false">I155/J155*100-100</f>
        <v>56.8823346305668</v>
      </c>
      <c r="L155" s="208" t="n">
        <v>1596700</v>
      </c>
      <c r="M155" s="208" t="n">
        <v>866218</v>
      </c>
      <c r="N155" s="201" t="n">
        <f aca="false">L155/M155*100-100</f>
        <v>84.3300416292434</v>
      </c>
      <c r="O155" s="262" t="n">
        <v>555</v>
      </c>
      <c r="P155" s="236" t="n">
        <v>110</v>
      </c>
      <c r="Q155" s="262" t="n">
        <v>556</v>
      </c>
      <c r="R155" s="202" t="n">
        <f aca="false">O155*P155</f>
        <v>61050</v>
      </c>
    </row>
    <row r="156" customFormat="false" ht="15" hidden="false" customHeight="false" outlineLevel="0" collapsed="false">
      <c r="A156" s="262" t="n">
        <v>3</v>
      </c>
      <c r="B156" s="272" t="s">
        <v>150</v>
      </c>
      <c r="C156" s="200" t="n">
        <v>0</v>
      </c>
      <c r="D156" s="200" t="n">
        <v>0</v>
      </c>
      <c r="E156" s="201" t="n">
        <v>0</v>
      </c>
      <c r="F156" s="200" t="n">
        <v>0</v>
      </c>
      <c r="G156" s="200" t="n">
        <v>0</v>
      </c>
      <c r="H156" s="201" t="n">
        <v>0</v>
      </c>
      <c r="I156" s="200" t="n">
        <v>0</v>
      </c>
      <c r="J156" s="200" t="n">
        <v>0</v>
      </c>
      <c r="K156" s="201" t="n">
        <v>0</v>
      </c>
      <c r="L156" s="200" t="n">
        <v>0</v>
      </c>
      <c r="M156" s="200" t="n">
        <v>0</v>
      </c>
      <c r="N156" s="201" t="n">
        <v>0</v>
      </c>
      <c r="O156" s="203" t="n">
        <v>0</v>
      </c>
      <c r="P156" s="204" t="n">
        <v>0</v>
      </c>
      <c r="Q156" s="203" t="n">
        <v>0</v>
      </c>
      <c r="R156" s="202" t="n">
        <f aca="false">O156*P156</f>
        <v>0</v>
      </c>
    </row>
    <row r="157" customFormat="false" ht="15" hidden="false" customHeight="false" outlineLevel="0" collapsed="false">
      <c r="A157" s="262" t="n">
        <v>4</v>
      </c>
      <c r="B157" s="272" t="s">
        <v>151</v>
      </c>
      <c r="C157" s="262" t="n">
        <v>899407</v>
      </c>
      <c r="D157" s="262" t="n">
        <v>1335555</v>
      </c>
      <c r="E157" s="201" t="n">
        <f aca="false">C157/D157*100-100</f>
        <v>-32.6566857972903</v>
      </c>
      <c r="F157" s="262" t="n">
        <v>167387</v>
      </c>
      <c r="G157" s="273" t="n">
        <v>371067</v>
      </c>
      <c r="H157" s="201" t="n">
        <v>0</v>
      </c>
      <c r="I157" s="273" t="n">
        <v>745051</v>
      </c>
      <c r="J157" s="273" t="n">
        <v>1438589</v>
      </c>
      <c r="K157" s="201" t="n">
        <f aca="false">I157/J157*100-100</f>
        <v>-48.2095998231601</v>
      </c>
      <c r="L157" s="273" t="n">
        <f aca="false">453781+22765</f>
        <v>476546</v>
      </c>
      <c r="M157" s="273" t="n">
        <v>918338</v>
      </c>
      <c r="N157" s="201" t="n">
        <f aca="false">L157/M157*100-100</f>
        <v>-48.1077773107505</v>
      </c>
      <c r="O157" s="262" t="n">
        <v>300</v>
      </c>
      <c r="P157" s="236" t="n">
        <v>100</v>
      </c>
      <c r="Q157" s="262" t="n">
        <v>310</v>
      </c>
      <c r="R157" s="202" t="n">
        <f aca="false">O157*P157</f>
        <v>30000</v>
      </c>
    </row>
    <row r="158" customFormat="false" ht="15" hidden="false" customHeight="false" outlineLevel="0" collapsed="false">
      <c r="A158" s="262" t="n">
        <v>5</v>
      </c>
      <c r="B158" s="272" t="s">
        <v>152</v>
      </c>
      <c r="C158" s="200" t="n">
        <v>0</v>
      </c>
      <c r="D158" s="200" t="n">
        <v>0</v>
      </c>
      <c r="E158" s="201" t="n">
        <v>0</v>
      </c>
      <c r="F158" s="200" t="n">
        <v>0</v>
      </c>
      <c r="G158" s="200" t="n">
        <v>0</v>
      </c>
      <c r="H158" s="201" t="n">
        <v>0</v>
      </c>
      <c r="I158" s="200" t="n">
        <v>0</v>
      </c>
      <c r="J158" s="200" t="n">
        <v>0</v>
      </c>
      <c r="K158" s="201" t="n">
        <v>0</v>
      </c>
      <c r="L158" s="200" t="n">
        <v>0</v>
      </c>
      <c r="M158" s="200" t="n">
        <v>0</v>
      </c>
      <c r="N158" s="201" t="n">
        <v>0</v>
      </c>
      <c r="O158" s="203" t="n">
        <v>0</v>
      </c>
      <c r="P158" s="204" t="n">
        <v>0</v>
      </c>
      <c r="Q158" s="203" t="n">
        <v>0</v>
      </c>
      <c r="R158" s="202" t="n">
        <f aca="false">O158*P158</f>
        <v>0</v>
      </c>
    </row>
    <row r="159" customFormat="false" ht="15" hidden="false" customHeight="false" outlineLevel="0" collapsed="false">
      <c r="A159" s="215" t="s">
        <v>153</v>
      </c>
      <c r="B159" s="215" t="s">
        <v>154</v>
      </c>
      <c r="C159" s="216" t="n">
        <f aca="false">SUM(C154:C158)</f>
        <v>5009094</v>
      </c>
      <c r="D159" s="216" t="n">
        <f aca="false">SUM(D154:D158)</f>
        <v>3280567</v>
      </c>
      <c r="E159" s="313" t="n">
        <f aca="false">C159/D159*100-100</f>
        <v>52.6898856203821</v>
      </c>
      <c r="F159" s="216" t="n">
        <f aca="false">SUM(F154:F158)</f>
        <v>818096</v>
      </c>
      <c r="G159" s="216" t="n">
        <f aca="false">SUM(G154:G158)</f>
        <v>632371</v>
      </c>
      <c r="H159" s="313" t="n">
        <f aca="false">F159/G159*100-100</f>
        <v>29.369626374391</v>
      </c>
      <c r="I159" s="216" t="n">
        <f aca="false">SUM(I154:I158)</f>
        <v>4141358</v>
      </c>
      <c r="J159" s="216" t="n">
        <f aca="false">SUM(J154:J158)</f>
        <v>3612938</v>
      </c>
      <c r="K159" s="313" t="n">
        <f aca="false">I159/J159*100-100</f>
        <v>14.62576994125</v>
      </c>
      <c r="L159" s="216" t="n">
        <f aca="false">SUM(L154:L158)</f>
        <v>2073246</v>
      </c>
      <c r="M159" s="216" t="n">
        <f aca="false">SUM(M154:M158)</f>
        <v>1784556</v>
      </c>
      <c r="N159" s="313" t="n">
        <f aca="false">L159/M159*100-100</f>
        <v>16.1771331356371</v>
      </c>
      <c r="O159" s="216" t="n">
        <f aca="false">SUM(O154:O158)</f>
        <v>906</v>
      </c>
      <c r="P159" s="217" t="n">
        <f aca="false">R159/O159</f>
        <v>105.506622516556</v>
      </c>
      <c r="Q159" s="216" t="n">
        <f aca="false">SUM(Q154:Q158)</f>
        <v>917</v>
      </c>
      <c r="R159" s="232" t="n">
        <f aca="false">SUM(R154:R158)</f>
        <v>95589</v>
      </c>
    </row>
    <row r="160" customFormat="false" ht="15" hidden="false" customHeight="false" outlineLevel="0" collapsed="false">
      <c r="A160" s="274"/>
      <c r="B160" s="256"/>
      <c r="C160" s="275"/>
      <c r="D160" s="275"/>
      <c r="E160" s="276"/>
      <c r="F160" s="275"/>
      <c r="G160" s="275"/>
      <c r="H160" s="276"/>
      <c r="I160" s="275"/>
      <c r="J160" s="275"/>
      <c r="K160" s="276"/>
      <c r="L160" s="275"/>
      <c r="M160" s="277"/>
      <c r="N160" s="278"/>
      <c r="O160" s="277"/>
      <c r="P160" s="275"/>
      <c r="Q160" s="277"/>
      <c r="R160" s="279"/>
    </row>
    <row r="161" customFormat="false" ht="15" hidden="false" customHeight="false" outlineLevel="0" collapsed="false">
      <c r="A161" s="280" t="s">
        <v>22</v>
      </c>
      <c r="B161" s="280"/>
      <c r="C161" s="195" t="n">
        <v>3</v>
      </c>
      <c r="D161" s="195" t="n">
        <v>4</v>
      </c>
      <c r="E161" s="196" t="n">
        <v>5</v>
      </c>
      <c r="F161" s="195" t="n">
        <v>6</v>
      </c>
      <c r="G161" s="195" t="n">
        <v>7</v>
      </c>
      <c r="H161" s="195" t="n">
        <v>8</v>
      </c>
      <c r="I161" s="195" t="n">
        <v>9</v>
      </c>
      <c r="J161" s="195" t="n">
        <v>10</v>
      </c>
      <c r="K161" s="195" t="n">
        <v>11</v>
      </c>
      <c r="L161" s="195" t="n">
        <v>12</v>
      </c>
      <c r="M161" s="195" t="n">
        <v>13</v>
      </c>
      <c r="N161" s="195" t="n">
        <v>14</v>
      </c>
      <c r="O161" s="195" t="n">
        <v>15</v>
      </c>
      <c r="P161" s="196" t="n">
        <v>16</v>
      </c>
      <c r="Q161" s="195" t="n">
        <v>15</v>
      </c>
      <c r="R161" s="202"/>
    </row>
    <row r="162" customFormat="false" ht="15" hidden="false" customHeight="false" outlineLevel="0" collapsed="false">
      <c r="A162" s="203" t="n">
        <v>1</v>
      </c>
      <c r="B162" s="243" t="s">
        <v>155</v>
      </c>
      <c r="C162" s="203" t="n">
        <v>526014</v>
      </c>
      <c r="D162" s="203" t="n">
        <v>413576</v>
      </c>
      <c r="E162" s="201" t="n">
        <f aca="false">C162/D162*100-100</f>
        <v>27.1867806642552</v>
      </c>
      <c r="F162" s="203" t="n">
        <v>108590</v>
      </c>
      <c r="G162" s="203" t="n">
        <v>141246</v>
      </c>
      <c r="H162" s="201" t="n">
        <f aca="false">F162/G162*100-100</f>
        <v>-23.1199467595543</v>
      </c>
      <c r="I162" s="203" t="n">
        <v>596922</v>
      </c>
      <c r="J162" s="203" t="n">
        <v>399913</v>
      </c>
      <c r="K162" s="201" t="n">
        <f aca="false">I162/J162*100-100</f>
        <v>49.2629646948211</v>
      </c>
      <c r="L162" s="203" t="n">
        <v>205015</v>
      </c>
      <c r="M162" s="203" t="n">
        <v>124705</v>
      </c>
      <c r="N162" s="201" t="n">
        <f aca="false">L162/M162*100-100</f>
        <v>64.3999839621507</v>
      </c>
      <c r="O162" s="203" t="n">
        <v>62</v>
      </c>
      <c r="P162" s="203" t="n">
        <v>71</v>
      </c>
      <c r="Q162" s="203" t="n">
        <v>62</v>
      </c>
      <c r="R162" s="202" t="n">
        <f aca="false">O162*P162</f>
        <v>4402</v>
      </c>
    </row>
    <row r="163" customFormat="false" ht="15" hidden="false" customHeight="false" outlineLevel="0" collapsed="false">
      <c r="A163" s="203" t="n">
        <v>2</v>
      </c>
      <c r="B163" s="281" t="s">
        <v>156</v>
      </c>
      <c r="C163" s="203" t="n">
        <v>498508</v>
      </c>
      <c r="D163" s="203" t="n">
        <v>312296</v>
      </c>
      <c r="E163" s="201" t="n">
        <f aca="false">C163/D163*100-100</f>
        <v>59.6267643517688</v>
      </c>
      <c r="F163" s="203" t="n">
        <v>110395</v>
      </c>
      <c r="G163" s="203" t="n">
        <v>131867</v>
      </c>
      <c r="H163" s="201" t="n">
        <f aca="false">F163/G163*100-100</f>
        <v>-16.2830730963774</v>
      </c>
      <c r="I163" s="203" t="n">
        <v>527802</v>
      </c>
      <c r="J163" s="203" t="n">
        <v>406906</v>
      </c>
      <c r="K163" s="201" t="n">
        <f aca="false">I163/J163*100-100</f>
        <v>29.7110389131642</v>
      </c>
      <c r="L163" s="203" t="n">
        <v>0</v>
      </c>
      <c r="M163" s="203" t="n">
        <v>0</v>
      </c>
      <c r="N163" s="201" t="n">
        <v>0</v>
      </c>
      <c r="O163" s="203" t="n">
        <v>30</v>
      </c>
      <c r="P163" s="203" t="n">
        <v>85</v>
      </c>
      <c r="Q163" s="203" t="n">
        <v>30</v>
      </c>
      <c r="R163" s="202" t="n">
        <f aca="false">O163*P163</f>
        <v>2550</v>
      </c>
    </row>
    <row r="164" customFormat="false" ht="15" hidden="false" customHeight="false" outlineLevel="0" collapsed="false">
      <c r="A164" s="203" t="n">
        <v>3</v>
      </c>
      <c r="B164" s="281" t="s">
        <v>157</v>
      </c>
      <c r="C164" s="203" t="n">
        <v>1536891</v>
      </c>
      <c r="D164" s="203" t="n">
        <v>746098</v>
      </c>
      <c r="E164" s="201" t="n">
        <f aca="false">C164/D164*100-100</f>
        <v>105.990499907519</v>
      </c>
      <c r="F164" s="203" t="n">
        <v>221897</v>
      </c>
      <c r="G164" s="203" t="n">
        <v>121581</v>
      </c>
      <c r="H164" s="201" t="n">
        <f aca="false">F164/G164*100-100</f>
        <v>82.5096026517301</v>
      </c>
      <c r="I164" s="203" t="n">
        <v>962978</v>
      </c>
      <c r="J164" s="203" t="n">
        <v>725228</v>
      </c>
      <c r="K164" s="201" t="n">
        <f aca="false">I164/J164*100-100</f>
        <v>32.7827938248385</v>
      </c>
      <c r="L164" s="203" t="n">
        <v>0</v>
      </c>
      <c r="M164" s="203" t="n">
        <v>0</v>
      </c>
      <c r="N164" s="201" t="n">
        <v>0</v>
      </c>
      <c r="O164" s="203" t="n">
        <v>478</v>
      </c>
      <c r="P164" s="203" t="n">
        <v>100</v>
      </c>
      <c r="Q164" s="203" t="n">
        <v>474</v>
      </c>
      <c r="R164" s="202" t="n">
        <f aca="false">O164*P164</f>
        <v>47800</v>
      </c>
    </row>
    <row r="165" customFormat="false" ht="15" hidden="false" customHeight="false" outlineLevel="0" collapsed="false">
      <c r="A165" s="215" t="s">
        <v>158</v>
      </c>
      <c r="B165" s="215" t="s">
        <v>119</v>
      </c>
      <c r="C165" s="216" t="n">
        <f aca="false">SUM(C162:C164)</f>
        <v>2561413</v>
      </c>
      <c r="D165" s="216" t="n">
        <f aca="false">SUM(D162:D164)</f>
        <v>1471970</v>
      </c>
      <c r="E165" s="313" t="n">
        <f aca="false">C165/D165*100-100</f>
        <v>74.0125817781612</v>
      </c>
      <c r="F165" s="216" t="n">
        <f aca="false">SUM(F162:F164)</f>
        <v>440882</v>
      </c>
      <c r="G165" s="216" t="n">
        <f aca="false">SUM(G162:G164)</f>
        <v>394694</v>
      </c>
      <c r="H165" s="313" t="n">
        <f aca="false">F165/G165*100-100</f>
        <v>11.7022300820382</v>
      </c>
      <c r="I165" s="216" t="n">
        <f aca="false">SUM(I162:I164)</f>
        <v>2087702</v>
      </c>
      <c r="J165" s="216" t="n">
        <f aca="false">SUM(J162:J164)</f>
        <v>1532047</v>
      </c>
      <c r="K165" s="313" t="n">
        <f aca="false">I165/J165*100-100</f>
        <v>36.2687959311953</v>
      </c>
      <c r="L165" s="216" t="n">
        <f aca="false">SUM(L162:L164)</f>
        <v>205015</v>
      </c>
      <c r="M165" s="216" t="n">
        <f aca="false">SUM(M162:M164)</f>
        <v>124705</v>
      </c>
      <c r="N165" s="313" t="n">
        <f aca="false">L165/M165*100-100</f>
        <v>64.3999839621507</v>
      </c>
      <c r="O165" s="216" t="n">
        <f aca="false">SUM(O162:O164)</f>
        <v>570</v>
      </c>
      <c r="P165" s="237" t="n">
        <f aca="false">R165/O165</f>
        <v>96.0561403508772</v>
      </c>
      <c r="Q165" s="216" t="n">
        <f aca="false">SUM(Q162:Q164)</f>
        <v>566</v>
      </c>
      <c r="R165" s="232" t="n">
        <f aca="false">SUM(R162:R164)</f>
        <v>54752</v>
      </c>
    </row>
    <row r="166" customFormat="false" ht="15" hidden="false" customHeight="false" outlineLevel="0" collapsed="false">
      <c r="A166" s="274"/>
      <c r="B166" s="256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5"/>
      <c r="P166" s="275"/>
      <c r="Q166" s="275"/>
      <c r="R166" s="279"/>
    </row>
    <row r="167" customFormat="false" ht="15" hidden="false" customHeight="false" outlineLevel="0" collapsed="false">
      <c r="A167" s="195" t="s">
        <v>159</v>
      </c>
      <c r="B167" s="195"/>
      <c r="C167" s="195" t="n">
        <v>3</v>
      </c>
      <c r="D167" s="195" t="n">
        <v>4</v>
      </c>
      <c r="E167" s="196" t="n">
        <v>5</v>
      </c>
      <c r="F167" s="195" t="n">
        <v>6</v>
      </c>
      <c r="G167" s="195" t="n">
        <v>7</v>
      </c>
      <c r="H167" s="195" t="n">
        <v>8</v>
      </c>
      <c r="I167" s="195" t="n">
        <v>9</v>
      </c>
      <c r="J167" s="195" t="n">
        <v>10</v>
      </c>
      <c r="K167" s="195" t="n">
        <v>11</v>
      </c>
      <c r="L167" s="195" t="n">
        <v>12</v>
      </c>
      <c r="M167" s="184" t="n">
        <v>13</v>
      </c>
      <c r="N167" s="184" t="n">
        <v>14</v>
      </c>
      <c r="O167" s="184" t="n">
        <v>15</v>
      </c>
      <c r="P167" s="196" t="n">
        <v>16</v>
      </c>
      <c r="Q167" s="184" t="n">
        <v>15</v>
      </c>
      <c r="R167" s="179"/>
    </row>
    <row r="168" customFormat="false" ht="15" hidden="false" customHeight="false" outlineLevel="0" collapsed="false">
      <c r="A168" s="274" t="n">
        <v>1</v>
      </c>
      <c r="B168" s="282" t="s">
        <v>160</v>
      </c>
      <c r="C168" s="262" t="n">
        <v>1633</v>
      </c>
      <c r="D168" s="262" t="n">
        <v>278</v>
      </c>
      <c r="E168" s="201" t="n">
        <v>0</v>
      </c>
      <c r="F168" s="262" t="n">
        <v>444</v>
      </c>
      <c r="G168" s="262" t="n">
        <v>278</v>
      </c>
      <c r="H168" s="201" t="n">
        <v>0</v>
      </c>
      <c r="I168" s="262" t="n">
        <v>22926</v>
      </c>
      <c r="J168" s="262" t="n">
        <v>15629</v>
      </c>
      <c r="K168" s="201" t="n">
        <f aca="false">I168/J168*100-100</f>
        <v>46.6888476550003</v>
      </c>
      <c r="L168" s="262" t="n">
        <v>0</v>
      </c>
      <c r="M168" s="262" t="n">
        <v>0</v>
      </c>
      <c r="N168" s="201" t="n">
        <v>0</v>
      </c>
      <c r="O168" s="262" t="n">
        <v>71</v>
      </c>
      <c r="P168" s="262" t="n">
        <v>124</v>
      </c>
      <c r="Q168" s="262" t="n">
        <v>75</v>
      </c>
      <c r="R168" s="202" t="n">
        <f aca="false">O168*P168</f>
        <v>8804</v>
      </c>
    </row>
    <row r="169" s="211" customFormat="true" ht="15" hidden="false" customHeight="false" outlineLevel="0" collapsed="false">
      <c r="A169" s="284" t="n">
        <v>2</v>
      </c>
      <c r="B169" s="282" t="s">
        <v>161</v>
      </c>
      <c r="C169" s="262" t="n">
        <v>579102</v>
      </c>
      <c r="D169" s="262" t="n">
        <v>465920</v>
      </c>
      <c r="E169" s="201" t="n">
        <f aca="false">C169/D169*100-100</f>
        <v>24.2921531593407</v>
      </c>
      <c r="F169" s="262" t="n">
        <v>130795</v>
      </c>
      <c r="G169" s="262" t="n">
        <v>134308</v>
      </c>
      <c r="H169" s="201" t="n">
        <f aca="false">F169/G169*100-100</f>
        <v>-2.6156297465527</v>
      </c>
      <c r="I169" s="262" t="n">
        <v>749282</v>
      </c>
      <c r="J169" s="262" t="n">
        <v>465920</v>
      </c>
      <c r="K169" s="201" t="n">
        <f aca="false">I169/J169*100-100</f>
        <v>60.8177369505495</v>
      </c>
      <c r="L169" s="262" t="n">
        <f aca="false">574828+174494</f>
        <v>749322</v>
      </c>
      <c r="M169" s="262" t="n">
        <f aca="false">141748+324172</f>
        <v>465920</v>
      </c>
      <c r="N169" s="201" t="n">
        <f aca="false">L169/M169*100-100</f>
        <v>60.8263221153846</v>
      </c>
      <c r="O169" s="262" t="n">
        <v>131</v>
      </c>
      <c r="P169" s="262" t="n">
        <v>155</v>
      </c>
      <c r="Q169" s="262" t="n">
        <v>127</v>
      </c>
      <c r="R169" s="202" t="n">
        <f aca="false">O169*P169</f>
        <v>20305</v>
      </c>
    </row>
    <row r="170" customFormat="false" ht="15" hidden="false" customHeight="false" outlineLevel="0" collapsed="false">
      <c r="A170" s="274" t="n">
        <v>3</v>
      </c>
      <c r="B170" s="282" t="s">
        <v>162</v>
      </c>
      <c r="C170" s="200" t="n">
        <v>0</v>
      </c>
      <c r="D170" s="200" t="n">
        <v>0</v>
      </c>
      <c r="E170" s="201" t="n">
        <v>0</v>
      </c>
      <c r="F170" s="200" t="n">
        <v>0</v>
      </c>
      <c r="G170" s="200" t="n">
        <v>0</v>
      </c>
      <c r="H170" s="201" t="n">
        <v>0</v>
      </c>
      <c r="I170" s="200" t="n">
        <v>0</v>
      </c>
      <c r="J170" s="200" t="n">
        <v>0</v>
      </c>
      <c r="K170" s="201" t="n">
        <v>0</v>
      </c>
      <c r="L170" s="200" t="n">
        <v>0</v>
      </c>
      <c r="M170" s="200" t="n">
        <v>0</v>
      </c>
      <c r="N170" s="201" t="n">
        <v>0</v>
      </c>
      <c r="O170" s="203" t="n">
        <v>0</v>
      </c>
      <c r="P170" s="204" t="n">
        <v>0</v>
      </c>
      <c r="Q170" s="203" t="n">
        <v>0</v>
      </c>
      <c r="R170" s="202" t="n">
        <f aca="false">O170*P170</f>
        <v>0</v>
      </c>
    </row>
    <row r="171" customFormat="false" ht="15" hidden="false" customHeight="false" outlineLevel="0" collapsed="false">
      <c r="A171" s="284" t="n">
        <v>4</v>
      </c>
      <c r="B171" s="282" t="s">
        <v>163</v>
      </c>
      <c r="C171" s="262" t="n">
        <v>2581101</v>
      </c>
      <c r="D171" s="262" t="n">
        <v>1073502</v>
      </c>
      <c r="E171" s="201" t="n">
        <f aca="false">C171/D171*100-100</f>
        <v>140.437465416925</v>
      </c>
      <c r="F171" s="262" t="n">
        <v>459812</v>
      </c>
      <c r="G171" s="262" t="n">
        <v>173101</v>
      </c>
      <c r="H171" s="201" t="n">
        <f aca="false">F171/G171*100-100</f>
        <v>165.632203164626</v>
      </c>
      <c r="I171" s="262" t="n">
        <v>2581101</v>
      </c>
      <c r="J171" s="262" t="n">
        <v>1073502</v>
      </c>
      <c r="K171" s="201" t="n">
        <f aca="false">I171/J171*100-100</f>
        <v>140.437465416925</v>
      </c>
      <c r="L171" s="262" t="n">
        <v>2581101</v>
      </c>
      <c r="M171" s="262" t="n">
        <v>1073502</v>
      </c>
      <c r="N171" s="201" t="n">
        <f aca="false">L171/M171*100-100</f>
        <v>140.437465416925</v>
      </c>
      <c r="O171" s="262" t="n">
        <v>93</v>
      </c>
      <c r="P171" s="286" t="n">
        <v>174</v>
      </c>
      <c r="Q171" s="262" t="n">
        <v>91</v>
      </c>
      <c r="R171" s="202" t="n">
        <f aca="false">O171*P171</f>
        <v>16182</v>
      </c>
    </row>
    <row r="172" customFormat="false" ht="15" hidden="false" customHeight="false" outlineLevel="0" collapsed="false">
      <c r="A172" s="274" t="n">
        <v>5</v>
      </c>
      <c r="B172" s="282" t="s">
        <v>164</v>
      </c>
      <c r="C172" s="262" t="n">
        <v>322980</v>
      </c>
      <c r="D172" s="262" t="n">
        <v>303454</v>
      </c>
      <c r="E172" s="201" t="n">
        <f aca="false">C172/D172*100-100</f>
        <v>6.43458316581756</v>
      </c>
      <c r="F172" s="262" t="n">
        <v>5400</v>
      </c>
      <c r="G172" s="262" t="n">
        <v>47151</v>
      </c>
      <c r="H172" s="201" t="n">
        <f aca="false">F172/G172*100-100</f>
        <v>-88.5474327161672</v>
      </c>
      <c r="I172" s="262" t="n">
        <v>517470</v>
      </c>
      <c r="J172" s="262" t="n">
        <v>541722</v>
      </c>
      <c r="K172" s="201" t="n">
        <f aca="false">I172/J172*100-100</f>
        <v>-4.47683498178031</v>
      </c>
      <c r="L172" s="262" t="n">
        <v>548031</v>
      </c>
      <c r="M172" s="262" t="n">
        <v>544859</v>
      </c>
      <c r="N172" s="201" t="n">
        <f aca="false">L172/M172*100-100</f>
        <v>0.582168964814755</v>
      </c>
      <c r="O172" s="262" t="n">
        <v>40</v>
      </c>
      <c r="P172" s="262" t="n">
        <v>54</v>
      </c>
      <c r="Q172" s="262" t="n">
        <v>40</v>
      </c>
      <c r="R172" s="202" t="n">
        <f aca="false">O172*P172</f>
        <v>2160</v>
      </c>
    </row>
    <row r="173" customFormat="false" ht="15" hidden="false" customHeight="false" outlineLevel="0" collapsed="false">
      <c r="A173" s="284" t="n">
        <v>6</v>
      </c>
      <c r="B173" s="282" t="s">
        <v>165</v>
      </c>
      <c r="C173" s="200" t="n">
        <v>0</v>
      </c>
      <c r="D173" s="200" t="n">
        <v>0</v>
      </c>
      <c r="E173" s="201" t="n">
        <v>0</v>
      </c>
      <c r="F173" s="200" t="n">
        <v>0</v>
      </c>
      <c r="G173" s="200" t="n">
        <v>0</v>
      </c>
      <c r="H173" s="201" t="n">
        <v>0</v>
      </c>
      <c r="I173" s="200" t="n">
        <v>0</v>
      </c>
      <c r="J173" s="200" t="n">
        <v>0</v>
      </c>
      <c r="K173" s="201" t="n">
        <v>0</v>
      </c>
      <c r="L173" s="200" t="n">
        <v>0</v>
      </c>
      <c r="M173" s="200" t="n">
        <v>0</v>
      </c>
      <c r="N173" s="201" t="n">
        <v>0</v>
      </c>
      <c r="O173" s="203" t="n">
        <v>0</v>
      </c>
      <c r="P173" s="204" t="n">
        <v>0</v>
      </c>
      <c r="Q173" s="203" t="n">
        <v>0</v>
      </c>
      <c r="R173" s="202" t="n">
        <f aca="false">O173*P173</f>
        <v>0</v>
      </c>
    </row>
    <row r="174" customFormat="false" ht="15" hidden="false" customHeight="false" outlineLevel="0" collapsed="false">
      <c r="A174" s="274" t="n">
        <v>7</v>
      </c>
      <c r="B174" s="282" t="s">
        <v>166</v>
      </c>
      <c r="C174" s="262" t="n">
        <v>1499860</v>
      </c>
      <c r="D174" s="262" t="n">
        <v>1069684</v>
      </c>
      <c r="E174" s="201" t="n">
        <f aca="false">C174/D174*100-100</f>
        <v>40.2152411366347</v>
      </c>
      <c r="F174" s="262" t="n">
        <v>359483</v>
      </c>
      <c r="G174" s="262" t="n">
        <v>127316</v>
      </c>
      <c r="H174" s="201" t="n">
        <f aca="false">F174/G174*100-100</f>
        <v>182.354927895944</v>
      </c>
      <c r="I174" s="262" t="n">
        <v>1413907</v>
      </c>
      <c r="J174" s="262" t="n">
        <v>1097105</v>
      </c>
      <c r="K174" s="201" t="n">
        <f aca="false">I174/J174*100-100</f>
        <v>28.8761786702275</v>
      </c>
      <c r="L174" s="262" t="n">
        <f aca="false">1164021+249886</f>
        <v>1413907</v>
      </c>
      <c r="M174" s="262" t="n">
        <f aca="false">913704+96277</f>
        <v>1009981</v>
      </c>
      <c r="N174" s="201" t="n">
        <f aca="false">L174/M174*100-100</f>
        <v>39.9934256188978</v>
      </c>
      <c r="O174" s="262" t="n">
        <v>36</v>
      </c>
      <c r="P174" s="262" t="n">
        <v>104</v>
      </c>
      <c r="Q174" s="262" t="n">
        <v>32</v>
      </c>
      <c r="R174" s="202" t="n">
        <f aca="false">O174*P174</f>
        <v>3744</v>
      </c>
    </row>
    <row r="175" customFormat="false" ht="15" hidden="false" customHeight="false" outlineLevel="0" collapsed="false">
      <c r="A175" s="284" t="n">
        <v>8</v>
      </c>
      <c r="B175" s="282" t="s">
        <v>167</v>
      </c>
      <c r="C175" s="262" t="n">
        <v>26480</v>
      </c>
      <c r="D175" s="262" t="n">
        <v>319035</v>
      </c>
      <c r="E175" s="201" t="n">
        <v>0</v>
      </c>
      <c r="F175" s="262" t="n">
        <v>0</v>
      </c>
      <c r="G175" s="262" t="n">
        <v>91049</v>
      </c>
      <c r="H175" s="201" t="n">
        <f aca="false">F175/G175*100-100</f>
        <v>-100</v>
      </c>
      <c r="I175" s="262" t="n">
        <v>26480</v>
      </c>
      <c r="J175" s="262" t="n">
        <v>319035</v>
      </c>
      <c r="K175" s="201" t="n">
        <f aca="false">I175/J175*100-100</f>
        <v>-91.6999702227028</v>
      </c>
      <c r="L175" s="262" t="n">
        <v>26480</v>
      </c>
      <c r="M175" s="262" t="n">
        <v>319035</v>
      </c>
      <c r="N175" s="201" t="n">
        <f aca="false">L175/M175*100-100</f>
        <v>-91.6999702227028</v>
      </c>
      <c r="O175" s="236" t="n">
        <v>42</v>
      </c>
      <c r="P175" s="236" t="n">
        <v>128</v>
      </c>
      <c r="Q175" s="236" t="n">
        <v>38</v>
      </c>
      <c r="R175" s="202" t="n">
        <f aca="false">O175*P175</f>
        <v>5376</v>
      </c>
    </row>
    <row r="176" customFormat="false" ht="15" hidden="false" customHeight="false" outlineLevel="0" collapsed="false">
      <c r="A176" s="274" t="n">
        <v>9</v>
      </c>
      <c r="B176" s="282" t="s">
        <v>168</v>
      </c>
      <c r="C176" s="262" t="n">
        <v>0</v>
      </c>
      <c r="D176" s="236" t="n">
        <v>143399</v>
      </c>
      <c r="E176" s="201" t="n">
        <v>0</v>
      </c>
      <c r="F176" s="262" t="n">
        <v>0</v>
      </c>
      <c r="G176" s="236" t="n">
        <v>39715</v>
      </c>
      <c r="H176" s="201" t="n">
        <v>0</v>
      </c>
      <c r="I176" s="262" t="n">
        <v>0</v>
      </c>
      <c r="J176" s="236" t="n">
        <v>143399</v>
      </c>
      <c r="K176" s="201" t="n">
        <v>0</v>
      </c>
      <c r="L176" s="262" t="n">
        <v>0</v>
      </c>
      <c r="M176" s="236" t="n">
        <v>143399</v>
      </c>
      <c r="N176" s="201" t="n">
        <v>0</v>
      </c>
      <c r="O176" s="262" t="n">
        <v>2</v>
      </c>
      <c r="P176" s="262" t="n">
        <v>65</v>
      </c>
      <c r="Q176" s="262" t="n">
        <v>2</v>
      </c>
      <c r="R176" s="202" t="n">
        <f aca="false">O176*P176</f>
        <v>130</v>
      </c>
    </row>
    <row r="177" customFormat="false" ht="15" hidden="false" customHeight="false" outlineLevel="0" collapsed="false">
      <c r="A177" s="284" t="n">
        <v>10</v>
      </c>
      <c r="B177" s="282" t="s">
        <v>169</v>
      </c>
      <c r="C177" s="262" t="n">
        <v>279353</v>
      </c>
      <c r="D177" s="262" t="n">
        <v>58120</v>
      </c>
      <c r="E177" s="201" t="n">
        <f aca="false">C177/D177*100-100</f>
        <v>380.648657949071</v>
      </c>
      <c r="F177" s="262" t="n">
        <v>0</v>
      </c>
      <c r="G177" s="262" t="n">
        <v>0</v>
      </c>
      <c r="H177" s="223" t="n">
        <v>0</v>
      </c>
      <c r="I177" s="262" t="n">
        <v>279353</v>
      </c>
      <c r="J177" s="262" t="n">
        <v>58120</v>
      </c>
      <c r="K177" s="201" t="n">
        <f aca="false">I177/J177*100-100</f>
        <v>380.648657949071</v>
      </c>
      <c r="L177" s="262" t="n">
        <f aca="false">272821+6532</f>
        <v>279353</v>
      </c>
      <c r="M177" s="262" t="n">
        <f aca="false">56432+1688</f>
        <v>58120</v>
      </c>
      <c r="N177" s="201" t="n">
        <f aca="false">L177/M177*100-100</f>
        <v>380.648657949071</v>
      </c>
      <c r="O177" s="262" t="n">
        <v>27</v>
      </c>
      <c r="P177" s="262" t="n">
        <v>50</v>
      </c>
      <c r="Q177" s="262" t="n">
        <v>27</v>
      </c>
      <c r="R177" s="202" t="n">
        <f aca="false">O177*P177</f>
        <v>1350</v>
      </c>
    </row>
    <row r="178" customFormat="false" ht="15" hidden="false" customHeight="false" outlineLevel="0" collapsed="false">
      <c r="A178" s="215" t="s">
        <v>170</v>
      </c>
      <c r="B178" s="215" t="s">
        <v>154</v>
      </c>
      <c r="C178" s="237" t="n">
        <f aca="false">SUM(C168:C177)</f>
        <v>5290509</v>
      </c>
      <c r="D178" s="237" t="n">
        <f aca="false">SUM(D168:D177)</f>
        <v>3433392</v>
      </c>
      <c r="E178" s="313" t="n">
        <f aca="false">C178/D178*100-100</f>
        <v>54.0898621538117</v>
      </c>
      <c r="F178" s="237" t="n">
        <f aca="false">SUM(F168:F177)</f>
        <v>955934</v>
      </c>
      <c r="G178" s="237" t="n">
        <f aca="false">SUM(G168:G177)</f>
        <v>612918</v>
      </c>
      <c r="H178" s="313" t="n">
        <f aca="false">F178/G178*100-100</f>
        <v>55.9644193839959</v>
      </c>
      <c r="I178" s="237" t="n">
        <f aca="false">SUM(I168:I177)</f>
        <v>5590519</v>
      </c>
      <c r="J178" s="237" t="n">
        <f aca="false">SUM(J168:J177)</f>
        <v>3714432</v>
      </c>
      <c r="K178" s="313" t="n">
        <f aca="false">I178/J178*100-100</f>
        <v>50.5080453754437</v>
      </c>
      <c r="L178" s="237" t="n">
        <f aca="false">SUM(L168:L177)</f>
        <v>5598194</v>
      </c>
      <c r="M178" s="216" t="n">
        <f aca="false">SUM(M168:M177)</f>
        <v>3614816</v>
      </c>
      <c r="N178" s="313" t="n">
        <f aca="false">L178/M178*100-100</f>
        <v>54.8680209449112</v>
      </c>
      <c r="O178" s="237" t="n">
        <f aca="false">SUM(O168:O177)</f>
        <v>442</v>
      </c>
      <c r="P178" s="217" t="n">
        <f aca="false">R178/O178</f>
        <v>131.337104072398</v>
      </c>
      <c r="Q178" s="237" t="n">
        <f aca="false">SUM(Q168:Q177)</f>
        <v>432</v>
      </c>
      <c r="R178" s="232" t="n">
        <f aca="false">SUM(R168:R177)</f>
        <v>58051</v>
      </c>
    </row>
    <row r="179" customFormat="false" ht="15" hidden="false" customHeight="false" outlineLevel="0" collapsed="false">
      <c r="A179" s="255"/>
      <c r="B179" s="255"/>
      <c r="C179" s="287"/>
      <c r="D179" s="287"/>
      <c r="E179" s="283"/>
      <c r="F179" s="288"/>
      <c r="G179" s="288"/>
      <c r="H179" s="283"/>
      <c r="I179" s="203"/>
      <c r="J179" s="203"/>
      <c r="K179" s="289"/>
      <c r="L179" s="203"/>
      <c r="M179" s="203"/>
      <c r="N179" s="203"/>
      <c r="O179" s="203"/>
      <c r="P179" s="219"/>
      <c r="Q179" s="203"/>
      <c r="R179" s="189"/>
    </row>
    <row r="180" customFormat="false" ht="15" hidden="false" customHeight="false" outlineLevel="0" collapsed="false">
      <c r="A180" s="270" t="s">
        <v>171</v>
      </c>
      <c r="B180" s="270"/>
      <c r="C180" s="195" t="n">
        <v>3</v>
      </c>
      <c r="D180" s="195" t="n">
        <v>4</v>
      </c>
      <c r="E180" s="196" t="n">
        <v>5</v>
      </c>
      <c r="F180" s="195" t="n">
        <v>6</v>
      </c>
      <c r="G180" s="195" t="n">
        <v>7</v>
      </c>
      <c r="H180" s="195" t="n">
        <v>8</v>
      </c>
      <c r="I180" s="195" t="n">
        <v>9</v>
      </c>
      <c r="J180" s="195" t="n">
        <v>10</v>
      </c>
      <c r="K180" s="195" t="n">
        <v>11</v>
      </c>
      <c r="L180" s="195" t="n">
        <v>12</v>
      </c>
      <c r="M180" s="195" t="n">
        <v>13</v>
      </c>
      <c r="N180" s="195" t="n">
        <v>14</v>
      </c>
      <c r="O180" s="195" t="n">
        <v>15</v>
      </c>
      <c r="P180" s="196" t="n">
        <v>16</v>
      </c>
      <c r="Q180" s="195" t="n">
        <v>15</v>
      </c>
      <c r="R180" s="189"/>
    </row>
    <row r="181" customFormat="false" ht="15" hidden="false" customHeight="false" outlineLevel="0" collapsed="false">
      <c r="A181" s="288" t="n">
        <v>1</v>
      </c>
      <c r="B181" s="290" t="s">
        <v>172</v>
      </c>
      <c r="C181" s="262" t="n">
        <v>280124</v>
      </c>
      <c r="D181" s="262" t="n">
        <v>389090.5</v>
      </c>
      <c r="E181" s="201" t="n">
        <f aca="false">C181/D181*100-100</f>
        <v>-28.0054383234749</v>
      </c>
      <c r="F181" s="262" t="n">
        <v>54021.4</v>
      </c>
      <c r="G181" s="262" t="n">
        <v>64473.8</v>
      </c>
      <c r="H181" s="201" t="n">
        <f aca="false">F181/G181*100-100</f>
        <v>-16.2118565991147</v>
      </c>
      <c r="I181" s="262" t="n">
        <v>117707.6</v>
      </c>
      <c r="J181" s="262" t="n">
        <v>274555.3</v>
      </c>
      <c r="K181" s="201" t="n">
        <f aca="false">I181/J181*100-100</f>
        <v>-57.1279082938847</v>
      </c>
      <c r="L181" s="262" t="n">
        <v>0</v>
      </c>
      <c r="M181" s="262" t="n">
        <v>0</v>
      </c>
      <c r="N181" s="201" t="n">
        <v>0</v>
      </c>
      <c r="O181" s="236" t="n">
        <v>269</v>
      </c>
      <c r="P181" s="236" t="n">
        <v>207.8</v>
      </c>
      <c r="Q181" s="262" t="n">
        <v>274</v>
      </c>
      <c r="R181" s="234" t="n">
        <f aca="false">O181*P181</f>
        <v>55898.2</v>
      </c>
    </row>
    <row r="182" customFormat="false" ht="15" hidden="false" customHeight="false" outlineLevel="0" collapsed="false">
      <c r="A182" s="288" t="n">
        <v>2</v>
      </c>
      <c r="B182" s="290" t="s">
        <v>173</v>
      </c>
      <c r="C182" s="262" t="n">
        <v>51870</v>
      </c>
      <c r="D182" s="262" t="n">
        <v>52677</v>
      </c>
      <c r="E182" s="201" t="n">
        <f aca="false">C182/D182*100-100</f>
        <v>-1.53197790306965</v>
      </c>
      <c r="F182" s="262" t="n">
        <v>11620</v>
      </c>
      <c r="G182" s="262" t="n">
        <v>11892</v>
      </c>
      <c r="H182" s="201" t="n">
        <f aca="false">F182/G182*100-100</f>
        <v>-2.28725193407332</v>
      </c>
      <c r="I182" s="262" t="n">
        <v>0</v>
      </c>
      <c r="J182" s="262" t="n">
        <v>0</v>
      </c>
      <c r="K182" s="201" t="n">
        <v>0</v>
      </c>
      <c r="L182" s="262" t="n">
        <v>0</v>
      </c>
      <c r="M182" s="262" t="n">
        <v>0</v>
      </c>
      <c r="N182" s="201" t="n">
        <v>0</v>
      </c>
      <c r="O182" s="236" t="n">
        <v>86</v>
      </c>
      <c r="P182" s="236" t="n">
        <v>99.2</v>
      </c>
      <c r="Q182" s="262" t="n">
        <v>86</v>
      </c>
      <c r="R182" s="234" t="n">
        <f aca="false">O182*P182</f>
        <v>8531.2</v>
      </c>
    </row>
    <row r="183" s="295" customFormat="true" ht="34.5" hidden="false" customHeight="true" outlineLevel="0" collapsed="false">
      <c r="A183" s="291" t="n">
        <v>3</v>
      </c>
      <c r="B183" s="292" t="s">
        <v>174</v>
      </c>
      <c r="C183" s="207" t="n">
        <v>536</v>
      </c>
      <c r="D183" s="207" t="n">
        <v>451</v>
      </c>
      <c r="E183" s="201" t="n">
        <f aca="false">C183/D183*100-100</f>
        <v>18.8470066518847</v>
      </c>
      <c r="F183" s="207" t="n">
        <v>120</v>
      </c>
      <c r="G183" s="207" t="n">
        <v>104</v>
      </c>
      <c r="H183" s="201" t="n">
        <f aca="false">F183/G183*100-100</f>
        <v>15.3846153846154</v>
      </c>
      <c r="I183" s="207" t="n">
        <v>536</v>
      </c>
      <c r="J183" s="207" t="n">
        <v>451</v>
      </c>
      <c r="K183" s="201" t="n">
        <f aca="false">I183/J183*100-100</f>
        <v>18.8470066518847</v>
      </c>
      <c r="L183" s="207" t="n">
        <v>0</v>
      </c>
      <c r="M183" s="207" t="n">
        <v>0</v>
      </c>
      <c r="N183" s="201" t="n">
        <v>0</v>
      </c>
      <c r="O183" s="222" t="n">
        <v>30</v>
      </c>
      <c r="P183" s="222" t="n">
        <v>20</v>
      </c>
      <c r="Q183" s="207" t="n">
        <v>30</v>
      </c>
      <c r="R183" s="294" t="n">
        <f aca="false">O183*P183</f>
        <v>600</v>
      </c>
    </row>
    <row r="184" customFormat="false" ht="15" hidden="false" customHeight="false" outlineLevel="0" collapsed="false">
      <c r="A184" s="288" t="n">
        <v>4</v>
      </c>
      <c r="B184" s="296" t="s">
        <v>175</v>
      </c>
      <c r="C184" s="262" t="n">
        <v>12645</v>
      </c>
      <c r="D184" s="262" t="n">
        <v>5374</v>
      </c>
      <c r="E184" s="201" t="n">
        <f aca="false">C184/D184*100-100</f>
        <v>135.299590621511</v>
      </c>
      <c r="F184" s="262" t="n">
        <v>137</v>
      </c>
      <c r="G184" s="262" t="n">
        <v>748</v>
      </c>
      <c r="H184" s="201" t="n">
        <f aca="false">F184/G184*100-100</f>
        <v>-81.6844919786096</v>
      </c>
      <c r="I184" s="262" t="n">
        <v>12645</v>
      </c>
      <c r="J184" s="262" t="n">
        <v>5374</v>
      </c>
      <c r="K184" s="201" t="n">
        <f aca="false">I184/J184*100-100</f>
        <v>135.299590621511</v>
      </c>
      <c r="L184" s="262" t="n">
        <v>0</v>
      </c>
      <c r="M184" s="262" t="n">
        <v>0</v>
      </c>
      <c r="N184" s="201" t="n">
        <v>0</v>
      </c>
      <c r="O184" s="236" t="n">
        <v>17</v>
      </c>
      <c r="P184" s="236" t="n">
        <v>56</v>
      </c>
      <c r="Q184" s="262" t="n">
        <v>17</v>
      </c>
      <c r="R184" s="202" t="n">
        <f aca="false">O184*P184</f>
        <v>952</v>
      </c>
    </row>
    <row r="185" customFormat="false" ht="15" hidden="false" customHeight="false" outlineLevel="0" collapsed="false">
      <c r="A185" s="288" t="n">
        <v>5</v>
      </c>
      <c r="B185" s="297" t="s">
        <v>176</v>
      </c>
      <c r="C185" s="262" t="n">
        <v>4940</v>
      </c>
      <c r="D185" s="262" t="n">
        <v>4794</v>
      </c>
      <c r="E185" s="201" t="n">
        <f aca="false">C185/D185*100-100</f>
        <v>3.04547350855235</v>
      </c>
      <c r="F185" s="262" t="n">
        <v>900</v>
      </c>
      <c r="G185" s="262" t="n">
        <v>750</v>
      </c>
      <c r="H185" s="201" t="n">
        <f aca="false">F185/G185*100-100</f>
        <v>20</v>
      </c>
      <c r="I185" s="262" t="n">
        <v>0</v>
      </c>
      <c r="J185" s="262" t="n">
        <v>0</v>
      </c>
      <c r="K185" s="201" t="n">
        <v>0</v>
      </c>
      <c r="L185" s="262" t="n">
        <v>0</v>
      </c>
      <c r="M185" s="262" t="n">
        <v>0</v>
      </c>
      <c r="N185" s="201" t="n">
        <v>0</v>
      </c>
      <c r="O185" s="236" t="n">
        <v>12</v>
      </c>
      <c r="P185" s="236" t="n">
        <v>75.2</v>
      </c>
      <c r="Q185" s="262" t="n">
        <v>12</v>
      </c>
      <c r="R185" s="202" t="n">
        <f aca="false">O185*P185</f>
        <v>902.4</v>
      </c>
    </row>
    <row r="186" customFormat="false" ht="15" hidden="false" customHeight="false" outlineLevel="0" collapsed="false">
      <c r="A186" s="288" t="n">
        <v>6</v>
      </c>
      <c r="B186" s="290" t="s">
        <v>177</v>
      </c>
      <c r="C186" s="262" t="n">
        <v>24105</v>
      </c>
      <c r="D186" s="262" t="n">
        <v>25863</v>
      </c>
      <c r="E186" s="201" t="n">
        <f aca="false">C186/D186*100-100</f>
        <v>-6.79735529520937</v>
      </c>
      <c r="F186" s="262" t="n">
        <v>6975</v>
      </c>
      <c r="G186" s="262" t="n">
        <v>5136</v>
      </c>
      <c r="H186" s="201" t="n">
        <f aca="false">F186/G186*100-100</f>
        <v>35.8060747663551</v>
      </c>
      <c r="I186" s="262" t="n">
        <v>24162</v>
      </c>
      <c r="J186" s="262" t="n">
        <v>4575</v>
      </c>
      <c r="K186" s="201" t="n">
        <f aca="false">I186/J186*100-100</f>
        <v>428.131147540984</v>
      </c>
      <c r="L186" s="262" t="n">
        <v>0</v>
      </c>
      <c r="M186" s="262" t="n">
        <v>0</v>
      </c>
      <c r="N186" s="201" t="n">
        <v>0</v>
      </c>
      <c r="O186" s="236" t="n">
        <v>22</v>
      </c>
      <c r="P186" s="236" t="n">
        <v>109.5</v>
      </c>
      <c r="Q186" s="262" t="n">
        <v>22</v>
      </c>
      <c r="R186" s="202" t="n">
        <f aca="false">O186*P186</f>
        <v>2409</v>
      </c>
    </row>
    <row r="187" customFormat="false" ht="15" hidden="false" customHeight="false" outlineLevel="0" collapsed="false">
      <c r="A187" s="288" t="n">
        <v>7</v>
      </c>
      <c r="B187" s="290" t="s">
        <v>178</v>
      </c>
      <c r="C187" s="262" t="n">
        <v>2408</v>
      </c>
      <c r="D187" s="262" t="n">
        <v>37956</v>
      </c>
      <c r="E187" s="201" t="n">
        <f aca="false">C187/D187*100-100</f>
        <v>-93.6558119928338</v>
      </c>
      <c r="F187" s="262" t="n">
        <v>1195</v>
      </c>
      <c r="G187" s="262" t="n">
        <v>0</v>
      </c>
      <c r="H187" s="201" t="n">
        <v>0</v>
      </c>
      <c r="I187" s="262" t="n">
        <v>2408</v>
      </c>
      <c r="J187" s="262" t="n">
        <v>61839</v>
      </c>
      <c r="K187" s="201" t="n">
        <f aca="false">I187/J187*100-100</f>
        <v>-96.1060172383124</v>
      </c>
      <c r="L187" s="262" t="n">
        <v>2408</v>
      </c>
      <c r="M187" s="262" t="n">
        <v>61839</v>
      </c>
      <c r="N187" s="201" t="n">
        <f aca="false">L187/M187*100-100</f>
        <v>-96.1060172383124</v>
      </c>
      <c r="O187" s="236" t="n">
        <v>31</v>
      </c>
      <c r="P187" s="236" t="n">
        <v>110.6</v>
      </c>
      <c r="Q187" s="262" t="n">
        <v>31</v>
      </c>
      <c r="R187" s="202" t="n">
        <f aca="false">O187*P187</f>
        <v>3428.6</v>
      </c>
    </row>
    <row r="188" customFormat="false" ht="15" hidden="false" customHeight="false" outlineLevel="0" collapsed="false">
      <c r="A188" s="288" t="n">
        <v>8</v>
      </c>
      <c r="B188" s="290" t="s">
        <v>179</v>
      </c>
      <c r="C188" s="262" t="n">
        <v>1095</v>
      </c>
      <c r="D188" s="262" t="n">
        <v>1980</v>
      </c>
      <c r="E188" s="201" t="n">
        <f aca="false">C188/D188*100-100</f>
        <v>-44.6969696969697</v>
      </c>
      <c r="F188" s="262" t="n">
        <v>170</v>
      </c>
      <c r="G188" s="262" t="n">
        <v>1360</v>
      </c>
      <c r="H188" s="201" t="n">
        <f aca="false">F188/G188*100-100</f>
        <v>-87.5</v>
      </c>
      <c r="I188" s="262" t="n">
        <v>1717</v>
      </c>
      <c r="J188" s="262" t="n">
        <v>2228</v>
      </c>
      <c r="K188" s="201" t="n">
        <f aca="false">I188/J188*100-100</f>
        <v>-22.935368043088</v>
      </c>
      <c r="L188" s="262" t="n">
        <v>0</v>
      </c>
      <c r="M188" s="262" t="n">
        <v>0</v>
      </c>
      <c r="N188" s="201" t="n">
        <v>0</v>
      </c>
      <c r="O188" s="236" t="n">
        <v>25</v>
      </c>
      <c r="P188" s="236" t="n">
        <v>54</v>
      </c>
      <c r="Q188" s="262" t="n">
        <v>25</v>
      </c>
      <c r="R188" s="234" t="n">
        <f aca="false">O188*P188</f>
        <v>1350</v>
      </c>
    </row>
    <row r="189" customFormat="false" ht="15" hidden="false" customHeight="false" outlineLevel="0" collapsed="false">
      <c r="A189" s="288" t="n">
        <v>9</v>
      </c>
      <c r="B189" s="301" t="s">
        <v>180</v>
      </c>
      <c r="C189" s="262" t="n">
        <v>7089</v>
      </c>
      <c r="D189" s="262" t="n">
        <v>8593</v>
      </c>
      <c r="E189" s="201" t="n">
        <f aca="false">C189/D189*100-100</f>
        <v>-17.502618410334</v>
      </c>
      <c r="F189" s="262" t="n">
        <v>1517</v>
      </c>
      <c r="G189" s="262" t="n">
        <v>1857</v>
      </c>
      <c r="H189" s="201" t="n">
        <f aca="false">F189/G189*100-100</f>
        <v>-18.3091007000538</v>
      </c>
      <c r="I189" s="262" t="n">
        <v>7089</v>
      </c>
      <c r="J189" s="262" t="n">
        <v>8593</v>
      </c>
      <c r="K189" s="201" t="n">
        <f aca="false">I189/J189*100-100</f>
        <v>-17.502618410334</v>
      </c>
      <c r="L189" s="262" t="n">
        <v>0</v>
      </c>
      <c r="M189" s="262" t="n">
        <v>0</v>
      </c>
      <c r="N189" s="201" t="n">
        <v>0</v>
      </c>
      <c r="O189" s="236" t="n">
        <v>15</v>
      </c>
      <c r="P189" s="236" t="n">
        <v>63.9</v>
      </c>
      <c r="Q189" s="262" t="n">
        <v>13</v>
      </c>
      <c r="R189" s="202" t="n">
        <f aca="false">O189*P189</f>
        <v>958.5</v>
      </c>
    </row>
    <row r="190" customFormat="false" ht="15" hidden="false" customHeight="false" outlineLevel="0" collapsed="false">
      <c r="A190" s="215" t="s">
        <v>170</v>
      </c>
      <c r="B190" s="215" t="s">
        <v>154</v>
      </c>
      <c r="C190" s="302" t="n">
        <f aca="false">SUM(C181:C189)</f>
        <v>384812</v>
      </c>
      <c r="D190" s="302" t="n">
        <f aca="false">SUM(D181:D189)</f>
        <v>526778.5</v>
      </c>
      <c r="E190" s="313" t="n">
        <f aca="false">C190/D190*100-100</f>
        <v>-26.9499419585272</v>
      </c>
      <c r="F190" s="302" t="n">
        <f aca="false">SUM(F181:F189)</f>
        <v>76655.4</v>
      </c>
      <c r="G190" s="302" t="n">
        <f aca="false">SUM(G181:G189)</f>
        <v>86320.8</v>
      </c>
      <c r="H190" s="313" t="n">
        <f aca="false">F190/G190*100-100</f>
        <v>-11.1970695359635</v>
      </c>
      <c r="I190" s="302" t="n">
        <f aca="false">SUM(I181:I189)</f>
        <v>166264.6</v>
      </c>
      <c r="J190" s="302" t="n">
        <f aca="false">SUM(J181:J189)</f>
        <v>357615.3</v>
      </c>
      <c r="K190" s="313" t="n">
        <f aca="false">I190/J190*100-100</f>
        <v>-53.5074142521307</v>
      </c>
      <c r="L190" s="302" t="n">
        <f aca="false">SUM(L181:L189)</f>
        <v>2408</v>
      </c>
      <c r="M190" s="302" t="n">
        <f aca="false">SUM(M181:M189)</f>
        <v>61839</v>
      </c>
      <c r="N190" s="313" t="n">
        <f aca="false">L190/M190*100-100</f>
        <v>-96.1060172383124</v>
      </c>
      <c r="O190" s="217" t="n">
        <f aca="false">SUM(O181:O189)</f>
        <v>507</v>
      </c>
      <c r="P190" s="217" t="n">
        <f aca="false">R190/O190</f>
        <v>147.987968441815</v>
      </c>
      <c r="Q190" s="302" t="n">
        <f aca="false">SUM(Q181:Q189)</f>
        <v>510</v>
      </c>
      <c r="R190" s="232" t="n">
        <f aca="false">SUM(R181:R189)</f>
        <v>75029.9</v>
      </c>
    </row>
    <row r="191" customFormat="false" ht="15" hidden="false" customHeight="false" outlineLevel="0" collapsed="false">
      <c r="A191" s="303"/>
      <c r="B191" s="195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3"/>
      <c r="P191" s="303"/>
      <c r="Q191" s="303"/>
      <c r="R191" s="304"/>
    </row>
    <row r="192" customFormat="false" ht="15" hidden="false" customHeight="false" outlineLevel="0" collapsed="false">
      <c r="A192" s="305" t="s">
        <v>181</v>
      </c>
      <c r="B192" s="305"/>
      <c r="C192" s="195" t="n">
        <v>3</v>
      </c>
      <c r="D192" s="195" t="n">
        <v>4</v>
      </c>
      <c r="E192" s="196" t="n">
        <v>5</v>
      </c>
      <c r="F192" s="195" t="n">
        <v>6</v>
      </c>
      <c r="G192" s="195" t="n">
        <v>7</v>
      </c>
      <c r="H192" s="195" t="n">
        <v>8</v>
      </c>
      <c r="I192" s="195" t="n">
        <v>9</v>
      </c>
      <c r="J192" s="195" t="n">
        <v>10</v>
      </c>
      <c r="K192" s="195" t="n">
        <v>11</v>
      </c>
      <c r="L192" s="195" t="n">
        <v>12</v>
      </c>
      <c r="M192" s="195" t="n">
        <v>13</v>
      </c>
      <c r="N192" s="195" t="n">
        <v>14</v>
      </c>
      <c r="O192" s="195" t="n">
        <v>15</v>
      </c>
      <c r="P192" s="196" t="n">
        <v>16</v>
      </c>
      <c r="Q192" s="195" t="n">
        <v>15</v>
      </c>
      <c r="R192" s="179"/>
    </row>
    <row r="193" customFormat="false" ht="15" hidden="false" customHeight="false" outlineLevel="0" collapsed="false">
      <c r="A193" s="262" t="n">
        <v>1</v>
      </c>
      <c r="B193" s="306" t="s">
        <v>182</v>
      </c>
      <c r="C193" s="207" t="n">
        <v>46272</v>
      </c>
      <c r="D193" s="207" t="n">
        <v>33844</v>
      </c>
      <c r="E193" s="201" t="n">
        <f aca="false">C193/D193*100-100</f>
        <v>36.721427727219</v>
      </c>
      <c r="F193" s="207" t="n">
        <v>5883</v>
      </c>
      <c r="G193" s="207" t="n">
        <v>12196</v>
      </c>
      <c r="H193" s="201" t="n">
        <f aca="false">F193/G193*100-100</f>
        <v>-51.7628730731387</v>
      </c>
      <c r="I193" s="207" t="n">
        <v>46272</v>
      </c>
      <c r="J193" s="207" t="n">
        <v>33844</v>
      </c>
      <c r="K193" s="201" t="n">
        <f aca="false">I193/J193*100-100</f>
        <v>36.721427727219</v>
      </c>
      <c r="L193" s="207" t="n">
        <f aca="false">19229+27043</f>
        <v>46272</v>
      </c>
      <c r="M193" s="207" t="n">
        <v>33844</v>
      </c>
      <c r="N193" s="201" t="n">
        <f aca="false">L193/M193*100-100</f>
        <v>36.721427727219</v>
      </c>
      <c r="O193" s="192" t="n">
        <v>48</v>
      </c>
      <c r="P193" s="262" t="n">
        <v>63</v>
      </c>
      <c r="Q193" s="192" t="n">
        <v>49</v>
      </c>
      <c r="R193" s="234" t="n">
        <f aca="false">O193*P193</f>
        <v>3024</v>
      </c>
    </row>
    <row r="194" customFormat="false" ht="15" hidden="false" customHeight="false" outlineLevel="0" collapsed="false">
      <c r="A194" s="262" t="n">
        <v>2</v>
      </c>
      <c r="B194" s="306" t="s">
        <v>183</v>
      </c>
      <c r="C194" s="207" t="n">
        <v>29972</v>
      </c>
      <c r="D194" s="207" t="n">
        <v>9556</v>
      </c>
      <c r="E194" s="201" t="n">
        <f aca="false">C194/D194*100-100</f>
        <v>213.645876935957</v>
      </c>
      <c r="F194" s="207" t="n">
        <v>9489</v>
      </c>
      <c r="G194" s="207" t="n">
        <v>9441</v>
      </c>
      <c r="H194" s="201" t="n">
        <f aca="false">F194/G194*100-100</f>
        <v>0.508420718144251</v>
      </c>
      <c r="I194" s="207" t="n">
        <v>29970</v>
      </c>
      <c r="J194" s="207" t="n">
        <v>9556</v>
      </c>
      <c r="K194" s="201" t="n">
        <v>0</v>
      </c>
      <c r="L194" s="207" t="n">
        <v>10861</v>
      </c>
      <c r="M194" s="207" t="n">
        <v>0</v>
      </c>
      <c r="N194" s="201" t="n">
        <v>0</v>
      </c>
      <c r="O194" s="192" t="n">
        <v>176</v>
      </c>
      <c r="P194" s="262" t="n">
        <v>189</v>
      </c>
      <c r="Q194" s="192" t="n">
        <v>176</v>
      </c>
      <c r="R194" s="234" t="n">
        <f aca="false">O194*P194</f>
        <v>33264</v>
      </c>
    </row>
    <row r="195" customFormat="false" ht="15" hidden="false" customHeight="false" outlineLevel="0" collapsed="false">
      <c r="A195" s="215" t="s">
        <v>170</v>
      </c>
      <c r="B195" s="215" t="s">
        <v>154</v>
      </c>
      <c r="C195" s="216" t="n">
        <f aca="false">SUM(C193:C194)</f>
        <v>76244</v>
      </c>
      <c r="D195" s="216" t="n">
        <f aca="false">SUM(D193:D194)</f>
        <v>43400</v>
      </c>
      <c r="E195" s="313" t="n">
        <f aca="false">C195/D195*100-100</f>
        <v>75.6774193548387</v>
      </c>
      <c r="F195" s="216" t="n">
        <f aca="false">SUM(F193:F194)</f>
        <v>15372</v>
      </c>
      <c r="G195" s="216" t="n">
        <f aca="false">SUM(G193:G194)</f>
        <v>21637</v>
      </c>
      <c r="H195" s="313" t="n">
        <f aca="false">F195/G195*100-100</f>
        <v>-28.9550307343902</v>
      </c>
      <c r="I195" s="217" t="n">
        <f aca="false">SUM(I193:I194)</f>
        <v>76242</v>
      </c>
      <c r="J195" s="216" t="n">
        <f aca="false">SUM(J193:J194)</f>
        <v>43400</v>
      </c>
      <c r="K195" s="313" t="n">
        <f aca="false">I195/J195*100-100</f>
        <v>75.6728110599078</v>
      </c>
      <c r="L195" s="237" t="n">
        <f aca="false">SUM(L193:L194)</f>
        <v>57133</v>
      </c>
      <c r="M195" s="216" t="n">
        <f aca="false">SUM(M193:M194)</f>
        <v>33844</v>
      </c>
      <c r="N195" s="313" t="n">
        <f aca="false">L195/M195*100-100</f>
        <v>68.8127880865146</v>
      </c>
      <c r="O195" s="237" t="n">
        <f aca="false">SUM(O193:O194)</f>
        <v>224</v>
      </c>
      <c r="P195" s="237" t="n">
        <f aca="false">R195/O195</f>
        <v>162</v>
      </c>
      <c r="Q195" s="237" t="n">
        <f aca="false">SUM(Q193:Q194)</f>
        <v>225</v>
      </c>
      <c r="R195" s="232" t="n">
        <f aca="false">SUM(R193:R194)</f>
        <v>36288</v>
      </c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A161:B161"/>
    <mergeCell ref="A165:B165"/>
    <mergeCell ref="A167:B167"/>
    <mergeCell ref="A178:B178"/>
    <mergeCell ref="A180:B180"/>
    <mergeCell ref="A190:B190"/>
    <mergeCell ref="A192:B192"/>
    <mergeCell ref="A195:B195"/>
  </mergeCells>
  <printOptions headings="false" gridLines="false" gridLinesSet="true" horizontalCentered="false" verticalCentered="false"/>
  <pageMargins left="0.25" right="0.25" top="0.25" bottom="0.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4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G161" activeCellId="0" sqref="G161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6.85"/>
    <col collapsed="false" customWidth="true" hidden="false" outlineLevel="0" max="4" min="3" style="0" width="11.71"/>
    <col collapsed="false" customWidth="true" hidden="false" outlineLevel="0" max="5" min="5" style="0" width="5.71"/>
    <col collapsed="false" customWidth="true" hidden="false" outlineLevel="0" max="6" min="6" style="0" width="10.28"/>
    <col collapsed="false" customWidth="true" hidden="false" outlineLevel="0" max="7" min="7" style="0" width="9.85"/>
    <col collapsed="false" customWidth="true" hidden="false" outlineLevel="0" max="8" min="8" style="0" width="5.85"/>
    <col collapsed="false" customWidth="true" hidden="false" outlineLevel="0" max="9" min="9" style="0" width="11"/>
    <col collapsed="false" customWidth="false" hidden="false" outlineLevel="0" max="10" min="10" style="0" width="11.43"/>
    <col collapsed="false" customWidth="true" hidden="false" outlineLevel="0" max="11" min="11" style="0" width="5.85"/>
    <col collapsed="false" customWidth="true" hidden="false" outlineLevel="0" max="12" min="12" style="0" width="11.14"/>
    <col collapsed="false" customWidth="true" hidden="false" outlineLevel="0" max="13" min="13" style="0" width="11.28"/>
    <col collapsed="false" customWidth="true" hidden="false" outlineLevel="0" max="14" min="14" style="0" width="5.85"/>
    <col collapsed="false" customWidth="true" hidden="false" outlineLevel="0" max="15" min="15" style="0" width="7.14"/>
    <col collapsed="false" customWidth="true" hidden="false" outlineLevel="0" max="16" min="16" style="0" width="6.57"/>
    <col collapsed="false" customWidth="true" hidden="false" outlineLevel="0" max="17" min="17" style="0" width="7.71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192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189</v>
      </c>
      <c r="F4" s="155" t="s">
        <v>12</v>
      </c>
      <c r="G4" s="155" t="s">
        <v>10</v>
      </c>
      <c r="H4" s="160" t="s">
        <v>189</v>
      </c>
      <c r="I4" s="155" t="s">
        <v>13</v>
      </c>
      <c r="J4" s="155" t="s">
        <v>10</v>
      </c>
      <c r="K4" s="160" t="s">
        <v>189</v>
      </c>
      <c r="L4" s="155" t="s">
        <v>13</v>
      </c>
      <c r="M4" s="155" t="s">
        <v>10</v>
      </c>
      <c r="N4" s="160" t="s">
        <v>189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23.25" hidden="false" customHeight="true" outlineLevel="0" collapsed="false">
      <c r="A10" s="163" t="n">
        <v>1</v>
      </c>
      <c r="B10" s="164" t="s">
        <v>14</v>
      </c>
      <c r="C10" s="161" t="n">
        <f aca="false">C139</f>
        <v>91788857</v>
      </c>
      <c r="D10" s="161" t="n">
        <f aca="false">D139</f>
        <v>86696825</v>
      </c>
      <c r="E10" s="165" t="n">
        <f aca="false">E139</f>
        <v>5.87337771596594</v>
      </c>
      <c r="F10" s="161" t="n">
        <f aca="false">F139</f>
        <v>16699945</v>
      </c>
      <c r="G10" s="166" t="n">
        <f aca="false">G139</f>
        <v>14862018</v>
      </c>
      <c r="H10" s="167" t="n">
        <f aca="false">H139</f>
        <v>12.3666045889596</v>
      </c>
      <c r="I10" s="166" t="n">
        <f aca="false">I139</f>
        <v>83604028</v>
      </c>
      <c r="J10" s="166" t="n">
        <f aca="false">J139</f>
        <v>82247267</v>
      </c>
      <c r="K10" s="167" t="n">
        <f aca="false">K139</f>
        <v>1.64961226006453</v>
      </c>
      <c r="L10" s="161" t="n">
        <f aca="false">L139</f>
        <v>54531007</v>
      </c>
      <c r="M10" s="161" t="n">
        <f aca="false">M139</f>
        <v>51773584</v>
      </c>
      <c r="N10" s="165" t="n">
        <f aca="false">N139</f>
        <v>5.32592644156141</v>
      </c>
      <c r="O10" s="161" t="n">
        <f aca="false">O139</f>
        <v>4986</v>
      </c>
      <c r="P10" s="165" t="n">
        <f aca="false">P139</f>
        <v>187.113718411552</v>
      </c>
      <c r="Q10" s="161" t="n">
        <f aca="false">Q139</f>
        <v>6128</v>
      </c>
      <c r="R10" s="161" t="n">
        <f aca="false">R139</f>
        <v>932949</v>
      </c>
    </row>
    <row r="11" customFormat="false" ht="29.25" hidden="false" customHeight="true" outlineLevel="0" collapsed="false">
      <c r="A11" s="163"/>
      <c r="B11" s="164" t="s">
        <v>15</v>
      </c>
      <c r="C11" s="161" t="n">
        <f aca="false">C149</f>
        <v>82202472</v>
      </c>
      <c r="D11" s="161" t="n">
        <f aca="false">D149</f>
        <v>78263214</v>
      </c>
      <c r="E11" s="165" t="n">
        <f aca="false">E149</f>
        <v>5.03334555107844</v>
      </c>
      <c r="F11" s="161" t="n">
        <f aca="false">F149</f>
        <v>13042742</v>
      </c>
      <c r="G11" s="161" t="n">
        <f aca="false">G149</f>
        <v>14828740</v>
      </c>
      <c r="H11" s="165" t="n">
        <f aca="false">H149</f>
        <v>-12.0441655865569</v>
      </c>
      <c r="I11" s="161" t="n">
        <f aca="false">I149</f>
        <v>81540059</v>
      </c>
      <c r="J11" s="161" t="n">
        <f aca="false">J149</f>
        <v>76419128</v>
      </c>
      <c r="K11" s="165" t="n">
        <f aca="false">K149</f>
        <v>6.70111153322766</v>
      </c>
      <c r="L11" s="161" t="n">
        <f aca="false">L149</f>
        <v>64990442</v>
      </c>
      <c r="M11" s="161" t="n">
        <f aca="false">M149</f>
        <v>60474050</v>
      </c>
      <c r="N11" s="165" t="n">
        <f aca="false">N149</f>
        <v>7.468314095054</v>
      </c>
      <c r="O11" s="161" t="n">
        <f aca="false">O149</f>
        <v>2674</v>
      </c>
      <c r="P11" s="161" t="n">
        <f aca="false">P149</f>
        <v>143.786462228871</v>
      </c>
      <c r="Q11" s="161" t="n">
        <f aca="false">Q149</f>
        <v>3623</v>
      </c>
      <c r="R11" s="168" t="n">
        <f aca="false">O11*P11</f>
        <v>384485</v>
      </c>
    </row>
    <row r="12" customFormat="false" ht="31.5" hidden="false" customHeight="true" outlineLevel="0" collapsed="false">
      <c r="A12" s="163" t="n">
        <v>2</v>
      </c>
      <c r="B12" s="164" t="s">
        <v>16</v>
      </c>
      <c r="C12" s="161" t="n">
        <f aca="false">C159</f>
        <v>6163692</v>
      </c>
      <c r="D12" s="161" t="n">
        <f aca="false">D159</f>
        <v>3866316</v>
      </c>
      <c r="E12" s="165" t="n">
        <f aca="false">E159</f>
        <v>59.4202853569134</v>
      </c>
      <c r="F12" s="161" t="n">
        <f aca="false">F159</f>
        <v>1154598</v>
      </c>
      <c r="G12" s="166" t="n">
        <f aca="false">G159</f>
        <v>585749</v>
      </c>
      <c r="H12" s="167" t="n">
        <f aca="false">H159</f>
        <v>97.1148051469145</v>
      </c>
      <c r="I12" s="166" t="n">
        <f aca="false">I159</f>
        <v>5142579</v>
      </c>
      <c r="J12" s="166" t="n">
        <f aca="false">J159</f>
        <v>4360723</v>
      </c>
      <c r="K12" s="167" t="n">
        <f aca="false">K159</f>
        <v>17.9295038919005</v>
      </c>
      <c r="L12" s="161" t="n">
        <f aca="false">L159</f>
        <v>2610570</v>
      </c>
      <c r="M12" s="161" t="n">
        <f aca="false">M159</f>
        <v>2114760</v>
      </c>
      <c r="N12" s="165" t="n">
        <f aca="false">N159</f>
        <v>23.4452136412643</v>
      </c>
      <c r="O12" s="161" t="n">
        <f aca="false">O159</f>
        <v>613</v>
      </c>
      <c r="P12" s="165" t="n">
        <f aca="false">P159</f>
        <v>108.557911908646</v>
      </c>
      <c r="Q12" s="161" t="n">
        <f aca="false">Q159</f>
        <v>906</v>
      </c>
      <c r="R12" s="168" t="n">
        <f aca="false">O12*P12</f>
        <v>66546</v>
      </c>
    </row>
    <row r="13" customFormat="false" ht="30" hidden="false" customHeight="true" outlineLevel="0" collapsed="false">
      <c r="A13" s="163" t="n">
        <v>3</v>
      </c>
      <c r="B13" s="164" t="s">
        <v>17</v>
      </c>
      <c r="C13" s="161" t="n">
        <f aca="false">C196</f>
        <v>6994574</v>
      </c>
      <c r="D13" s="161" t="n">
        <f aca="false">D196</f>
        <v>4180904</v>
      </c>
      <c r="E13" s="165" t="n">
        <f aca="false">E196</f>
        <v>67.2981249988041</v>
      </c>
      <c r="F13" s="161" t="n">
        <f aca="false">F196</f>
        <v>1730545</v>
      </c>
      <c r="G13" s="161" t="n">
        <f aca="false">G196</f>
        <v>834634</v>
      </c>
      <c r="H13" s="161" t="n">
        <f aca="false">H196</f>
        <v>107.341780948296</v>
      </c>
      <c r="I13" s="161" t="n">
        <f aca="false">I196</f>
        <v>6742594</v>
      </c>
      <c r="J13" s="161" t="n">
        <f aca="false">J196</f>
        <v>4429717</v>
      </c>
      <c r="K13" s="165" t="n">
        <f aca="false">K196</f>
        <v>52.2127485796497</v>
      </c>
      <c r="L13" s="161" t="n">
        <f aca="false">L196</f>
        <v>3785319</v>
      </c>
      <c r="M13" s="161" t="n">
        <f aca="false">M196</f>
        <v>2846278</v>
      </c>
      <c r="N13" s="165" t="n">
        <f aca="false">N196</f>
        <v>32.9918932725475</v>
      </c>
      <c r="O13" s="161" t="n">
        <f aca="false">O196</f>
        <v>456</v>
      </c>
      <c r="P13" s="161" t="n">
        <f aca="false">P196</f>
        <v>134.331140350877</v>
      </c>
      <c r="Q13" s="161" t="n">
        <f aca="false">Q196</f>
        <v>311</v>
      </c>
      <c r="R13" s="161" t="n">
        <f aca="false">R196</f>
        <v>61255</v>
      </c>
    </row>
    <row r="14" customFormat="false" ht="36" hidden="false" customHeight="true" outlineLevel="0" collapsed="false">
      <c r="A14" s="163" t="n">
        <v>4</v>
      </c>
      <c r="B14" s="164" t="s">
        <v>18</v>
      </c>
      <c r="C14" s="161" t="n">
        <f aca="false">C54</f>
        <v>1236858</v>
      </c>
      <c r="D14" s="166" t="n">
        <f aca="false">D54</f>
        <v>1584042</v>
      </c>
      <c r="E14" s="167" t="n">
        <f aca="false">E54</f>
        <v>-21.9176006696792</v>
      </c>
      <c r="F14" s="166" t="n">
        <f aca="false">F54</f>
        <v>258410</v>
      </c>
      <c r="G14" s="166" t="n">
        <f aca="false">G54</f>
        <v>310770</v>
      </c>
      <c r="H14" s="167" t="n">
        <f aca="false">H54</f>
        <v>-16.8484731473437</v>
      </c>
      <c r="I14" s="166" t="n">
        <f aca="false">I54</f>
        <v>1172445</v>
      </c>
      <c r="J14" s="166" t="n">
        <f aca="false">J54</f>
        <v>1505249</v>
      </c>
      <c r="K14" s="167" t="n">
        <f aca="false">K54</f>
        <v>-22.1095645969537</v>
      </c>
      <c r="L14" s="166" t="n">
        <f aca="false">L54</f>
        <v>571963</v>
      </c>
      <c r="M14" s="166" t="n">
        <f aca="false">M54</f>
        <v>863719</v>
      </c>
      <c r="N14" s="167" t="n">
        <f aca="false">N54</f>
        <v>-33.7790415632862</v>
      </c>
      <c r="O14" s="166" t="n">
        <f aca="false">O54</f>
        <v>849</v>
      </c>
      <c r="P14" s="167" t="n">
        <f aca="false">P54</f>
        <v>107.732626619552</v>
      </c>
      <c r="Q14" s="166" t="n">
        <f aca="false">Q54</f>
        <v>853</v>
      </c>
      <c r="R14" s="168" t="n">
        <f aca="false">O14*P14</f>
        <v>91465</v>
      </c>
    </row>
    <row r="15" customFormat="false" ht="27.75" hidden="false" customHeight="true" outlineLevel="0" collapsed="false">
      <c r="A15" s="163" t="n">
        <v>5</v>
      </c>
      <c r="B15" s="164" t="s">
        <v>19</v>
      </c>
      <c r="C15" s="161" t="n">
        <f aca="false">C66</f>
        <v>747209</v>
      </c>
      <c r="D15" s="166" t="n">
        <f aca="false">D66</f>
        <v>782358</v>
      </c>
      <c r="E15" s="167" t="n">
        <f aca="false">E66</f>
        <v>-4.49270027276515</v>
      </c>
      <c r="F15" s="166" t="n">
        <f aca="false">F66</f>
        <v>148674</v>
      </c>
      <c r="G15" s="166" t="n">
        <f aca="false">G66</f>
        <v>205972</v>
      </c>
      <c r="H15" s="167" t="n">
        <f aca="false">H66</f>
        <v>-27.8183442409648</v>
      </c>
      <c r="I15" s="166" t="n">
        <f aca="false">I66</f>
        <v>794240</v>
      </c>
      <c r="J15" s="166" t="n">
        <f aca="false">J66</f>
        <v>873083</v>
      </c>
      <c r="K15" s="167" t="n">
        <f aca="false">K66</f>
        <v>-9.03041291606868</v>
      </c>
      <c r="L15" s="166" t="n">
        <f aca="false">L66</f>
        <v>511279</v>
      </c>
      <c r="M15" s="166" t="n">
        <f aca="false">M66</f>
        <v>659409</v>
      </c>
      <c r="N15" s="167" t="n">
        <f aca="false">N66</f>
        <v>-22.4640549340394</v>
      </c>
      <c r="O15" s="166" t="n">
        <f aca="false">O66</f>
        <v>545</v>
      </c>
      <c r="P15" s="167" t="n">
        <f aca="false">P66</f>
        <v>84.1504587155963</v>
      </c>
      <c r="Q15" s="166" t="n">
        <f aca="false">Q66</f>
        <v>560</v>
      </c>
      <c r="R15" s="168" t="n">
        <f aca="false">O15*P15</f>
        <v>45862</v>
      </c>
    </row>
    <row r="16" customFormat="false" ht="29.25" hidden="false" customHeight="true" outlineLevel="0" collapsed="false">
      <c r="A16" s="163" t="n">
        <v>6</v>
      </c>
      <c r="B16" s="164" t="s">
        <v>20</v>
      </c>
      <c r="C16" s="161" t="n">
        <f aca="false">C77</f>
        <v>764823</v>
      </c>
      <c r="D16" s="166" t="n">
        <f aca="false">D77</f>
        <v>732971</v>
      </c>
      <c r="E16" s="167" t="n">
        <f aca="false">E77</f>
        <v>4.34560166773311</v>
      </c>
      <c r="F16" s="166" t="n">
        <f aca="false">F77</f>
        <v>171919</v>
      </c>
      <c r="G16" s="166" t="n">
        <f aca="false">G77</f>
        <v>153069</v>
      </c>
      <c r="H16" s="167" t="n">
        <f aca="false">H77</f>
        <v>12.3147077461798</v>
      </c>
      <c r="I16" s="166" t="n">
        <f aca="false">I77</f>
        <v>800393</v>
      </c>
      <c r="J16" s="166" t="n">
        <f aca="false">J77</f>
        <v>745023</v>
      </c>
      <c r="K16" s="167" t="n">
        <f aca="false">K77</f>
        <v>7.43198532125852</v>
      </c>
      <c r="L16" s="166" t="n">
        <f aca="false">L77</f>
        <v>453873</v>
      </c>
      <c r="M16" s="166" t="n">
        <f aca="false">M77</f>
        <v>344627</v>
      </c>
      <c r="N16" s="167" t="n">
        <f aca="false">N77</f>
        <v>31.6997797618875</v>
      </c>
      <c r="O16" s="166" t="n">
        <f aca="false">O77</f>
        <v>552</v>
      </c>
      <c r="P16" s="167" t="n">
        <f aca="false">P77</f>
        <v>99.0307971014493</v>
      </c>
      <c r="Q16" s="166" t="n">
        <f aca="false">Q77</f>
        <v>548</v>
      </c>
      <c r="R16" s="168" t="n">
        <f aca="false">O16*P16</f>
        <v>54665</v>
      </c>
    </row>
    <row r="17" customFormat="false" ht="33" hidden="false" customHeight="true" outlineLevel="0" collapsed="false">
      <c r="A17" s="163" t="n">
        <v>7</v>
      </c>
      <c r="B17" s="164" t="s">
        <v>21</v>
      </c>
      <c r="C17" s="161" t="n">
        <f aca="false">C92</f>
        <v>3628482</v>
      </c>
      <c r="D17" s="166" t="n">
        <f aca="false">D92</f>
        <v>3216073</v>
      </c>
      <c r="E17" s="167" t="n">
        <f aca="false">E92</f>
        <v>12.8233718575418</v>
      </c>
      <c r="F17" s="166" t="n">
        <f aca="false">F92</f>
        <v>714720</v>
      </c>
      <c r="G17" s="166" t="n">
        <f aca="false">G92</f>
        <v>751791</v>
      </c>
      <c r="H17" s="167" t="n">
        <f aca="false">H92</f>
        <v>-4.93102471298539</v>
      </c>
      <c r="I17" s="166" t="n">
        <f aca="false">I92</f>
        <v>5596158</v>
      </c>
      <c r="J17" s="166" t="n">
        <f aca="false">J92</f>
        <v>5250944</v>
      </c>
      <c r="K17" s="167" t="n">
        <f aca="false">K92</f>
        <v>6.5743226360822</v>
      </c>
      <c r="L17" s="166" t="n">
        <f aca="false">L92</f>
        <v>1539806</v>
      </c>
      <c r="M17" s="166" t="n">
        <f aca="false">M92</f>
        <v>1270317</v>
      </c>
      <c r="N17" s="167" t="n">
        <f aca="false">N92</f>
        <v>21.2143110735352</v>
      </c>
      <c r="O17" s="166" t="n">
        <f aca="false">O92</f>
        <v>3959</v>
      </c>
      <c r="P17" s="167" t="n">
        <f aca="false">P92</f>
        <v>118.191462490528</v>
      </c>
      <c r="Q17" s="166" t="n">
        <f aca="false">Q92</f>
        <v>3953</v>
      </c>
      <c r="R17" s="168" t="n">
        <f aca="false">O17*P17</f>
        <v>467920</v>
      </c>
    </row>
    <row r="18" customFormat="false" ht="34.5" hidden="false" customHeight="true" outlineLevel="0" collapsed="false">
      <c r="A18" s="163" t="n">
        <v>8</v>
      </c>
      <c r="B18" s="164" t="s">
        <v>22</v>
      </c>
      <c r="C18" s="161" t="n">
        <f aca="false">C178</f>
        <v>21125304</v>
      </c>
      <c r="D18" s="161" t="n">
        <f aca="false">D178</f>
        <v>16159088</v>
      </c>
      <c r="E18" s="165" t="n">
        <f aca="false">E178</f>
        <v>30.7332691052861</v>
      </c>
      <c r="F18" s="161" t="n">
        <f aca="false">F178</f>
        <v>4953798</v>
      </c>
      <c r="G18" s="161" t="n">
        <f aca="false">G178</f>
        <v>2859194</v>
      </c>
      <c r="H18" s="165" t="n">
        <f aca="false">H178</f>
        <v>73.2585476886144</v>
      </c>
      <c r="I18" s="161" t="n">
        <f aca="false">I178</f>
        <v>18954227</v>
      </c>
      <c r="J18" s="161" t="n">
        <f aca="false">J178</f>
        <v>15486392</v>
      </c>
      <c r="K18" s="165" t="n">
        <f aca="false">K178</f>
        <v>22.3927884558262</v>
      </c>
      <c r="L18" s="161" t="n">
        <f aca="false">L178</f>
        <v>11269898</v>
      </c>
      <c r="M18" s="161" t="n">
        <f aca="false">M178</f>
        <v>8434488</v>
      </c>
      <c r="N18" s="165" t="n">
        <f aca="false">N178</f>
        <v>33.6168597311419</v>
      </c>
      <c r="O18" s="161" t="n">
        <f aca="false">O178</f>
        <v>3349</v>
      </c>
      <c r="P18" s="165" t="n">
        <f aca="false">P178</f>
        <v>64.507017020006</v>
      </c>
      <c r="Q18" s="161" t="n">
        <f aca="false">Q178</f>
        <v>3079</v>
      </c>
      <c r="R18" s="161" t="n">
        <f aca="false">R178</f>
        <v>216034</v>
      </c>
    </row>
    <row r="19" customFormat="false" ht="36" hidden="false" customHeight="true" outlineLevel="0" collapsed="false">
      <c r="A19" s="163" t="n">
        <v>9</v>
      </c>
      <c r="B19" s="164" t="s">
        <v>23</v>
      </c>
      <c r="C19" s="161" t="n">
        <f aca="false">C120</f>
        <v>1747739</v>
      </c>
      <c r="D19" s="166" t="n">
        <f aca="false">D120</f>
        <v>1672854</v>
      </c>
      <c r="E19" s="167" t="n">
        <f aca="false">E120</f>
        <v>4.47648151004212</v>
      </c>
      <c r="F19" s="166" t="n">
        <f aca="false">F120</f>
        <v>337154</v>
      </c>
      <c r="G19" s="166" t="n">
        <f aca="false">G120</f>
        <v>325365</v>
      </c>
      <c r="H19" s="167" t="n">
        <f aca="false">H120</f>
        <v>3.62331535352605</v>
      </c>
      <c r="I19" s="166" t="n">
        <f aca="false">I120</f>
        <v>1640451</v>
      </c>
      <c r="J19" s="166" t="n">
        <f aca="false">J120</f>
        <v>1698120</v>
      </c>
      <c r="K19" s="167" t="n">
        <f aca="false">K120</f>
        <v>-3.39604974913433</v>
      </c>
      <c r="L19" s="166" t="n">
        <f aca="false">L120</f>
        <v>953986</v>
      </c>
      <c r="M19" s="166" t="n">
        <f aca="false">M120</f>
        <v>831564</v>
      </c>
      <c r="N19" s="167" t="n">
        <f aca="false">N120</f>
        <v>14.7218975328417</v>
      </c>
      <c r="O19" s="166" t="n">
        <f aca="false">O120</f>
        <v>1464</v>
      </c>
      <c r="P19" s="167" t="n">
        <f aca="false">P120</f>
        <v>77.4303278688525</v>
      </c>
      <c r="Q19" s="166" t="n">
        <f aca="false">Q120</f>
        <v>1855</v>
      </c>
      <c r="R19" s="168" t="n">
        <f aca="false">O19*P19</f>
        <v>113358</v>
      </c>
    </row>
    <row r="20" customFormat="false" ht="24" hidden="false" customHeight="true" outlineLevel="0" collapsed="false">
      <c r="A20" s="163" t="n">
        <v>10</v>
      </c>
      <c r="B20" s="164" t="s">
        <v>24</v>
      </c>
      <c r="C20" s="161" t="n">
        <f aca="false">C131</f>
        <v>91412</v>
      </c>
      <c r="D20" s="166" t="n">
        <f aca="false">D131</f>
        <v>158683</v>
      </c>
      <c r="E20" s="167" t="n">
        <f aca="false">E131</f>
        <v>-42.3933250568744</v>
      </c>
      <c r="F20" s="166" t="n">
        <f aca="false">F131</f>
        <v>23297</v>
      </c>
      <c r="G20" s="166" t="n">
        <f aca="false">G131</f>
        <v>23991</v>
      </c>
      <c r="H20" s="167" t="n">
        <f aca="false">H131</f>
        <v>-2.89275144845985</v>
      </c>
      <c r="I20" s="166" t="n">
        <f aca="false">I131</f>
        <v>55407</v>
      </c>
      <c r="J20" s="166" t="n">
        <f aca="false">J131</f>
        <v>191799</v>
      </c>
      <c r="K20" s="167" t="n">
        <f aca="false">K131</f>
        <v>-71.1119453177545</v>
      </c>
      <c r="L20" s="166" t="n">
        <f aca="false">L131</f>
        <v>0</v>
      </c>
      <c r="M20" s="166" t="n">
        <f aca="false">M131</f>
        <v>0</v>
      </c>
      <c r="N20" s="167" t="n">
        <f aca="false">N131</f>
        <v>0</v>
      </c>
      <c r="O20" s="166" t="n">
        <f aca="false">O131</f>
        <v>96</v>
      </c>
      <c r="P20" s="167" t="n">
        <f aca="false">P131</f>
        <v>76.5416666666667</v>
      </c>
      <c r="Q20" s="166" t="n">
        <f aca="false">Q131</f>
        <v>96</v>
      </c>
      <c r="R20" s="168" t="n">
        <f aca="false">O20*P20</f>
        <v>7348</v>
      </c>
    </row>
    <row r="21" customFormat="false" ht="32.25" hidden="false" customHeight="true" outlineLevel="0" collapsed="false">
      <c r="A21" s="163" t="n">
        <v>11</v>
      </c>
      <c r="B21" s="164" t="s">
        <v>25</v>
      </c>
      <c r="C21" s="161" t="n">
        <f aca="false">C209</f>
        <v>478150.3</v>
      </c>
      <c r="D21" s="166" t="n">
        <f aca="false">D209</f>
        <v>618549.1</v>
      </c>
      <c r="E21" s="167" t="n">
        <f aca="false">E209</f>
        <v>-22.6980849216335</v>
      </c>
      <c r="F21" s="166" t="n">
        <f aca="false">F209</f>
        <v>94174.3</v>
      </c>
      <c r="G21" s="166" t="n">
        <f aca="false">G209</f>
        <v>99179.6</v>
      </c>
      <c r="H21" s="167" t="n">
        <f aca="false">H209</f>
        <v>-5.04670315266446</v>
      </c>
      <c r="I21" s="166" t="n">
        <f aca="false">I209</f>
        <v>184379.2</v>
      </c>
      <c r="J21" s="166" t="n">
        <f aca="false">J209</f>
        <v>484502.1</v>
      </c>
      <c r="K21" s="167" t="n">
        <f aca="false">K209</f>
        <v>-61.9446025104948</v>
      </c>
      <c r="L21" s="166" t="n">
        <f aca="false">L209</f>
        <v>2408</v>
      </c>
      <c r="M21" s="166" t="n">
        <f aca="false">M209</f>
        <v>65818</v>
      </c>
      <c r="N21" s="167" t="n">
        <f aca="false">N209</f>
        <v>-96.3414263575314</v>
      </c>
      <c r="O21" s="166" t="n">
        <f aca="false">O209</f>
        <v>533</v>
      </c>
      <c r="P21" s="167" t="n">
        <f aca="false">P209</f>
        <v>172.736022514071</v>
      </c>
      <c r="Q21" s="166" t="n">
        <f aca="false">Q209</f>
        <v>507</v>
      </c>
      <c r="R21" s="168" t="n">
        <f aca="false">O21*P21</f>
        <v>92068.3</v>
      </c>
    </row>
    <row r="22" customFormat="false" ht="39.75" hidden="false" customHeight="true" outlineLevel="0" collapsed="false">
      <c r="A22" s="163" t="n">
        <v>12</v>
      </c>
      <c r="B22" s="164" t="s">
        <v>26</v>
      </c>
      <c r="C22" s="161" t="n">
        <f aca="false">C214</f>
        <v>53000</v>
      </c>
      <c r="D22" s="166" t="n">
        <f aca="false">D214</f>
        <v>48396</v>
      </c>
      <c r="E22" s="167" t="n">
        <f aca="false">E214</f>
        <v>9.51318290767833</v>
      </c>
      <c r="F22" s="166" t="n">
        <f aca="false">F214</f>
        <v>6728</v>
      </c>
      <c r="G22" s="166" t="n">
        <f aca="false">G214</f>
        <v>14552</v>
      </c>
      <c r="H22" s="167" t="n">
        <f aca="false">H214</f>
        <v>-53.7658053875756</v>
      </c>
      <c r="I22" s="166" t="n">
        <f aca="false">I214</f>
        <v>53000</v>
      </c>
      <c r="J22" s="166" t="n">
        <f aca="false">J214</f>
        <v>48396</v>
      </c>
      <c r="K22" s="167" t="n">
        <f aca="false">K214</f>
        <v>9.51318290767833</v>
      </c>
      <c r="L22" s="166" t="n">
        <f aca="false">L214</f>
        <v>53000</v>
      </c>
      <c r="M22" s="166" t="n">
        <f aca="false">M214</f>
        <v>48396</v>
      </c>
      <c r="N22" s="167" t="n">
        <f aca="false">N214</f>
        <v>9.51318290767833</v>
      </c>
      <c r="O22" s="166" t="n">
        <f aca="false">O214</f>
        <v>49</v>
      </c>
      <c r="P22" s="167" t="n">
        <f aca="false">P214</f>
        <v>49</v>
      </c>
      <c r="Q22" s="166" t="n">
        <f aca="false">Q214</f>
        <v>48</v>
      </c>
      <c r="R22" s="168" t="n">
        <f aca="false">O22*P22</f>
        <v>2401</v>
      </c>
    </row>
    <row r="23" s="174" customFormat="true" ht="15" hidden="false" customHeight="false" outlineLevel="0" collapsed="false">
      <c r="A23" s="307"/>
      <c r="B23" s="308" t="s">
        <v>27</v>
      </c>
      <c r="C23" s="309" t="n">
        <f aca="false">SUM(C10:C22)</f>
        <v>217022572.3</v>
      </c>
      <c r="D23" s="309" t="n">
        <f aca="false">SUM(D10:D22)</f>
        <v>197980273.1</v>
      </c>
      <c r="E23" s="310" t="n">
        <f aca="false">C23/D23*100-100</f>
        <v>9.61828110540172</v>
      </c>
      <c r="F23" s="309" t="n">
        <f aca="false">SUM(F10:F22)</f>
        <v>39336704.3</v>
      </c>
      <c r="G23" s="309" t="n">
        <f aca="false">SUM(G10:G22)</f>
        <v>35855024.6</v>
      </c>
      <c r="H23" s="310" t="n">
        <f aca="false">F23/G23*100-100</f>
        <v>9.71043734829844</v>
      </c>
      <c r="I23" s="309" t="n">
        <f aca="false">SUM(I10:I22)</f>
        <v>206279960.2</v>
      </c>
      <c r="J23" s="309" t="n">
        <f aca="false">SUM(J10:J22)</f>
        <v>193740343.1</v>
      </c>
      <c r="K23" s="310" t="n">
        <f aca="false">I23/J23*100-100</f>
        <v>6.47238303564251</v>
      </c>
      <c r="L23" s="309" t="n">
        <f aca="false">SUM(L10:L22)</f>
        <v>141273551</v>
      </c>
      <c r="M23" s="309" t="n">
        <f aca="false">SUM(M10:M22)</f>
        <v>129727010</v>
      </c>
      <c r="N23" s="310" t="n">
        <f aca="false">L23/M23*100-100</f>
        <v>8.90064528581982</v>
      </c>
      <c r="O23" s="309" t="n">
        <f aca="false">SUM(O10:O22)</f>
        <v>20125</v>
      </c>
      <c r="P23" s="311" t="n">
        <f aca="false">R23/O23</f>
        <v>126.030126708075</v>
      </c>
      <c r="Q23" s="309" t="n">
        <f aca="false">SUM(Q10:Q22)</f>
        <v>22467</v>
      </c>
      <c r="R23" s="312" t="n">
        <f aca="false">SUM(R10:R22)</f>
        <v>2536356.3</v>
      </c>
    </row>
    <row r="24" customFormat="false" ht="67.5" hidden="false" customHeight="tru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0.75" hidden="true" customHeight="tru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5" hidden="true" customHeight="fals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0.75" hidden="true" customHeight="tru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tru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0.75" hidden="tru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33.75" hidden="false" customHeight="true" outlineLevel="0" collapsed="false">
      <c r="A30" s="178" t="s">
        <v>193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</row>
    <row r="31" customFormat="false" ht="6.75" hidden="true" customHeight="true" outlineLevel="0" collapsed="false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9"/>
    </row>
    <row r="32" customFormat="false" ht="3.75" hidden="true" customHeight="true" outlineLevel="0" collapsed="false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80"/>
    </row>
    <row r="33" customFormat="false" ht="19.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60" hidden="false" customHeight="true" outlineLevel="0" collapsed="false">
      <c r="A34" s="181"/>
      <c r="B34" s="182"/>
      <c r="C34" s="186" t="s">
        <v>9</v>
      </c>
      <c r="D34" s="186" t="s">
        <v>33</v>
      </c>
      <c r="E34" s="188" t="s">
        <v>189</v>
      </c>
      <c r="F34" s="186" t="s">
        <v>12</v>
      </c>
      <c r="G34" s="186" t="s">
        <v>35</v>
      </c>
      <c r="H34" s="188" t="s">
        <v>189</v>
      </c>
      <c r="I34" s="186" t="s">
        <v>13</v>
      </c>
      <c r="J34" s="186" t="s">
        <v>33</v>
      </c>
      <c r="K34" s="188" t="s">
        <v>189</v>
      </c>
      <c r="L34" s="186" t="s">
        <v>13</v>
      </c>
      <c r="M34" s="186" t="s">
        <v>33</v>
      </c>
      <c r="N34" s="188" t="s">
        <v>189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63328</v>
      </c>
      <c r="D37" s="200" t="n">
        <v>89133</v>
      </c>
      <c r="E37" s="201" t="n">
        <f aca="false">C37/D37*100-100</f>
        <v>-28.9511179922139</v>
      </c>
      <c r="F37" s="200" t="n">
        <v>10979</v>
      </c>
      <c r="G37" s="200" t="n">
        <v>19837</v>
      </c>
      <c r="H37" s="201" t="n">
        <f aca="false">F37/G37*100-100</f>
        <v>-44.6539295256339</v>
      </c>
      <c r="I37" s="200" t="n">
        <v>63328</v>
      </c>
      <c r="J37" s="200" t="n">
        <v>73300</v>
      </c>
      <c r="K37" s="201" t="n">
        <f aca="false">I37/J37*100-100</f>
        <v>-13.6043656207367</v>
      </c>
      <c r="L37" s="200" t="n">
        <v>1672</v>
      </c>
      <c r="M37" s="200" t="n">
        <v>3649</v>
      </c>
      <c r="N37" s="201" t="n">
        <f aca="false">L37/M37*100-100</f>
        <v>-54.1792271855303</v>
      </c>
      <c r="O37" s="200" t="n">
        <v>82</v>
      </c>
      <c r="P37" s="200" t="n">
        <v>105</v>
      </c>
      <c r="Q37" s="200" t="n">
        <v>82</v>
      </c>
      <c r="R37" s="202" t="n">
        <f aca="false">O37*P37</f>
        <v>8610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110524</v>
      </c>
      <c r="D38" s="200" t="n">
        <v>163176</v>
      </c>
      <c r="E38" s="201" t="n">
        <f aca="false">C38/D38*100-100</f>
        <v>-32.2670000490268</v>
      </c>
      <c r="F38" s="200" t="n">
        <v>3329</v>
      </c>
      <c r="G38" s="200" t="n">
        <v>5000</v>
      </c>
      <c r="H38" s="201" t="n">
        <v>0</v>
      </c>
      <c r="I38" s="200" t="n">
        <v>110524</v>
      </c>
      <c r="J38" s="200" t="n">
        <v>163170</v>
      </c>
      <c r="K38" s="201" t="n">
        <f aca="false">I38/J38*100-100</f>
        <v>-32.2645094073665</v>
      </c>
      <c r="L38" s="200" t="n">
        <v>66497</v>
      </c>
      <c r="M38" s="200" t="n">
        <v>129347</v>
      </c>
      <c r="N38" s="201" t="n">
        <f aca="false">L38/M38*100-100</f>
        <v>-48.5902262905208</v>
      </c>
      <c r="O38" s="203" t="n">
        <v>96</v>
      </c>
      <c r="P38" s="204" t="n">
        <v>174</v>
      </c>
      <c r="Q38" s="203" t="n">
        <v>96</v>
      </c>
      <c r="R38" s="202" t="n">
        <f aca="false">O38*P38</f>
        <v>16704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33191</v>
      </c>
      <c r="D39" s="200" t="n">
        <v>37111</v>
      </c>
      <c r="E39" s="201" t="n">
        <f aca="false">C39/D39*100-100</f>
        <v>-10.5629058769637</v>
      </c>
      <c r="F39" s="200" t="n">
        <v>5680</v>
      </c>
      <c r="G39" s="200" t="n">
        <v>12986</v>
      </c>
      <c r="H39" s="201" t="n">
        <f aca="false">F39/G39*100-100</f>
        <v>-56.2605883258894</v>
      </c>
      <c r="I39" s="200" t="n">
        <v>74525</v>
      </c>
      <c r="J39" s="200" t="n">
        <v>74317</v>
      </c>
      <c r="K39" s="201" t="n">
        <f aca="false">I39/J39*100-100</f>
        <v>0.279882126565937</v>
      </c>
      <c r="L39" s="200" t="n">
        <v>0</v>
      </c>
      <c r="M39" s="200" t="n">
        <v>0</v>
      </c>
      <c r="N39" s="201" t="n">
        <v>0</v>
      </c>
      <c r="O39" s="203" t="n">
        <v>29</v>
      </c>
      <c r="P39" s="204" t="n">
        <v>90</v>
      </c>
      <c r="Q39" s="203" t="n">
        <v>30</v>
      </c>
      <c r="R39" s="202" t="n">
        <f aca="false">O39*P39</f>
        <v>2610</v>
      </c>
    </row>
    <row r="40" customFormat="false" ht="15" hidden="false" customHeight="false" outlineLevel="0" collapsed="false">
      <c r="A40" s="198" t="n">
        <v>4</v>
      </c>
      <c r="B40" s="199" t="s">
        <v>41</v>
      </c>
      <c r="C40" s="200" t="n">
        <v>8630</v>
      </c>
      <c r="D40" s="200" t="n">
        <v>6700</v>
      </c>
      <c r="E40" s="201" t="n">
        <f aca="false">C40/D40*100-100</f>
        <v>28.8059701492537</v>
      </c>
      <c r="F40" s="200" t="n">
        <v>2600</v>
      </c>
      <c r="G40" s="200" t="n">
        <v>1520</v>
      </c>
      <c r="H40" s="201" t="n">
        <f aca="false">F40/G40*100-100</f>
        <v>71.0526315789474</v>
      </c>
      <c r="I40" s="200" t="n">
        <v>11668</v>
      </c>
      <c r="J40" s="200" t="n">
        <v>13452</v>
      </c>
      <c r="K40" s="201" t="n">
        <f aca="false">I40/J40*100-100</f>
        <v>-13.2619684805234</v>
      </c>
      <c r="L40" s="200" t="n">
        <v>0</v>
      </c>
      <c r="M40" s="200" t="n">
        <v>0</v>
      </c>
      <c r="N40" s="201" t="n">
        <v>0</v>
      </c>
      <c r="O40" s="203" t="n">
        <v>15</v>
      </c>
      <c r="P40" s="204" t="n">
        <v>60</v>
      </c>
      <c r="Q40" s="203"/>
      <c r="R40" s="202" t="n">
        <f aca="false">O40*P40</f>
        <v>900</v>
      </c>
    </row>
    <row r="41" customFormat="false" ht="15" hidden="false" customHeight="false" outlineLevel="0" collapsed="false">
      <c r="A41" s="198" t="n">
        <v>5</v>
      </c>
      <c r="B41" s="199" t="s">
        <v>42</v>
      </c>
      <c r="C41" s="206" t="n">
        <v>21327</v>
      </c>
      <c r="D41" s="206" t="n">
        <v>26718</v>
      </c>
      <c r="E41" s="201" t="n">
        <f aca="false">C41/D41*100-100</f>
        <v>-20.1774084886593</v>
      </c>
      <c r="F41" s="206" t="n">
        <v>2634</v>
      </c>
      <c r="G41" s="206" t="n">
        <v>3766</v>
      </c>
      <c r="H41" s="201" t="n">
        <f aca="false">F41/G41*100-100</f>
        <v>-30.0584174190122</v>
      </c>
      <c r="I41" s="206" t="n">
        <v>31682</v>
      </c>
      <c r="J41" s="206" t="n">
        <v>29593</v>
      </c>
      <c r="K41" s="201" t="n">
        <f aca="false">I41/J41*100-100</f>
        <v>7.05910181461833</v>
      </c>
      <c r="L41" s="206" t="n">
        <v>5045</v>
      </c>
      <c r="M41" s="206" t="n">
        <v>5496</v>
      </c>
      <c r="N41" s="201" t="n">
        <f aca="false">L41/M41*100-100</f>
        <v>-8.20596797671034</v>
      </c>
      <c r="O41" s="203" t="n">
        <v>56</v>
      </c>
      <c r="P41" s="204" t="n">
        <v>75</v>
      </c>
      <c r="Q41" s="203" t="n">
        <v>54</v>
      </c>
      <c r="R41" s="202" t="n">
        <f aca="false">O41*P41</f>
        <v>4200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69826</v>
      </c>
      <c r="D42" s="200" t="n">
        <v>40481</v>
      </c>
      <c r="E42" s="201" t="n">
        <f aca="false">C42/D42*100-100</f>
        <v>72.4907981522196</v>
      </c>
      <c r="F42" s="200" t="n">
        <v>17668</v>
      </c>
      <c r="G42" s="200" t="n">
        <v>12914</v>
      </c>
      <c r="H42" s="201" t="n">
        <f aca="false">F42/G42*100-100</f>
        <v>36.8127613442775</v>
      </c>
      <c r="I42" s="200" t="n">
        <v>62594</v>
      </c>
      <c r="J42" s="200" t="n">
        <v>38424</v>
      </c>
      <c r="K42" s="201" t="n">
        <f aca="false">I42/J42*100-100</f>
        <v>62.9033937122632</v>
      </c>
      <c r="L42" s="200" t="n">
        <v>0</v>
      </c>
      <c r="M42" s="200" t="n">
        <v>0</v>
      </c>
      <c r="N42" s="201" t="n">
        <v>0</v>
      </c>
      <c r="O42" s="203" t="n">
        <v>64</v>
      </c>
      <c r="P42" s="204" t="n">
        <v>100</v>
      </c>
      <c r="Q42" s="203" t="n">
        <v>64</v>
      </c>
      <c r="R42" s="202" t="n">
        <f aca="false">O42*P42</f>
        <v>6400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0</v>
      </c>
      <c r="D43" s="200" t="n">
        <v>0</v>
      </c>
      <c r="E43" s="201" t="n">
        <v>0</v>
      </c>
      <c r="F43" s="200" t="n">
        <v>0</v>
      </c>
      <c r="G43" s="200" t="n">
        <v>0</v>
      </c>
      <c r="H43" s="201" t="n">
        <v>0</v>
      </c>
      <c r="I43" s="200" t="n">
        <v>0</v>
      </c>
      <c r="J43" s="200" t="n">
        <v>0</v>
      </c>
      <c r="K43" s="201" t="n">
        <v>0</v>
      </c>
      <c r="L43" s="200" t="n">
        <v>0</v>
      </c>
      <c r="M43" s="200" t="n">
        <v>0</v>
      </c>
      <c r="N43" s="201" t="n">
        <v>0</v>
      </c>
      <c r="O43" s="203"/>
      <c r="P43" s="204" t="n">
        <v>71</v>
      </c>
      <c r="Q43" s="203" t="n">
        <v>23</v>
      </c>
      <c r="R43" s="202" t="n">
        <f aca="false">O43*P43</f>
        <v>0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6" t="n">
        <v>65365</v>
      </c>
      <c r="D44" s="206" t="n">
        <v>43038</v>
      </c>
      <c r="E44" s="201" t="n">
        <f aca="false">C44/D44*100-100</f>
        <v>51.8774106603467</v>
      </c>
      <c r="F44" s="206" t="n">
        <v>7733</v>
      </c>
      <c r="G44" s="206" t="n">
        <v>9840</v>
      </c>
      <c r="H44" s="201" t="n">
        <f aca="false">F44/G44*100-100</f>
        <v>-21.4126016260163</v>
      </c>
      <c r="I44" s="206" t="n">
        <v>65045</v>
      </c>
      <c r="J44" s="206" t="n">
        <v>39407</v>
      </c>
      <c r="K44" s="201" t="n">
        <f aca="false">I44/J44*100-100</f>
        <v>65.0595071941533</v>
      </c>
      <c r="L44" s="200" t="n">
        <v>0</v>
      </c>
      <c r="M44" s="200" t="n">
        <v>0</v>
      </c>
      <c r="N44" s="201" t="n">
        <v>0</v>
      </c>
      <c r="O44" s="203" t="n">
        <v>47</v>
      </c>
      <c r="P44" s="204" t="n">
        <v>82</v>
      </c>
      <c r="Q44" s="203" t="n">
        <v>59</v>
      </c>
      <c r="R44" s="202" t="n">
        <f aca="false">O44*P44</f>
        <v>3854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126616</v>
      </c>
      <c r="D45" s="200" t="n">
        <v>115043</v>
      </c>
      <c r="E45" s="201" t="n">
        <f aca="false">C45/D45*100-100</f>
        <v>10.0597168015438</v>
      </c>
      <c r="F45" s="208" t="n">
        <v>37621</v>
      </c>
      <c r="G45" s="200" t="n">
        <v>17869</v>
      </c>
      <c r="H45" s="201" t="n">
        <f aca="false">F45/G45*100-100</f>
        <v>110.537802898875</v>
      </c>
      <c r="I45" s="200" t="n">
        <v>100213</v>
      </c>
      <c r="J45" s="209" t="n">
        <v>97149</v>
      </c>
      <c r="K45" s="201" t="n">
        <f aca="false">I45/J45*100-100</f>
        <v>3.15391820811331</v>
      </c>
      <c r="L45" s="200" t="n">
        <v>0</v>
      </c>
      <c r="M45" s="200" t="n">
        <v>0</v>
      </c>
      <c r="N45" s="201" t="n">
        <v>0</v>
      </c>
      <c r="O45" s="203" t="n">
        <v>76</v>
      </c>
      <c r="P45" s="204" t="n">
        <v>144</v>
      </c>
      <c r="Q45" s="203" t="n">
        <v>75</v>
      </c>
      <c r="R45" s="202" t="n">
        <f aca="false">O45*P45</f>
        <v>10944</v>
      </c>
    </row>
    <row r="46" s="211" customFormat="true" ht="15" hidden="false" customHeight="false" outlineLevel="0" collapsed="false">
      <c r="A46" s="210" t="n">
        <v>10</v>
      </c>
      <c r="B46" s="199" t="s">
        <v>47</v>
      </c>
      <c r="C46" s="208" t="n">
        <v>417062</v>
      </c>
      <c r="D46" s="200" t="n">
        <v>633538</v>
      </c>
      <c r="E46" s="201" t="n">
        <f aca="false">C46/D46*100-100</f>
        <v>-34.1693789480663</v>
      </c>
      <c r="F46" s="208" t="n">
        <v>131643</v>
      </c>
      <c r="G46" s="200" t="n">
        <v>84984</v>
      </c>
      <c r="H46" s="201" t="n">
        <v>0</v>
      </c>
      <c r="I46" s="200" t="n">
        <v>408894</v>
      </c>
      <c r="J46" s="200" t="n">
        <v>417245</v>
      </c>
      <c r="K46" s="201" t="n">
        <f aca="false">I46/J46*100-100</f>
        <v>-2.00146197078455</v>
      </c>
      <c r="L46" s="200" t="n">
        <v>366921</v>
      </c>
      <c r="M46" s="200" t="n">
        <v>415199</v>
      </c>
      <c r="N46" s="201" t="n">
        <f aca="false">L46/M46*100-100</f>
        <v>-11.6276773306294</v>
      </c>
      <c r="O46" s="203" t="n">
        <v>192</v>
      </c>
      <c r="P46" s="204" t="n">
        <v>84</v>
      </c>
      <c r="Q46" s="203" t="n">
        <v>188</v>
      </c>
      <c r="R46" s="202" t="n">
        <f aca="false">O46*P46</f>
        <v>16128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1270</v>
      </c>
      <c r="D47" s="200" t="n">
        <v>16216</v>
      </c>
      <c r="E47" s="201" t="n">
        <v>0</v>
      </c>
      <c r="F47" s="200" t="n">
        <v>0</v>
      </c>
      <c r="G47" s="200" t="n">
        <v>15026</v>
      </c>
      <c r="H47" s="201" t="n">
        <v>0</v>
      </c>
      <c r="I47" s="200" t="n">
        <v>2036</v>
      </c>
      <c r="J47" s="200" t="n">
        <v>21891</v>
      </c>
      <c r="K47" s="201" t="n">
        <v>0</v>
      </c>
      <c r="L47" s="200" t="n">
        <v>2036</v>
      </c>
      <c r="M47" s="200" t="n">
        <v>21891</v>
      </c>
      <c r="N47" s="201" t="n">
        <v>0</v>
      </c>
      <c r="O47" s="203" t="n">
        <v>26</v>
      </c>
      <c r="P47" s="204" t="n">
        <v>65</v>
      </c>
      <c r="Q47" s="203" t="n">
        <v>8</v>
      </c>
      <c r="R47" s="202" t="n">
        <f aca="false">O47*P47</f>
        <v>1690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48863</v>
      </c>
      <c r="D48" s="200" t="n">
        <v>47012</v>
      </c>
      <c r="E48" s="201" t="n">
        <f aca="false">C48/D48*100-100</f>
        <v>3.9372926061431</v>
      </c>
      <c r="F48" s="212" t="n">
        <v>6162</v>
      </c>
      <c r="G48" s="212" t="n">
        <v>8256</v>
      </c>
      <c r="H48" s="201" t="n">
        <f aca="false">F48/G48*100-100</f>
        <v>-25.3633720930232</v>
      </c>
      <c r="I48" s="212" t="n">
        <v>51752</v>
      </c>
      <c r="J48" s="212" t="n">
        <v>46356</v>
      </c>
      <c r="K48" s="201" t="n">
        <f aca="false">I48/J48*100-100</f>
        <v>11.6403486064371</v>
      </c>
      <c r="L48" s="213" t="n">
        <v>43343</v>
      </c>
      <c r="M48" s="212" t="n">
        <v>45016</v>
      </c>
      <c r="N48" s="201" t="n">
        <f aca="false">L48/M48*100-100</f>
        <v>-3.71645637106806</v>
      </c>
      <c r="O48" s="203" t="n">
        <v>15</v>
      </c>
      <c r="P48" s="204" t="n">
        <v>138</v>
      </c>
      <c r="Q48" s="203" t="n">
        <v>27</v>
      </c>
      <c r="R48" s="202" t="n">
        <f aca="false">O48*P48</f>
        <v>2070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160486</v>
      </c>
      <c r="D49" s="207" t="n">
        <v>190552</v>
      </c>
      <c r="E49" s="201" t="n">
        <f aca="false">C49/D49*100-100</f>
        <v>-15.778370208657</v>
      </c>
      <c r="F49" s="207" t="n">
        <v>26703</v>
      </c>
      <c r="G49" s="207" t="n">
        <v>29052</v>
      </c>
      <c r="H49" s="201" t="n">
        <f aca="false">F49/G49*100-100</f>
        <v>-8.08550185873605</v>
      </c>
      <c r="I49" s="200" t="n">
        <v>155772</v>
      </c>
      <c r="J49" s="200" t="n">
        <v>189556</v>
      </c>
      <c r="K49" s="201" t="n">
        <f aca="false">I49/J49*100-100</f>
        <v>-17.8227014708055</v>
      </c>
      <c r="L49" s="207" t="n">
        <v>0</v>
      </c>
      <c r="M49" s="207" t="n">
        <v>3429</v>
      </c>
      <c r="N49" s="201" t="n">
        <v>0</v>
      </c>
      <c r="O49" s="203" t="n">
        <v>72</v>
      </c>
      <c r="P49" s="204" t="n">
        <v>115</v>
      </c>
      <c r="Q49" s="203" t="n">
        <v>75</v>
      </c>
      <c r="R49" s="202" t="n">
        <f aca="false">O49*P49</f>
        <v>8280</v>
      </c>
    </row>
    <row r="50" customFormat="false" ht="15" hidden="false" customHeight="false" outlineLevel="0" collapsed="false">
      <c r="A50" s="198" t="n">
        <v>14</v>
      </c>
      <c r="B50" s="199" t="s">
        <v>51</v>
      </c>
      <c r="C50" s="203" t="n">
        <v>10597</v>
      </c>
      <c r="D50" s="203" t="n">
        <v>9999</v>
      </c>
      <c r="E50" s="201" t="n">
        <f aca="false">C50/D50*100-100</f>
        <v>5.98059805980597</v>
      </c>
      <c r="F50" s="203" t="n">
        <v>1625</v>
      </c>
      <c r="G50" s="203" t="n">
        <v>1884</v>
      </c>
      <c r="H50" s="201" t="n">
        <f aca="false">F50/G50*100-100</f>
        <v>-13.7473460721868</v>
      </c>
      <c r="I50" s="203" t="n">
        <v>8151</v>
      </c>
      <c r="J50" s="203" t="n">
        <v>11898</v>
      </c>
      <c r="K50" s="201" t="n">
        <f aca="false">I50/J50*100-100</f>
        <v>-31.4926878466969</v>
      </c>
      <c r="L50" s="203" t="n">
        <v>1576</v>
      </c>
      <c r="M50" s="203" t="n">
        <v>0</v>
      </c>
      <c r="N50" s="201" t="n">
        <v>0</v>
      </c>
      <c r="O50" s="203" t="n">
        <v>14</v>
      </c>
      <c r="P50" s="204" t="n">
        <v>80</v>
      </c>
      <c r="Q50" s="203" t="n">
        <v>13</v>
      </c>
      <c r="R50" s="202" t="n">
        <f aca="false">O50*P50</f>
        <v>1120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82668</v>
      </c>
      <c r="D51" s="203" t="n">
        <v>117451</v>
      </c>
      <c r="E51" s="201" t="n">
        <f aca="false">C51/D51*100-100</f>
        <v>-29.6149032362432</v>
      </c>
      <c r="F51" s="203" t="n">
        <v>450</v>
      </c>
      <c r="G51" s="203" t="n">
        <v>69182</v>
      </c>
      <c r="H51" s="201" t="n">
        <f aca="false">F51/G51*100-100</f>
        <v>-99.3495417883264</v>
      </c>
      <c r="I51" s="203" t="n">
        <v>9156</v>
      </c>
      <c r="J51" s="203" t="n">
        <v>242142</v>
      </c>
      <c r="K51" s="201" t="n">
        <f aca="false">I51/J51*100-100</f>
        <v>-96.2187476769829</v>
      </c>
      <c r="L51" s="203" t="n">
        <v>84873</v>
      </c>
      <c r="M51" s="203" t="n">
        <v>239692</v>
      </c>
      <c r="N51" s="201" t="n">
        <f aca="false">L51/M51*100-100</f>
        <v>-64.5908082038616</v>
      </c>
      <c r="O51" s="203" t="n">
        <v>58</v>
      </c>
      <c r="P51" s="204" t="n">
        <v>130</v>
      </c>
      <c r="Q51" s="203" t="n">
        <v>52</v>
      </c>
      <c r="R51" s="202" t="n">
        <f aca="false">O51*P51</f>
        <v>7540</v>
      </c>
    </row>
    <row r="52" customFormat="false" ht="15" hidden="false" customHeight="false" outlineLevel="0" collapsed="false">
      <c r="A52" s="198" t="n">
        <v>16</v>
      </c>
      <c r="B52" s="199" t="s">
        <v>53</v>
      </c>
      <c r="C52" s="200" t="n">
        <v>1979</v>
      </c>
      <c r="D52" s="209" t="n">
        <v>1674</v>
      </c>
      <c r="E52" s="201" t="n">
        <f aca="false">C52/D52*100-100</f>
        <v>18.2198327359618</v>
      </c>
      <c r="F52" s="200" t="n">
        <v>567</v>
      </c>
      <c r="G52" s="200" t="n">
        <v>654</v>
      </c>
      <c r="H52" s="201" t="n">
        <f aca="false">F52/G52*100-100</f>
        <v>-13.302752293578</v>
      </c>
      <c r="I52" s="200" t="n">
        <v>1979</v>
      </c>
      <c r="J52" s="200" t="n">
        <v>1674</v>
      </c>
      <c r="K52" s="201" t="n">
        <f aca="false">I52/J52*100-100</f>
        <v>18.2198327359618</v>
      </c>
      <c r="L52" s="200" t="n">
        <v>0</v>
      </c>
      <c r="M52" s="200" t="n">
        <v>0</v>
      </c>
      <c r="N52" s="201" t="n">
        <v>0</v>
      </c>
      <c r="O52" s="203" t="n">
        <v>3</v>
      </c>
      <c r="P52" s="204" t="n">
        <v>45</v>
      </c>
      <c r="Q52" s="203" t="n">
        <v>3</v>
      </c>
      <c r="R52" s="202" t="n">
        <f aca="false">O52*P52</f>
        <v>135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15126</v>
      </c>
      <c r="D53" s="203" t="n">
        <v>46200</v>
      </c>
      <c r="E53" s="201" t="n">
        <f aca="false">C53/D53*100-100</f>
        <v>-67.2597402597403</v>
      </c>
      <c r="F53" s="203" t="n">
        <v>3016</v>
      </c>
      <c r="G53" s="203" t="n">
        <v>18000</v>
      </c>
      <c r="H53" s="201" t="n">
        <f aca="false">F53/G53*100-100</f>
        <v>-83.2444444444444</v>
      </c>
      <c r="I53" s="203" t="n">
        <v>15126</v>
      </c>
      <c r="J53" s="203" t="n">
        <v>45675</v>
      </c>
      <c r="K53" s="223" t="n">
        <f aca="false">I53/J53*100-100</f>
        <v>-66.8834154351396</v>
      </c>
      <c r="L53" s="203" t="n">
        <v>0</v>
      </c>
      <c r="M53" s="203" t="n">
        <v>0</v>
      </c>
      <c r="N53" s="201" t="n">
        <v>0</v>
      </c>
      <c r="O53" s="203" t="n">
        <v>4</v>
      </c>
      <c r="P53" s="204" t="n">
        <v>70</v>
      </c>
      <c r="Q53" s="203" t="n">
        <v>4</v>
      </c>
      <c r="R53" s="202" t="n">
        <f aca="false">O53*P53</f>
        <v>280</v>
      </c>
    </row>
    <row r="54" customFormat="false" ht="15" hidden="false" customHeight="false" outlineLevel="0" collapsed="false">
      <c r="A54" s="215" t="s">
        <v>55</v>
      </c>
      <c r="B54" s="215"/>
      <c r="C54" s="216" t="n">
        <f aca="false">SUM(C37:C53)</f>
        <v>1236858</v>
      </c>
      <c r="D54" s="216" t="n">
        <f aca="false">SUM(D37:D53)</f>
        <v>1584042</v>
      </c>
      <c r="E54" s="313" t="n">
        <f aca="false">C54/D54*100-100</f>
        <v>-21.9176006696792</v>
      </c>
      <c r="F54" s="216" t="n">
        <f aca="false">SUM(F37:F53)</f>
        <v>258410</v>
      </c>
      <c r="G54" s="216" t="n">
        <f aca="false">SUM(G37:G53)</f>
        <v>310770</v>
      </c>
      <c r="H54" s="313" t="n">
        <f aca="false">F54/G54*100-100</f>
        <v>-16.8484731473437</v>
      </c>
      <c r="I54" s="216" t="n">
        <f aca="false">SUM(I37:I53)</f>
        <v>1172445</v>
      </c>
      <c r="J54" s="216" t="n">
        <f aca="false">SUM(J37:J53)</f>
        <v>1505249</v>
      </c>
      <c r="K54" s="313" t="n">
        <f aca="false">I54/J54*100-100</f>
        <v>-22.1095645969537</v>
      </c>
      <c r="L54" s="216" t="n">
        <f aca="false">SUM(L37:L53)</f>
        <v>571963</v>
      </c>
      <c r="M54" s="216" t="n">
        <f aca="false">SUM(M37:M53)</f>
        <v>863719</v>
      </c>
      <c r="N54" s="313" t="n">
        <f aca="false">L54/M54*100-100</f>
        <v>-33.7790415632862</v>
      </c>
      <c r="O54" s="216" t="n">
        <f aca="false">SUM(O37:O53)</f>
        <v>849</v>
      </c>
      <c r="P54" s="217" t="n">
        <f aca="false">R54/O54</f>
        <v>107.732626619552</v>
      </c>
      <c r="Q54" s="216" t="n">
        <f aca="false">SUM(Q37:Q53)</f>
        <v>853</v>
      </c>
      <c r="R54" s="216" t="n">
        <f aca="false">SUM(R37:R53)</f>
        <v>91465</v>
      </c>
    </row>
    <row r="55" customFormat="false" ht="15" hidden="false" customHeight="false" outlineLevel="0" collapsed="false">
      <c r="A55" s="203"/>
      <c r="B55" s="218"/>
      <c r="C55" s="203"/>
      <c r="D55" s="203"/>
      <c r="E55" s="203"/>
      <c r="F55" s="203"/>
      <c r="G55" s="203"/>
      <c r="H55" s="203"/>
      <c r="I55" s="203"/>
      <c r="J55" s="203"/>
      <c r="K55" s="192"/>
      <c r="L55" s="203"/>
      <c r="M55" s="203"/>
      <c r="N55" s="203"/>
      <c r="O55" s="203"/>
      <c r="P55" s="219"/>
      <c r="Q55" s="203"/>
      <c r="R55" s="197"/>
    </row>
    <row r="56" customFormat="false" ht="15" hidden="false" customHeight="false" outlineLevel="0" collapsed="false">
      <c r="A56" s="195" t="s">
        <v>56</v>
      </c>
      <c r="B56" s="195"/>
      <c r="C56" s="195" t="n">
        <v>3</v>
      </c>
      <c r="D56" s="195" t="n">
        <v>4</v>
      </c>
      <c r="E56" s="196" t="n">
        <v>5</v>
      </c>
      <c r="F56" s="195" t="n">
        <v>6</v>
      </c>
      <c r="G56" s="195" t="n">
        <v>7</v>
      </c>
      <c r="H56" s="195" t="n">
        <v>8</v>
      </c>
      <c r="I56" s="195" t="n">
        <v>9</v>
      </c>
      <c r="J56" s="195" t="n">
        <v>10</v>
      </c>
      <c r="K56" s="195" t="n">
        <v>11</v>
      </c>
      <c r="L56" s="195" t="n">
        <v>12</v>
      </c>
      <c r="M56" s="195" t="n">
        <v>13</v>
      </c>
      <c r="N56" s="195" t="n">
        <v>14</v>
      </c>
      <c r="O56" s="195" t="n">
        <v>15</v>
      </c>
      <c r="P56" s="196" t="n">
        <v>16</v>
      </c>
      <c r="Q56" s="195" t="n">
        <v>15</v>
      </c>
      <c r="R56" s="197"/>
    </row>
    <row r="57" customFormat="false" ht="15" hidden="false" customHeight="false" outlineLevel="0" collapsed="false">
      <c r="A57" s="204" t="n">
        <v>1</v>
      </c>
      <c r="B57" s="220" t="s">
        <v>57</v>
      </c>
      <c r="C57" s="221" t="n">
        <v>241247</v>
      </c>
      <c r="D57" s="222" t="n">
        <v>286583</v>
      </c>
      <c r="E57" s="201" t="n">
        <f aca="false">C57/D57*100-100</f>
        <v>-15.8195008077939</v>
      </c>
      <c r="F57" s="222" t="n">
        <v>60146</v>
      </c>
      <c r="G57" s="223" t="n">
        <v>60859</v>
      </c>
      <c r="H57" s="223" t="n">
        <f aca="false">F57/G57*100-100</f>
        <v>-1.17156049228545</v>
      </c>
      <c r="I57" s="222" t="n">
        <v>253781</v>
      </c>
      <c r="J57" s="222" t="n">
        <v>278672</v>
      </c>
      <c r="K57" s="201" t="n">
        <f aca="false">I57/J57*100-100</f>
        <v>-8.93200608600793</v>
      </c>
      <c r="L57" s="222" t="n">
        <v>252501</v>
      </c>
      <c r="M57" s="222" t="n">
        <v>288466</v>
      </c>
      <c r="N57" s="201" t="n">
        <f aca="false">L57/M57*100-100</f>
        <v>-12.4676738333114</v>
      </c>
      <c r="O57" s="223" t="n">
        <v>158</v>
      </c>
      <c r="P57" s="222" t="n">
        <v>90</v>
      </c>
      <c r="Q57" s="223" t="n">
        <v>158</v>
      </c>
      <c r="R57" s="202" t="n">
        <f aca="false">O57*P57</f>
        <v>14220</v>
      </c>
    </row>
    <row r="58" customFormat="false" ht="15" hidden="false" customHeight="false" outlineLevel="0" collapsed="false">
      <c r="A58" s="224" t="n">
        <v>2</v>
      </c>
      <c r="B58" s="220" t="s">
        <v>58</v>
      </c>
      <c r="C58" s="200" t="n">
        <v>55546</v>
      </c>
      <c r="D58" s="200" t="n">
        <v>84128</v>
      </c>
      <c r="E58" s="201" t="n">
        <f aca="false">C58/D58*100-100</f>
        <v>-33.9744199315329</v>
      </c>
      <c r="F58" s="223" t="n">
        <v>1187</v>
      </c>
      <c r="G58" s="223" t="n">
        <v>50519</v>
      </c>
      <c r="H58" s="223" t="n">
        <f aca="false">F58/G58*100-100</f>
        <v>-97.6503889625685</v>
      </c>
      <c r="I58" s="223" t="n">
        <v>39659</v>
      </c>
      <c r="J58" s="223" t="n">
        <v>45346</v>
      </c>
      <c r="K58" s="201" t="n">
        <f aca="false">I58/J58*100-100</f>
        <v>-12.541348740793</v>
      </c>
      <c r="L58" s="223" t="n">
        <v>0</v>
      </c>
      <c r="M58" s="223" t="n">
        <v>0</v>
      </c>
      <c r="N58" s="201" t="n">
        <v>0</v>
      </c>
      <c r="O58" s="223" t="n">
        <v>101</v>
      </c>
      <c r="P58" s="223" t="n">
        <v>105</v>
      </c>
      <c r="Q58" s="223" t="n">
        <v>118</v>
      </c>
      <c r="R58" s="202" t="n">
        <f aca="false">O58*P58</f>
        <v>10605</v>
      </c>
    </row>
    <row r="59" customFormat="false" ht="15" hidden="false" customHeight="false" outlineLevel="0" collapsed="false">
      <c r="A59" s="224" t="n">
        <v>3</v>
      </c>
      <c r="B59" s="220" t="s">
        <v>59</v>
      </c>
      <c r="C59" s="223" t="n">
        <v>131345</v>
      </c>
      <c r="D59" s="223" t="n">
        <v>102783</v>
      </c>
      <c r="E59" s="201" t="n">
        <f aca="false">C59/D59*100-100</f>
        <v>27.7886420906181</v>
      </c>
      <c r="F59" s="223" t="n">
        <v>17740</v>
      </c>
      <c r="G59" s="223" t="n">
        <v>18151</v>
      </c>
      <c r="H59" s="201" t="n">
        <f aca="false">F59/G59*100-100</f>
        <v>-2.26433805299983</v>
      </c>
      <c r="I59" s="223" t="n">
        <v>131345</v>
      </c>
      <c r="J59" s="223" t="n">
        <v>102783</v>
      </c>
      <c r="K59" s="201" t="n">
        <f aca="false">I59/J59*100-100</f>
        <v>27.7886420906181</v>
      </c>
      <c r="L59" s="223" t="n">
        <v>0</v>
      </c>
      <c r="M59" s="223" t="n">
        <v>0</v>
      </c>
      <c r="N59" s="201" t="n">
        <v>0</v>
      </c>
      <c r="O59" s="223" t="n">
        <v>102</v>
      </c>
      <c r="P59" s="223" t="n">
        <v>50</v>
      </c>
      <c r="Q59" s="223" t="n">
        <v>101</v>
      </c>
      <c r="R59" s="202" t="n">
        <f aca="false">O59*P59</f>
        <v>5100</v>
      </c>
    </row>
    <row r="60" customFormat="false" ht="15" hidden="false" customHeight="false" outlineLevel="0" collapsed="false">
      <c r="A60" s="204" t="n">
        <v>4</v>
      </c>
      <c r="B60" s="220" t="s">
        <v>60</v>
      </c>
      <c r="C60" s="223" t="n">
        <v>165716</v>
      </c>
      <c r="D60" s="223" t="n">
        <v>163281</v>
      </c>
      <c r="E60" s="201" t="n">
        <f aca="false">C60/D60*100-100</f>
        <v>1.4912941493499</v>
      </c>
      <c r="F60" s="223" t="n">
        <v>47427</v>
      </c>
      <c r="G60" s="223" t="n">
        <v>15708</v>
      </c>
      <c r="H60" s="201" t="n">
        <f aca="false">F60/G60*100-100</f>
        <v>201.928953399542</v>
      </c>
      <c r="I60" s="206" t="n">
        <v>165156</v>
      </c>
      <c r="J60" s="206" t="n">
        <v>174509</v>
      </c>
      <c r="K60" s="201" t="n">
        <f aca="false">I60/J60*100-100</f>
        <v>-5.35960895999634</v>
      </c>
      <c r="L60" s="223" t="n">
        <f aca="false">51885+2620</f>
        <v>54505</v>
      </c>
      <c r="M60" s="223" t="n">
        <f aca="false">96603+2761</f>
        <v>99364</v>
      </c>
      <c r="N60" s="201" t="n">
        <v>0</v>
      </c>
      <c r="O60" s="223" t="n">
        <v>71</v>
      </c>
      <c r="P60" s="223" t="n">
        <v>124</v>
      </c>
      <c r="Q60" s="223" t="n">
        <v>71</v>
      </c>
      <c r="R60" s="202" t="n">
        <f aca="false">O60*P60</f>
        <v>8804</v>
      </c>
    </row>
    <row r="61" customFormat="false" ht="15" hidden="false" customHeight="false" outlineLevel="0" collapsed="false">
      <c r="A61" s="224" t="n">
        <v>5</v>
      </c>
      <c r="B61" s="220" t="s">
        <v>61</v>
      </c>
      <c r="C61" s="200" t="n">
        <v>0</v>
      </c>
      <c r="D61" s="200" t="n">
        <v>0</v>
      </c>
      <c r="E61" s="201" t="n">
        <v>0</v>
      </c>
      <c r="F61" s="200" t="n">
        <v>0</v>
      </c>
      <c r="G61" s="200" t="n">
        <v>0</v>
      </c>
      <c r="H61" s="201" t="n">
        <v>0</v>
      </c>
      <c r="I61" s="200" t="n">
        <v>0</v>
      </c>
      <c r="J61" s="200" t="n">
        <v>0</v>
      </c>
      <c r="K61" s="201" t="n">
        <v>0</v>
      </c>
      <c r="L61" s="200" t="n">
        <v>0</v>
      </c>
      <c r="M61" s="200" t="n">
        <v>0</v>
      </c>
      <c r="N61" s="201" t="n">
        <v>0</v>
      </c>
      <c r="O61" s="203"/>
      <c r="P61" s="204" t="n">
        <v>0</v>
      </c>
      <c r="Q61" s="203" t="n">
        <v>0</v>
      </c>
      <c r="R61" s="202" t="n">
        <f aca="false">O61*P61</f>
        <v>0</v>
      </c>
    </row>
    <row r="62" customFormat="false" ht="15" hidden="false" customHeight="false" outlineLevel="0" collapsed="false">
      <c r="A62" s="224" t="n">
        <v>6</v>
      </c>
      <c r="B62" s="220" t="s">
        <v>62</v>
      </c>
      <c r="C62" s="223" t="n">
        <v>29137</v>
      </c>
      <c r="D62" s="223" t="n">
        <v>28027</v>
      </c>
      <c r="E62" s="201" t="n">
        <f aca="false">C62/D62*100-100</f>
        <v>3.96046669283191</v>
      </c>
      <c r="F62" s="223" t="n">
        <v>4895</v>
      </c>
      <c r="G62" s="223" t="n">
        <v>6535</v>
      </c>
      <c r="H62" s="201" t="n">
        <f aca="false">F62/G62*100-100</f>
        <v>-25.0956388676358</v>
      </c>
      <c r="I62" s="223" t="n">
        <v>27811</v>
      </c>
      <c r="J62" s="223" t="n">
        <v>28050</v>
      </c>
      <c r="K62" s="201" t="n">
        <f aca="false">I62/J62*100-100</f>
        <v>-0.852049910873447</v>
      </c>
      <c r="L62" s="223" t="n">
        <v>27811</v>
      </c>
      <c r="M62" s="223" t="n">
        <v>27915</v>
      </c>
      <c r="N62" s="201" t="n">
        <f aca="false">L62/M62*100-100</f>
        <v>-0.372559555794368</v>
      </c>
      <c r="O62" s="223" t="n">
        <v>43</v>
      </c>
      <c r="P62" s="223" t="n">
        <v>56</v>
      </c>
      <c r="Q62" s="223" t="n">
        <v>44</v>
      </c>
      <c r="R62" s="202" t="n">
        <f aca="false">O62*P62</f>
        <v>2408</v>
      </c>
    </row>
    <row r="63" s="211" customFormat="true" ht="15" hidden="false" customHeight="false" outlineLevel="0" collapsed="false">
      <c r="A63" s="204" t="n">
        <v>7</v>
      </c>
      <c r="B63" s="220" t="s">
        <v>63</v>
      </c>
      <c r="C63" s="200" t="n">
        <v>18018</v>
      </c>
      <c r="D63" s="200" t="n">
        <v>18656</v>
      </c>
      <c r="E63" s="201" t="n">
        <f aca="false">C63/D63*100-100</f>
        <v>-3.41981132075472</v>
      </c>
      <c r="F63" s="200" t="n">
        <v>5879</v>
      </c>
      <c r="G63" s="200" t="n">
        <v>0</v>
      </c>
      <c r="H63" s="201" t="n">
        <v>0</v>
      </c>
      <c r="I63" s="200" t="n">
        <v>33009</v>
      </c>
      <c r="J63" s="200" t="n">
        <v>27996</v>
      </c>
      <c r="K63" s="201" t="n">
        <f aca="false">I63/J63*100-100</f>
        <v>17.9061294470639</v>
      </c>
      <c r="L63" s="225" t="n">
        <v>32983</v>
      </c>
      <c r="M63" s="200" t="n">
        <v>27937</v>
      </c>
      <c r="N63" s="201" t="n">
        <f aca="false">L63/M63*100-100</f>
        <v>18.0620682249347</v>
      </c>
      <c r="O63" s="223" t="n">
        <v>35</v>
      </c>
      <c r="P63" s="223" t="n">
        <v>50</v>
      </c>
      <c r="Q63" s="223" t="n">
        <v>33</v>
      </c>
      <c r="R63" s="202" t="n">
        <f aca="false">O63*P63</f>
        <v>1750</v>
      </c>
    </row>
    <row r="64" customFormat="false" ht="15" hidden="false" customHeight="false" outlineLevel="0" collapsed="false">
      <c r="A64" s="224" t="n">
        <v>8</v>
      </c>
      <c r="B64" s="220" t="s">
        <v>64</v>
      </c>
      <c r="C64" s="226" t="n">
        <v>106200</v>
      </c>
      <c r="D64" s="200" t="n">
        <v>98900</v>
      </c>
      <c r="E64" s="201" t="n">
        <f aca="false">C64/D64*100-100</f>
        <v>7.38119312436805</v>
      </c>
      <c r="F64" s="200" t="n">
        <v>11400</v>
      </c>
      <c r="G64" s="227" t="n">
        <v>54200</v>
      </c>
      <c r="H64" s="201" t="n">
        <v>0</v>
      </c>
      <c r="I64" s="200" t="n">
        <v>143479</v>
      </c>
      <c r="J64" s="227" t="n">
        <v>215727</v>
      </c>
      <c r="K64" s="201" t="n">
        <f aca="false">I64/J64*100-100</f>
        <v>-33.49047638914</v>
      </c>
      <c r="L64" s="200" t="n">
        <v>143479</v>
      </c>
      <c r="M64" s="227" t="n">
        <v>215727</v>
      </c>
      <c r="N64" s="201" t="n">
        <f aca="false">L64/M64*100-100</f>
        <v>-33.49047638914</v>
      </c>
      <c r="O64" s="223" t="n">
        <v>35</v>
      </c>
      <c r="P64" s="222" t="n">
        <v>85</v>
      </c>
      <c r="Q64" s="223" t="n">
        <v>35</v>
      </c>
      <c r="R64" s="202" t="n">
        <f aca="false">O64*P64</f>
        <v>2975</v>
      </c>
    </row>
    <row r="65" customFormat="false" ht="15" hidden="false" customHeight="false" outlineLevel="0" collapsed="false">
      <c r="A65" s="224" t="n">
        <v>9</v>
      </c>
      <c r="B65" s="220" t="s">
        <v>65</v>
      </c>
      <c r="C65" s="200" t="n">
        <v>0</v>
      </c>
      <c r="D65" s="200" t="n">
        <v>0</v>
      </c>
      <c r="E65" s="201" t="n">
        <v>0</v>
      </c>
      <c r="F65" s="200" t="n">
        <v>0</v>
      </c>
      <c r="G65" s="200" t="n">
        <v>0</v>
      </c>
      <c r="H65" s="201" t="n">
        <v>0</v>
      </c>
      <c r="I65" s="200" t="n">
        <v>0</v>
      </c>
      <c r="J65" s="200" t="n">
        <v>0</v>
      </c>
      <c r="K65" s="201" t="n">
        <v>0</v>
      </c>
      <c r="L65" s="200" t="n">
        <v>0</v>
      </c>
      <c r="M65" s="200" t="n">
        <v>0</v>
      </c>
      <c r="N65" s="201" t="n">
        <v>0</v>
      </c>
      <c r="O65" s="203" t="n">
        <v>0</v>
      </c>
      <c r="P65" s="204" t="n">
        <v>0</v>
      </c>
      <c r="Q65" s="203" t="n">
        <v>0</v>
      </c>
      <c r="R65" s="202" t="n">
        <f aca="false">O65*P65</f>
        <v>0</v>
      </c>
    </row>
    <row r="66" customFormat="false" ht="15" hidden="false" customHeight="false" outlineLevel="0" collapsed="false">
      <c r="A66" s="228" t="s">
        <v>66</v>
      </c>
      <c r="B66" s="228"/>
      <c r="C66" s="229" t="n">
        <f aca="false">SUM(C57:C65)</f>
        <v>747209</v>
      </c>
      <c r="D66" s="229" t="n">
        <f aca="false">SUM(D57:D65)</f>
        <v>782358</v>
      </c>
      <c r="E66" s="313" t="n">
        <f aca="false">C66/D66*100-100</f>
        <v>-4.49270027276515</v>
      </c>
      <c r="F66" s="229" t="n">
        <f aca="false">SUM(F57:F65)</f>
        <v>148674</v>
      </c>
      <c r="G66" s="229" t="n">
        <f aca="false">SUM(G57:G65)</f>
        <v>205972</v>
      </c>
      <c r="H66" s="313" t="n">
        <f aca="false">F66/G66*100-100</f>
        <v>-27.8183442409648</v>
      </c>
      <c r="I66" s="231" t="n">
        <f aca="false">SUM(I57:I65)</f>
        <v>794240</v>
      </c>
      <c r="J66" s="229" t="n">
        <f aca="false">SUM(J57:J65)</f>
        <v>873083</v>
      </c>
      <c r="K66" s="313" t="n">
        <f aca="false">I66/J66*100-100</f>
        <v>-9.03041291606868</v>
      </c>
      <c r="L66" s="229" t="n">
        <f aca="false">SUM(L57:L65)</f>
        <v>511279</v>
      </c>
      <c r="M66" s="229" t="n">
        <f aca="false">SUM(M57:M65)</f>
        <v>659409</v>
      </c>
      <c r="N66" s="313" t="n">
        <f aca="false">L66/M66*100-100</f>
        <v>-22.4640549340394</v>
      </c>
      <c r="O66" s="231" t="n">
        <f aca="false">SUM(O57:O65)</f>
        <v>545</v>
      </c>
      <c r="P66" s="230" t="n">
        <f aca="false">R66/O66</f>
        <v>84.1504587155963</v>
      </c>
      <c r="Q66" s="231" t="n">
        <f aca="false">SUM(Q57:Q65)</f>
        <v>560</v>
      </c>
      <c r="R66" s="232" t="n">
        <f aca="false">SUM(R57:R65)</f>
        <v>45862</v>
      </c>
    </row>
    <row r="67" customFormat="false" ht="26.25" hidden="false" customHeight="true" outlineLevel="0" collapsed="false">
      <c r="A67" s="197"/>
      <c r="B67" s="233"/>
      <c r="C67" s="197"/>
      <c r="D67" s="197"/>
      <c r="E67" s="197"/>
      <c r="F67" s="197"/>
      <c r="G67" s="197"/>
      <c r="H67" s="197"/>
      <c r="I67" s="197"/>
      <c r="J67" s="197"/>
      <c r="K67" s="234"/>
      <c r="L67" s="197"/>
      <c r="M67" s="197"/>
      <c r="N67" s="197"/>
      <c r="O67" s="197"/>
      <c r="P67" s="235"/>
      <c r="Q67" s="197"/>
      <c r="R67" s="197"/>
    </row>
    <row r="68" customFormat="false" ht="15" hidden="false" customHeight="false" outlineLevel="0" collapsed="false">
      <c r="A68" s="195" t="s">
        <v>67</v>
      </c>
      <c r="B68" s="195"/>
      <c r="C68" s="195" t="n">
        <v>3</v>
      </c>
      <c r="D68" s="195" t="n">
        <v>4</v>
      </c>
      <c r="E68" s="196" t="n">
        <v>5</v>
      </c>
      <c r="F68" s="195" t="n">
        <v>6</v>
      </c>
      <c r="G68" s="195" t="n">
        <v>7</v>
      </c>
      <c r="H68" s="195" t="n">
        <v>8</v>
      </c>
      <c r="I68" s="195" t="n">
        <v>9</v>
      </c>
      <c r="J68" s="195" t="n">
        <v>10</v>
      </c>
      <c r="K68" s="195" t="n">
        <v>11</v>
      </c>
      <c r="L68" s="195" t="n">
        <v>12</v>
      </c>
      <c r="M68" s="195" t="n">
        <v>13</v>
      </c>
      <c r="N68" s="195" t="n">
        <v>14</v>
      </c>
      <c r="O68" s="195" t="n">
        <v>15</v>
      </c>
      <c r="P68" s="196" t="n">
        <v>16</v>
      </c>
      <c r="Q68" s="195" t="n">
        <v>15</v>
      </c>
      <c r="R68" s="197"/>
    </row>
    <row r="69" customFormat="false" ht="15" hidden="false" customHeight="false" outlineLevel="0" collapsed="false">
      <c r="A69" s="198" t="n">
        <v>1</v>
      </c>
      <c r="B69" s="199" t="s">
        <v>68</v>
      </c>
      <c r="C69" s="203" t="n">
        <v>7485</v>
      </c>
      <c r="D69" s="203" t="n">
        <v>49420</v>
      </c>
      <c r="E69" s="201" t="n">
        <f aca="false">C69/D69*100-100</f>
        <v>-84.8543099959531</v>
      </c>
      <c r="F69" s="203" t="n">
        <v>0</v>
      </c>
      <c r="G69" s="203" t="n">
        <v>433</v>
      </c>
      <c r="H69" s="223" t="n">
        <f aca="false">F69/G69*100-100</f>
        <v>-100</v>
      </c>
      <c r="I69" s="203" t="n">
        <v>15580</v>
      </c>
      <c r="J69" s="203" t="n">
        <v>111798</v>
      </c>
      <c r="K69" s="214" t="n">
        <f aca="false">I69/J69*100</f>
        <v>13.9358485840534</v>
      </c>
      <c r="L69" s="203" t="n">
        <v>14671</v>
      </c>
      <c r="M69" s="203" t="n">
        <v>53172</v>
      </c>
      <c r="N69" s="201" t="n">
        <f aca="false">L69/M69*100-100</f>
        <v>-72.4084104415858</v>
      </c>
      <c r="O69" s="203" t="n">
        <v>149</v>
      </c>
      <c r="P69" s="219" t="n">
        <v>55</v>
      </c>
      <c r="Q69" s="203" t="n">
        <v>150</v>
      </c>
      <c r="R69" s="202" t="n">
        <f aca="false">O69*P69</f>
        <v>8195</v>
      </c>
    </row>
    <row r="70" customFormat="false" ht="15" hidden="false" customHeight="false" outlineLevel="0" collapsed="false">
      <c r="A70" s="198" t="n">
        <v>2</v>
      </c>
      <c r="B70" s="199" t="s">
        <v>69</v>
      </c>
      <c r="C70" s="208" t="n">
        <v>311715</v>
      </c>
      <c r="D70" s="208" t="n">
        <v>271150</v>
      </c>
      <c r="E70" s="201" t="n">
        <f aca="false">C70/D70*100-100</f>
        <v>14.9603540475751</v>
      </c>
      <c r="F70" s="208" t="n">
        <v>77777</v>
      </c>
      <c r="G70" s="208" t="n">
        <v>66806</v>
      </c>
      <c r="H70" s="201" t="n">
        <f aca="false">F70/G70*100-100</f>
        <v>16.4221776487142</v>
      </c>
      <c r="I70" s="208" t="n">
        <v>311844</v>
      </c>
      <c r="J70" s="208" t="n">
        <v>239655</v>
      </c>
      <c r="K70" s="201" t="n">
        <f aca="false">I70/J70*100-100</f>
        <v>30.1220504475183</v>
      </c>
      <c r="L70" s="208" t="n">
        <v>311844</v>
      </c>
      <c r="M70" s="208" t="n">
        <v>239655</v>
      </c>
      <c r="N70" s="201" t="n">
        <f aca="false">L70/M70*100-100</f>
        <v>30.1220504475183</v>
      </c>
      <c r="O70" s="203" t="n">
        <v>23</v>
      </c>
      <c r="P70" s="204" t="n">
        <v>82</v>
      </c>
      <c r="Q70" s="203" t="n">
        <v>23</v>
      </c>
      <c r="R70" s="202" t="n">
        <f aca="false">O70*P70</f>
        <v>1886</v>
      </c>
    </row>
    <row r="71" customFormat="false" ht="15" hidden="false" customHeight="false" outlineLevel="0" collapsed="false">
      <c r="A71" s="198" t="n">
        <v>3</v>
      </c>
      <c r="B71" s="199" t="s">
        <v>70</v>
      </c>
      <c r="C71" s="203" t="n">
        <v>16036</v>
      </c>
      <c r="D71" s="203" t="n">
        <v>26018</v>
      </c>
      <c r="E71" s="201" t="n">
        <f aca="false">C71/D71*100-100</f>
        <v>-38.3657467906834</v>
      </c>
      <c r="F71" s="203" t="n">
        <v>1943</v>
      </c>
      <c r="G71" s="203" t="n">
        <v>2233</v>
      </c>
      <c r="H71" s="201" t="n">
        <f aca="false">F71/G71*100-100</f>
        <v>-12.987012987013</v>
      </c>
      <c r="I71" s="203" t="n">
        <v>14511</v>
      </c>
      <c r="J71" s="203" t="n">
        <v>24634</v>
      </c>
      <c r="K71" s="201" t="n">
        <f aca="false">I71/J71*100-100</f>
        <v>-41.0936104570918</v>
      </c>
      <c r="L71" s="203" t="n">
        <v>7659</v>
      </c>
      <c r="M71" s="203" t="n">
        <v>4160</v>
      </c>
      <c r="N71" s="201" t="n">
        <f aca="false">L71/M71*100-100</f>
        <v>84.1105769230769</v>
      </c>
      <c r="O71" s="203" t="n">
        <v>44</v>
      </c>
      <c r="P71" s="219" t="n">
        <v>52</v>
      </c>
      <c r="Q71" s="203" t="n">
        <v>46</v>
      </c>
      <c r="R71" s="202" t="n">
        <f aca="false">O71*P71</f>
        <v>2288</v>
      </c>
    </row>
    <row r="72" customFormat="false" ht="15" hidden="false" customHeight="false" outlineLevel="0" collapsed="false">
      <c r="A72" s="198" t="n">
        <v>4</v>
      </c>
      <c r="B72" s="199" t="s">
        <v>71</v>
      </c>
      <c r="C72" s="203" t="n">
        <v>33977</v>
      </c>
      <c r="D72" s="203" t="n">
        <v>12799</v>
      </c>
      <c r="E72" s="201" t="n">
        <f aca="false">C72/D72*100-100</f>
        <v>165.466052035315</v>
      </c>
      <c r="F72" s="203" t="n">
        <v>1423</v>
      </c>
      <c r="G72" s="203" t="n">
        <v>2747</v>
      </c>
      <c r="H72" s="201" t="n">
        <f aca="false">F72/G72*100-100</f>
        <v>-48.1980342191482</v>
      </c>
      <c r="I72" s="203" t="n">
        <v>41928</v>
      </c>
      <c r="J72" s="203" t="n">
        <v>13910</v>
      </c>
      <c r="K72" s="201" t="n">
        <f aca="false">I72/J72*100-100</f>
        <v>201.423436376707</v>
      </c>
      <c r="L72" s="203" t="n">
        <v>34491</v>
      </c>
      <c r="M72" s="203" t="n">
        <v>3325</v>
      </c>
      <c r="N72" s="201" t="n">
        <v>0</v>
      </c>
      <c r="O72" s="203" t="n">
        <v>74</v>
      </c>
      <c r="P72" s="236" t="n">
        <v>50</v>
      </c>
      <c r="Q72" s="203" t="n">
        <v>70</v>
      </c>
      <c r="R72" s="202" t="n">
        <f aca="false">O72*P72</f>
        <v>3700</v>
      </c>
    </row>
    <row r="73" customFormat="false" ht="15" hidden="false" customHeight="false" outlineLevel="0" collapsed="false">
      <c r="A73" s="198" t="n">
        <v>5</v>
      </c>
      <c r="B73" s="199" t="s">
        <v>72</v>
      </c>
      <c r="C73" s="203" t="n">
        <v>5168</v>
      </c>
      <c r="D73" s="203" t="n">
        <v>11182</v>
      </c>
      <c r="E73" s="201" t="n">
        <f aca="false">C73/D73*100-100</f>
        <v>-53.7828653192631</v>
      </c>
      <c r="F73" s="203" t="n">
        <v>3318</v>
      </c>
      <c r="G73" s="203" t="n">
        <v>3283</v>
      </c>
      <c r="H73" s="201" t="n">
        <f aca="false">F73/G73*100-100</f>
        <v>1.06609808102345</v>
      </c>
      <c r="I73" s="203" t="n">
        <v>5168</v>
      </c>
      <c r="J73" s="203" t="n">
        <v>11894</v>
      </c>
      <c r="K73" s="201" t="n">
        <f aca="false">I73/J73*100-100</f>
        <v>-56.5495207667732</v>
      </c>
      <c r="L73" s="203" t="n">
        <v>0</v>
      </c>
      <c r="M73" s="203" t="n">
        <v>2033</v>
      </c>
      <c r="N73" s="201" t="n">
        <v>0</v>
      </c>
      <c r="O73" s="203" t="n">
        <v>82</v>
      </c>
      <c r="P73" s="219" t="n">
        <v>110</v>
      </c>
      <c r="Q73" s="203" t="n">
        <v>83</v>
      </c>
      <c r="R73" s="202" t="n">
        <f aca="false">O73*P73</f>
        <v>9020</v>
      </c>
    </row>
    <row r="74" s="211" customFormat="true" ht="15" hidden="false" customHeight="false" outlineLevel="0" collapsed="false">
      <c r="A74" s="210" t="n">
        <v>6</v>
      </c>
      <c r="B74" s="199" t="s">
        <v>73</v>
      </c>
      <c r="C74" s="203" t="n">
        <v>35835</v>
      </c>
      <c r="D74" s="203" t="n">
        <v>1708</v>
      </c>
      <c r="E74" s="223" t="n">
        <f aca="false">C74/D74*100-100</f>
        <v>1998.06791569087</v>
      </c>
      <c r="F74" s="203" t="n">
        <v>0</v>
      </c>
      <c r="G74" s="203" t="n">
        <v>467</v>
      </c>
      <c r="H74" s="201" t="n">
        <v>0</v>
      </c>
      <c r="I74" s="203" t="n">
        <v>54980</v>
      </c>
      <c r="J74" s="203" t="n">
        <v>1816</v>
      </c>
      <c r="K74" s="223" t="n">
        <f aca="false">I74/J74*100-100</f>
        <v>2927.53303964758</v>
      </c>
      <c r="L74" s="203" t="n">
        <v>33899</v>
      </c>
      <c r="M74" s="203" t="n">
        <v>22</v>
      </c>
      <c r="N74" s="201" t="n">
        <v>0</v>
      </c>
      <c r="O74" s="203" t="n">
        <v>8</v>
      </c>
      <c r="P74" s="219" t="n">
        <v>57</v>
      </c>
      <c r="Q74" s="203" t="n">
        <v>8</v>
      </c>
      <c r="R74" s="202" t="n">
        <f aca="false">O74*P74</f>
        <v>456</v>
      </c>
    </row>
    <row r="75" customFormat="false" ht="15" hidden="false" customHeight="false" outlineLevel="0" collapsed="false">
      <c r="A75" s="198" t="n">
        <v>7</v>
      </c>
      <c r="B75" s="199" t="s">
        <v>74</v>
      </c>
      <c r="C75" s="203" t="n">
        <v>306531</v>
      </c>
      <c r="D75" s="203" t="n">
        <v>357978</v>
      </c>
      <c r="E75" s="201" t="n">
        <f aca="false">C75/D75*100-100</f>
        <v>-14.3715535591573</v>
      </c>
      <c r="F75" s="203" t="n">
        <v>74704</v>
      </c>
      <c r="G75" s="203" t="n">
        <v>77100</v>
      </c>
      <c r="H75" s="201" t="n">
        <f aca="false">F75/G75*100-100</f>
        <v>-3.1076523994812</v>
      </c>
      <c r="I75" s="203" t="n">
        <v>308306</v>
      </c>
      <c r="J75" s="203" t="n">
        <v>338328</v>
      </c>
      <c r="K75" s="201" t="n">
        <f aca="false">I75/J75*100-100</f>
        <v>-8.8736374169445</v>
      </c>
      <c r="L75" s="203" t="n">
        <v>50264</v>
      </c>
      <c r="M75" s="203" t="n">
        <v>42260</v>
      </c>
      <c r="N75" s="201" t="n">
        <f aca="false">L75/M75*100-100</f>
        <v>18.9398958826313</v>
      </c>
      <c r="O75" s="203" t="n">
        <v>139</v>
      </c>
      <c r="P75" s="204" t="n">
        <v>200</v>
      </c>
      <c r="Q75" s="203" t="n">
        <v>135</v>
      </c>
      <c r="R75" s="202" t="n">
        <f aca="false">O75*P75</f>
        <v>27800</v>
      </c>
    </row>
    <row r="76" customFormat="false" ht="15" hidden="false" customHeight="false" outlineLevel="0" collapsed="false">
      <c r="A76" s="198" t="n">
        <v>8</v>
      </c>
      <c r="B76" s="199" t="s">
        <v>75</v>
      </c>
      <c r="C76" s="203" t="n">
        <v>48076</v>
      </c>
      <c r="D76" s="203" t="n">
        <v>2716</v>
      </c>
      <c r="E76" s="223" t="n">
        <f aca="false">C76/D76*100-100</f>
        <v>1670.10309278351</v>
      </c>
      <c r="F76" s="203" t="n">
        <v>12754</v>
      </c>
      <c r="G76" s="203" t="n">
        <v>0</v>
      </c>
      <c r="H76" s="201" t="n">
        <v>0</v>
      </c>
      <c r="I76" s="203" t="n">
        <v>48076</v>
      </c>
      <c r="J76" s="203" t="n">
        <v>2988</v>
      </c>
      <c r="K76" s="223" t="n">
        <f aca="false">I76/J76*100-100</f>
        <v>1508.96921017403</v>
      </c>
      <c r="L76" s="203" t="n">
        <v>1045</v>
      </c>
      <c r="M76" s="203" t="n">
        <v>0</v>
      </c>
      <c r="N76" s="201" t="n">
        <v>0</v>
      </c>
      <c r="O76" s="203" t="n">
        <v>33</v>
      </c>
      <c r="P76" s="219" t="n">
        <v>40</v>
      </c>
      <c r="Q76" s="203" t="n">
        <v>33</v>
      </c>
      <c r="R76" s="202" t="n">
        <f aca="false">O76*P76</f>
        <v>1320</v>
      </c>
    </row>
    <row r="77" customFormat="false" ht="15" hidden="false" customHeight="false" outlineLevel="0" collapsed="false">
      <c r="A77" s="215" t="s">
        <v>76</v>
      </c>
      <c r="B77" s="215" t="s">
        <v>77</v>
      </c>
      <c r="C77" s="216" t="n">
        <f aca="false">SUM(C69:C76)</f>
        <v>764823</v>
      </c>
      <c r="D77" s="216" t="n">
        <f aca="false">SUM(D69:D76)</f>
        <v>732971</v>
      </c>
      <c r="E77" s="313" t="n">
        <f aca="false">C77/D77*100-100</f>
        <v>4.34560166773311</v>
      </c>
      <c r="F77" s="216" t="n">
        <f aca="false">SUM(F69:F76)</f>
        <v>171919</v>
      </c>
      <c r="G77" s="216" t="n">
        <f aca="false">SUM(G69:G76)</f>
        <v>153069</v>
      </c>
      <c r="H77" s="313" t="n">
        <f aca="false">F77/G77*100-100</f>
        <v>12.3147077461798</v>
      </c>
      <c r="I77" s="216" t="n">
        <f aca="false">SUM(I69:I76)</f>
        <v>800393</v>
      </c>
      <c r="J77" s="216" t="n">
        <f aca="false">SUM(J69:J76)</f>
        <v>745023</v>
      </c>
      <c r="K77" s="313" t="n">
        <f aca="false">I77/J77*100-100</f>
        <v>7.43198532125852</v>
      </c>
      <c r="L77" s="216" t="n">
        <f aca="false">SUM(L69:L76)</f>
        <v>453873</v>
      </c>
      <c r="M77" s="216" t="n">
        <f aca="false">SUM(M69:M76)</f>
        <v>344627</v>
      </c>
      <c r="N77" s="313" t="n">
        <f aca="false">L77/M77*100-100</f>
        <v>31.6997797618875</v>
      </c>
      <c r="O77" s="216" t="n">
        <f aca="false">SUM(O69:O76)</f>
        <v>552</v>
      </c>
      <c r="P77" s="217" t="n">
        <f aca="false">R77/O77</f>
        <v>99.0307971014493</v>
      </c>
      <c r="Q77" s="216" t="n">
        <f aca="false">SUM(Q69:Q76)</f>
        <v>548</v>
      </c>
      <c r="R77" s="232" t="n">
        <f aca="false">SUM(R69:R76)</f>
        <v>54665</v>
      </c>
    </row>
    <row r="78" customFormat="false" ht="15" hidden="false" customHeight="false" outlineLevel="0" collapsed="false">
      <c r="A78" s="314" t="s">
        <v>78</v>
      </c>
      <c r="B78" s="314" t="s">
        <v>78</v>
      </c>
      <c r="C78" s="315" t="n">
        <f aca="false">C54+C66+C77</f>
        <v>2748890</v>
      </c>
      <c r="D78" s="315" t="n">
        <f aca="false">D54+D66+D77</f>
        <v>3099371</v>
      </c>
      <c r="E78" s="316" t="n">
        <f aca="false">C78/D78*100-100</f>
        <v>-11.3081331663747</v>
      </c>
      <c r="F78" s="315" t="n">
        <f aca="false">F54+F66+F77</f>
        <v>579003</v>
      </c>
      <c r="G78" s="315" t="n">
        <f aca="false">G54+G66+G77</f>
        <v>669811</v>
      </c>
      <c r="H78" s="316" t="n">
        <f aca="false">F78/G78*100-100</f>
        <v>-13.557257196433</v>
      </c>
      <c r="I78" s="315" t="n">
        <f aca="false">I54+I66+I77</f>
        <v>2767078</v>
      </c>
      <c r="J78" s="315" t="n">
        <f aca="false">J54+J66+J77</f>
        <v>3123355</v>
      </c>
      <c r="K78" s="316" t="n">
        <f aca="false">I78/J78*100-100</f>
        <v>-11.4068685756182</v>
      </c>
      <c r="L78" s="315" t="n">
        <f aca="false">L54+L66+L77</f>
        <v>1537115</v>
      </c>
      <c r="M78" s="315" t="n">
        <f aca="false">M54+M66+M77</f>
        <v>1867755</v>
      </c>
      <c r="N78" s="316" t="n">
        <f aca="false">L78/M78*100-100</f>
        <v>-17.7025359321753</v>
      </c>
      <c r="O78" s="315" t="n">
        <f aca="false">O54+O66+O77</f>
        <v>1946</v>
      </c>
      <c r="P78" s="317" t="n">
        <f aca="false">R78/O78</f>
        <v>98.6598150051387</v>
      </c>
      <c r="Q78" s="315" t="n">
        <f aca="false">Q54+Q66+Q77</f>
        <v>1961</v>
      </c>
      <c r="R78" s="318" t="n">
        <f aca="false">R54+R66+R77</f>
        <v>191992</v>
      </c>
    </row>
    <row r="79" customFormat="false" ht="15" hidden="false" customHeight="false" outlineLevel="0" collapsed="false">
      <c r="A79" s="203"/>
      <c r="B79" s="218"/>
      <c r="C79" s="203"/>
      <c r="D79" s="203"/>
      <c r="E79" s="203"/>
      <c r="F79" s="203"/>
      <c r="G79" s="203"/>
      <c r="H79" s="203"/>
      <c r="I79" s="203"/>
      <c r="J79" s="203"/>
      <c r="K79" s="192"/>
      <c r="L79" s="203"/>
      <c r="M79" s="203"/>
      <c r="N79" s="203"/>
      <c r="O79" s="203"/>
      <c r="P79" s="219"/>
      <c r="Q79" s="203"/>
      <c r="R79" s="197"/>
    </row>
    <row r="80" customFormat="false" ht="15" hidden="false" customHeight="false" outlineLevel="0" collapsed="false">
      <c r="A80" s="190" t="s">
        <v>79</v>
      </c>
      <c r="B80" s="190"/>
      <c r="C80" s="195" t="n">
        <v>3</v>
      </c>
      <c r="D80" s="195" t="n">
        <v>4</v>
      </c>
      <c r="E80" s="196" t="n">
        <v>5</v>
      </c>
      <c r="F80" s="195" t="n">
        <v>6</v>
      </c>
      <c r="G80" s="195" t="n">
        <v>7</v>
      </c>
      <c r="H80" s="195" t="n">
        <v>8</v>
      </c>
      <c r="I80" s="195" t="n">
        <v>9</v>
      </c>
      <c r="J80" s="195" t="n">
        <v>10</v>
      </c>
      <c r="K80" s="195" t="n">
        <v>11</v>
      </c>
      <c r="L80" s="195" t="n">
        <v>12</v>
      </c>
      <c r="M80" s="195" t="n">
        <v>13</v>
      </c>
      <c r="N80" s="195" t="n">
        <v>14</v>
      </c>
      <c r="O80" s="195" t="n">
        <v>15</v>
      </c>
      <c r="P80" s="196" t="n">
        <v>16</v>
      </c>
      <c r="Q80" s="195" t="n">
        <v>15</v>
      </c>
      <c r="R80" s="197"/>
    </row>
    <row r="81" customFormat="false" ht="15" hidden="false" customHeight="false" outlineLevel="0" collapsed="false">
      <c r="A81" s="242" t="n">
        <v>1</v>
      </c>
      <c r="B81" s="243" t="s">
        <v>80</v>
      </c>
      <c r="C81" s="208" t="n">
        <v>2510</v>
      </c>
      <c r="D81" s="208" t="n">
        <v>10757</v>
      </c>
      <c r="E81" s="201" t="n">
        <f aca="false">C81/D81*100-100</f>
        <v>-76.6663567909268</v>
      </c>
      <c r="F81" s="208" t="n">
        <v>424</v>
      </c>
      <c r="G81" s="208" t="n">
        <v>232</v>
      </c>
      <c r="H81" s="201" t="n">
        <f aca="false">F81/G81*100-100</f>
        <v>82.7586206896552</v>
      </c>
      <c r="I81" s="208" t="n">
        <v>2510</v>
      </c>
      <c r="J81" s="208" t="n">
        <v>8184</v>
      </c>
      <c r="K81" s="201" t="n">
        <f aca="false">I81/J81*100-100</f>
        <v>-69.3304007820137</v>
      </c>
      <c r="L81" s="203" t="n">
        <v>0</v>
      </c>
      <c r="M81" s="208" t="n">
        <v>0</v>
      </c>
      <c r="N81" s="201" t="n">
        <v>0</v>
      </c>
      <c r="O81" s="203" t="n">
        <v>2504</v>
      </c>
      <c r="P81" s="208" t="n">
        <v>113</v>
      </c>
      <c r="Q81" s="203" t="n">
        <v>2524</v>
      </c>
      <c r="R81" s="202" t="n">
        <f aca="false">O81*P81</f>
        <v>282952</v>
      </c>
    </row>
    <row r="82" customFormat="false" ht="15" hidden="false" customHeight="false" outlineLevel="0" collapsed="false">
      <c r="A82" s="244" t="n">
        <v>2</v>
      </c>
      <c r="B82" s="243" t="s">
        <v>81</v>
      </c>
      <c r="C82" s="208" t="n">
        <v>319862</v>
      </c>
      <c r="D82" s="208" t="n">
        <v>273773</v>
      </c>
      <c r="E82" s="201" t="n">
        <f aca="false">C82/D82*100-100</f>
        <v>16.8347499570812</v>
      </c>
      <c r="F82" s="208" t="n">
        <v>700</v>
      </c>
      <c r="G82" s="208" t="n">
        <v>59330</v>
      </c>
      <c r="H82" s="201" t="n">
        <f aca="false">F82/G82*100-100</f>
        <v>-98.8201584358672</v>
      </c>
      <c r="I82" s="208" t="n">
        <v>370717</v>
      </c>
      <c r="J82" s="208" t="n">
        <v>314599</v>
      </c>
      <c r="K82" s="201" t="n">
        <f aca="false">I82/J82*100-100</f>
        <v>17.8379460837447</v>
      </c>
      <c r="L82" s="208" t="n">
        <v>361588</v>
      </c>
      <c r="M82" s="208" t="n">
        <v>310602</v>
      </c>
      <c r="N82" s="201" t="n">
        <f aca="false">L82/M82*100-100</f>
        <v>16.4152194770156</v>
      </c>
      <c r="O82" s="203" t="n">
        <v>797</v>
      </c>
      <c r="P82" s="208" t="n">
        <v>125</v>
      </c>
      <c r="Q82" s="203" t="n">
        <v>777</v>
      </c>
      <c r="R82" s="202" t="n">
        <f aca="false">O82*P82</f>
        <v>99625</v>
      </c>
    </row>
    <row r="83" customFormat="false" ht="15" hidden="false" customHeight="false" outlineLevel="0" collapsed="false">
      <c r="A83" s="242" t="n">
        <v>3</v>
      </c>
      <c r="B83" s="243" t="s">
        <v>82</v>
      </c>
      <c r="C83" s="208" t="n">
        <v>489027</v>
      </c>
      <c r="D83" s="208" t="n">
        <v>245045</v>
      </c>
      <c r="E83" s="201" t="n">
        <f aca="false">C83/D83*100-100</f>
        <v>99.5662021261401</v>
      </c>
      <c r="F83" s="208" t="n">
        <v>130971</v>
      </c>
      <c r="G83" s="208" t="n">
        <v>85237</v>
      </c>
      <c r="H83" s="201" t="n">
        <f aca="false">F83/G83*100-100</f>
        <v>53.6551028309302</v>
      </c>
      <c r="I83" s="208" t="n">
        <v>611460</v>
      </c>
      <c r="J83" s="208" t="n">
        <v>745350</v>
      </c>
      <c r="K83" s="201" t="n">
        <f aca="false">I83/J83*100-100</f>
        <v>-17.9633729120547</v>
      </c>
      <c r="L83" s="208" t="n">
        <v>137892</v>
      </c>
      <c r="M83" s="208" t="n">
        <v>192588</v>
      </c>
      <c r="N83" s="201" t="n">
        <f aca="false">L83/M83*100-100</f>
        <v>-28.4005233970964</v>
      </c>
      <c r="O83" s="203" t="n">
        <v>29</v>
      </c>
      <c r="P83" s="208" t="n">
        <v>306</v>
      </c>
      <c r="Q83" s="203" t="n">
        <v>30</v>
      </c>
      <c r="R83" s="202" t="n">
        <f aca="false">O83*P83</f>
        <v>8874</v>
      </c>
    </row>
    <row r="84" customFormat="false" ht="15" hidden="false" customHeight="false" outlineLevel="0" collapsed="false">
      <c r="A84" s="244" t="n">
        <v>4</v>
      </c>
      <c r="B84" s="243" t="s">
        <v>83</v>
      </c>
      <c r="C84" s="208" t="n">
        <v>490316</v>
      </c>
      <c r="D84" s="208" t="n">
        <v>405450</v>
      </c>
      <c r="E84" s="201" t="n">
        <f aca="false">C84/D84*100-100</f>
        <v>20.9313108891355</v>
      </c>
      <c r="F84" s="208" t="n">
        <v>85010</v>
      </c>
      <c r="G84" s="208" t="n">
        <v>70821</v>
      </c>
      <c r="H84" s="201" t="n">
        <f aca="false">F84/G84*100-100</f>
        <v>20.0350178619336</v>
      </c>
      <c r="I84" s="208" t="n">
        <v>460234</v>
      </c>
      <c r="J84" s="208" t="n">
        <v>397734</v>
      </c>
      <c r="K84" s="201" t="n">
        <f aca="false">I84/J84*100-100</f>
        <v>15.714019922863</v>
      </c>
      <c r="L84" s="203" t="n">
        <v>297325</v>
      </c>
      <c r="M84" s="208" t="n">
        <v>255214</v>
      </c>
      <c r="N84" s="201" t="n">
        <f aca="false">L84/M84*100-100</f>
        <v>16.5002703613438</v>
      </c>
      <c r="O84" s="203" t="n">
        <v>180</v>
      </c>
      <c r="P84" s="208" t="n">
        <v>40</v>
      </c>
      <c r="Q84" s="203" t="n">
        <v>174</v>
      </c>
      <c r="R84" s="202" t="n">
        <f aca="false">O84*P84</f>
        <v>7200</v>
      </c>
    </row>
    <row r="85" customFormat="false" ht="15" hidden="false" customHeight="false" outlineLevel="0" collapsed="false">
      <c r="A85" s="242" t="n">
        <v>5</v>
      </c>
      <c r="B85" s="243" t="s">
        <v>84</v>
      </c>
      <c r="C85" s="219" t="n">
        <v>179828</v>
      </c>
      <c r="D85" s="219" t="n">
        <v>152387</v>
      </c>
      <c r="E85" s="201" t="n">
        <f aca="false">C85/D85*100-100</f>
        <v>18.0074415796623</v>
      </c>
      <c r="F85" s="219" t="n">
        <v>34603</v>
      </c>
      <c r="G85" s="219" t="n">
        <v>33709</v>
      </c>
      <c r="H85" s="201" t="n">
        <f aca="false">F85/G85*100-100</f>
        <v>2.65211071227269</v>
      </c>
      <c r="I85" s="219" t="n">
        <v>184743</v>
      </c>
      <c r="J85" s="219" t="n">
        <v>150528</v>
      </c>
      <c r="K85" s="201" t="n">
        <f aca="false">I85/J85*100-100</f>
        <v>22.7299904336735</v>
      </c>
      <c r="L85" s="203" t="n">
        <v>102275</v>
      </c>
      <c r="M85" s="219" t="n">
        <v>66994</v>
      </c>
      <c r="N85" s="201" t="n">
        <f aca="false">L85/M85*100-100</f>
        <v>52.6629250380631</v>
      </c>
      <c r="O85" s="203" t="n">
        <v>94</v>
      </c>
      <c r="P85" s="219" t="n">
        <v>61</v>
      </c>
      <c r="Q85" s="203" t="n">
        <v>96</v>
      </c>
      <c r="R85" s="202" t="n">
        <f aca="false">O85*P85</f>
        <v>5734</v>
      </c>
    </row>
    <row r="86" customFormat="false" ht="15" hidden="false" customHeight="false" outlineLevel="0" collapsed="false">
      <c r="A86" s="244" t="n">
        <v>6</v>
      </c>
      <c r="B86" s="243" t="s">
        <v>85</v>
      </c>
      <c r="C86" s="200" t="n">
        <v>0</v>
      </c>
      <c r="D86" s="200" t="n">
        <v>0</v>
      </c>
      <c r="E86" s="201" t="n">
        <v>0</v>
      </c>
      <c r="F86" s="200" t="n">
        <v>0</v>
      </c>
      <c r="G86" s="200" t="n">
        <v>0</v>
      </c>
      <c r="H86" s="201" t="n">
        <v>0</v>
      </c>
      <c r="I86" s="200" t="n">
        <v>0</v>
      </c>
      <c r="J86" s="200" t="n">
        <v>0</v>
      </c>
      <c r="K86" s="201" t="n">
        <v>0</v>
      </c>
      <c r="L86" s="200" t="n">
        <v>0</v>
      </c>
      <c r="M86" s="200" t="n">
        <v>0</v>
      </c>
      <c r="N86" s="201" t="n">
        <v>0</v>
      </c>
      <c r="O86" s="203"/>
      <c r="P86" s="204" t="n">
        <v>0</v>
      </c>
      <c r="Q86" s="203" t="n">
        <v>0</v>
      </c>
      <c r="R86" s="202" t="n">
        <f aca="false">O86*P86</f>
        <v>0</v>
      </c>
    </row>
    <row r="87" customFormat="false" ht="15" hidden="false" customHeight="false" outlineLevel="0" collapsed="false">
      <c r="A87" s="242" t="n">
        <v>7</v>
      </c>
      <c r="B87" s="243" t="s">
        <v>86</v>
      </c>
      <c r="C87" s="208" t="n">
        <v>300</v>
      </c>
      <c r="D87" s="219" t="n">
        <v>406</v>
      </c>
      <c r="E87" s="201" t="n">
        <f aca="false">C87/D87*100-100</f>
        <v>-26.1083743842365</v>
      </c>
      <c r="F87" s="208" t="n">
        <v>250</v>
      </c>
      <c r="G87" s="219" t="n">
        <v>101</v>
      </c>
      <c r="H87" s="201" t="n">
        <v>0</v>
      </c>
      <c r="I87" s="208" t="n">
        <v>300</v>
      </c>
      <c r="J87" s="219" t="n">
        <v>406</v>
      </c>
      <c r="K87" s="201" t="n">
        <f aca="false">I87/J87*100-100</f>
        <v>-26.1083743842365</v>
      </c>
      <c r="L87" s="203" t="n">
        <v>0</v>
      </c>
      <c r="M87" s="219" t="n">
        <v>0</v>
      </c>
      <c r="N87" s="201" t="n">
        <v>0</v>
      </c>
      <c r="O87" s="203" t="n">
        <v>8</v>
      </c>
      <c r="P87" s="208" t="n">
        <v>75</v>
      </c>
      <c r="Q87" s="203" t="n">
        <v>8</v>
      </c>
      <c r="R87" s="202" t="n">
        <f aca="false">O87*P87</f>
        <v>600</v>
      </c>
    </row>
    <row r="88" customFormat="false" ht="15" hidden="false" customHeight="false" outlineLevel="0" collapsed="false">
      <c r="A88" s="244" t="n">
        <v>8</v>
      </c>
      <c r="B88" s="245" t="s">
        <v>87</v>
      </c>
      <c r="C88" s="219" t="n">
        <v>286001</v>
      </c>
      <c r="D88" s="219" t="n">
        <v>396348</v>
      </c>
      <c r="E88" s="201" t="n">
        <f aca="false">C88/D88*100-100</f>
        <v>-27.8409377617649</v>
      </c>
      <c r="F88" s="219" t="n">
        <v>58514</v>
      </c>
      <c r="G88" s="219" t="n">
        <v>125731</v>
      </c>
      <c r="H88" s="201" t="n">
        <f aca="false">F88/G88*100-100</f>
        <v>-53.4609603041414</v>
      </c>
      <c r="I88" s="219" t="n">
        <v>523435</v>
      </c>
      <c r="J88" s="219" t="n">
        <v>459129</v>
      </c>
      <c r="K88" s="201" t="n">
        <f aca="false">I88/J88*100-100</f>
        <v>14.0060854356836</v>
      </c>
      <c r="L88" s="203" t="n">
        <v>151941</v>
      </c>
      <c r="M88" s="219" t="n">
        <v>97968</v>
      </c>
      <c r="N88" s="201" t="n">
        <f aca="false">L88/M88*100-100</f>
        <v>55.0924791768741</v>
      </c>
      <c r="O88" s="203" t="n">
        <v>65</v>
      </c>
      <c r="P88" s="208" t="n">
        <v>128</v>
      </c>
      <c r="Q88" s="203" t="n">
        <v>65</v>
      </c>
      <c r="R88" s="202" t="n">
        <f aca="false">O88*P88</f>
        <v>8320</v>
      </c>
    </row>
    <row r="89" customFormat="false" ht="15" hidden="false" customHeight="false" outlineLevel="0" collapsed="false">
      <c r="A89" s="242" t="n">
        <v>9</v>
      </c>
      <c r="B89" s="245" t="s">
        <v>88</v>
      </c>
      <c r="C89" s="208" t="n">
        <v>926890</v>
      </c>
      <c r="D89" s="208" t="n">
        <v>930370</v>
      </c>
      <c r="E89" s="201" t="n">
        <f aca="false">C89/D89*100-100</f>
        <v>-0.374044734890418</v>
      </c>
      <c r="F89" s="208" t="n">
        <v>224889</v>
      </c>
      <c r="G89" s="208" t="n">
        <v>232104</v>
      </c>
      <c r="H89" s="201" t="n">
        <f aca="false">F89/G89*100-100</f>
        <v>-3.10852031847793</v>
      </c>
      <c r="I89" s="208" t="n">
        <v>967943</v>
      </c>
      <c r="J89" s="208" t="n">
        <v>886628</v>
      </c>
      <c r="K89" s="201" t="n">
        <f aca="false">I89/J89*100-100</f>
        <v>9.17126461153946</v>
      </c>
      <c r="L89" s="203" t="n">
        <v>9660</v>
      </c>
      <c r="M89" s="208" t="n">
        <v>0</v>
      </c>
      <c r="N89" s="201" t="n">
        <v>0</v>
      </c>
      <c r="O89" s="203" t="n">
        <v>127</v>
      </c>
      <c r="P89" s="208" t="n">
        <v>145</v>
      </c>
      <c r="Q89" s="203" t="n">
        <v>125</v>
      </c>
      <c r="R89" s="202" t="n">
        <f aca="false">O89*P89</f>
        <v>18415</v>
      </c>
    </row>
    <row r="90" customFormat="false" ht="15" hidden="false" customHeight="false" outlineLevel="0" collapsed="false">
      <c r="A90" s="244" t="n">
        <v>10</v>
      </c>
      <c r="B90" s="243" t="s">
        <v>89</v>
      </c>
      <c r="C90" s="208" t="n">
        <v>760742</v>
      </c>
      <c r="D90" s="208" t="n">
        <v>665929</v>
      </c>
      <c r="E90" s="201" t="n">
        <f aca="false">C90/D90*100-100</f>
        <v>14.2377040194976</v>
      </c>
      <c r="F90" s="208" t="n">
        <v>151443</v>
      </c>
      <c r="G90" s="208" t="n">
        <v>116856</v>
      </c>
      <c r="H90" s="201" t="n">
        <f aca="false">F90/G90*100-100</f>
        <v>29.597966728281</v>
      </c>
      <c r="I90" s="208" t="n">
        <v>753935</v>
      </c>
      <c r="J90" s="208" t="n">
        <v>626558</v>
      </c>
      <c r="K90" s="201" t="n">
        <f aca="false">I90/J90*100-100</f>
        <v>20.3296422677549</v>
      </c>
      <c r="L90" s="203" t="n">
        <f aca="false">186811+273041</f>
        <v>459852</v>
      </c>
      <c r="M90" s="208" t="n">
        <f aca="false">148564+168037</f>
        <v>316601</v>
      </c>
      <c r="N90" s="201" t="n">
        <f aca="false">L90/M90*100-100</f>
        <v>45.2465405984188</v>
      </c>
      <c r="O90" s="203" t="n">
        <v>102</v>
      </c>
      <c r="P90" s="208" t="n">
        <v>225</v>
      </c>
      <c r="Q90" s="203" t="n">
        <v>101</v>
      </c>
      <c r="R90" s="202" t="n">
        <f aca="false">O90*P90</f>
        <v>22950</v>
      </c>
    </row>
    <row r="91" customFormat="false" ht="15" hidden="false" customHeight="false" outlineLevel="0" collapsed="false">
      <c r="A91" s="242" t="n">
        <v>11</v>
      </c>
      <c r="B91" s="243" t="s">
        <v>90</v>
      </c>
      <c r="C91" s="242" t="n">
        <v>173006</v>
      </c>
      <c r="D91" s="246" t="n">
        <v>135608</v>
      </c>
      <c r="E91" s="201" t="n">
        <f aca="false">C91/D91*100-100</f>
        <v>27.5780189959294</v>
      </c>
      <c r="F91" s="208" t="n">
        <v>27916</v>
      </c>
      <c r="G91" s="208" t="n">
        <v>27670</v>
      </c>
      <c r="H91" s="201" t="n">
        <f aca="false">F91/G91*100-100</f>
        <v>0.889049512106979</v>
      </c>
      <c r="I91" s="247" t="n">
        <v>1720881</v>
      </c>
      <c r="J91" s="248" t="n">
        <v>1661828</v>
      </c>
      <c r="K91" s="201" t="n">
        <f aca="false">I91/J91*100-100</f>
        <v>3.55349651107093</v>
      </c>
      <c r="L91" s="247" t="n">
        <v>19273</v>
      </c>
      <c r="M91" s="248" t="n">
        <v>30350</v>
      </c>
      <c r="N91" s="201" t="n">
        <f aca="false">L91/M91*100-100</f>
        <v>-36.497528830313</v>
      </c>
      <c r="O91" s="203" t="n">
        <v>53</v>
      </c>
      <c r="P91" s="208" t="n">
        <v>250</v>
      </c>
      <c r="Q91" s="203" t="n">
        <v>53</v>
      </c>
      <c r="R91" s="202" t="n">
        <f aca="false">O91*P91</f>
        <v>13250</v>
      </c>
    </row>
    <row r="92" customFormat="false" ht="15" hidden="false" customHeight="false" outlineLevel="0" collapsed="false">
      <c r="A92" s="215" t="s">
        <v>91</v>
      </c>
      <c r="B92" s="215" t="s">
        <v>92</v>
      </c>
      <c r="C92" s="237" t="n">
        <f aca="false">SUM(C81:C91)</f>
        <v>3628482</v>
      </c>
      <c r="D92" s="237" t="n">
        <f aca="false">SUM(D81:D91)</f>
        <v>3216073</v>
      </c>
      <c r="E92" s="313" t="n">
        <f aca="false">C92/D92*100-100</f>
        <v>12.8233718575418</v>
      </c>
      <c r="F92" s="237" t="n">
        <f aca="false">SUM(F81:F91)</f>
        <v>714720</v>
      </c>
      <c r="G92" s="237" t="n">
        <f aca="false">SUM(G81:G91)</f>
        <v>751791</v>
      </c>
      <c r="H92" s="313" t="n">
        <f aca="false">F92/G92*100-100</f>
        <v>-4.93102471298539</v>
      </c>
      <c r="I92" s="237" t="n">
        <f aca="false">SUM(I81:I91)</f>
        <v>5596158</v>
      </c>
      <c r="J92" s="237" t="n">
        <f aca="false">SUM(J81:J91)</f>
        <v>5250944</v>
      </c>
      <c r="K92" s="313" t="n">
        <f aca="false">I92/J92*100-100</f>
        <v>6.5743226360822</v>
      </c>
      <c r="L92" s="237" t="n">
        <f aca="false">SUM(L81:L91)</f>
        <v>1539806</v>
      </c>
      <c r="M92" s="237" t="n">
        <f aca="false">SUM(M81:M91)</f>
        <v>1270317</v>
      </c>
      <c r="N92" s="313" t="n">
        <f aca="false">L92/M92*100-100</f>
        <v>21.2143110735352</v>
      </c>
      <c r="O92" s="216" t="n">
        <f aca="false">SUM(O81:O91)</f>
        <v>3959</v>
      </c>
      <c r="P92" s="217" t="n">
        <f aca="false">R92/O92</f>
        <v>118.191462490528</v>
      </c>
      <c r="Q92" s="216" t="n">
        <f aca="false">SUM(Q81:Q91)</f>
        <v>3953</v>
      </c>
      <c r="R92" s="232" t="n">
        <f aca="false">SUM(R81:R91)</f>
        <v>467920</v>
      </c>
    </row>
    <row r="93" customFormat="false" ht="15" hidden="false" customHeight="false" outlineLevel="0" collapsed="false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192"/>
      <c r="L93" s="203"/>
      <c r="M93" s="203"/>
      <c r="N93" s="203"/>
      <c r="O93" s="203"/>
      <c r="P93" s="219"/>
      <c r="Q93" s="203"/>
      <c r="R93" s="197"/>
    </row>
    <row r="94" customFormat="false" ht="15" hidden="false" customHeight="false" outlineLevel="0" collapsed="false">
      <c r="A94" s="190" t="s">
        <v>93</v>
      </c>
      <c r="B94" s="190"/>
      <c r="C94" s="195" t="n">
        <v>3</v>
      </c>
      <c r="D94" s="195" t="n">
        <v>4</v>
      </c>
      <c r="E94" s="196" t="n">
        <v>5</v>
      </c>
      <c r="F94" s="195" t="n">
        <v>6</v>
      </c>
      <c r="G94" s="195" t="n">
        <v>7</v>
      </c>
      <c r="H94" s="195" t="n">
        <v>8</v>
      </c>
      <c r="I94" s="195" t="n">
        <v>9</v>
      </c>
      <c r="J94" s="195" t="n">
        <v>10</v>
      </c>
      <c r="K94" s="195" t="n">
        <v>11</v>
      </c>
      <c r="L94" s="195" t="n">
        <v>12</v>
      </c>
      <c r="M94" s="195" t="n">
        <v>13</v>
      </c>
      <c r="N94" s="195" t="n">
        <v>14</v>
      </c>
      <c r="O94" s="195" t="n">
        <v>15</v>
      </c>
      <c r="P94" s="196" t="n">
        <v>16</v>
      </c>
      <c r="Q94" s="195" t="n">
        <v>15</v>
      </c>
      <c r="R94" s="197"/>
    </row>
    <row r="95" customFormat="false" ht="15" hidden="false" customHeight="false" outlineLevel="0" collapsed="false">
      <c r="A95" s="249" t="n">
        <v>1</v>
      </c>
      <c r="B95" s="245" t="s">
        <v>94</v>
      </c>
      <c r="C95" s="250" t="n">
        <v>149792</v>
      </c>
      <c r="D95" s="250" t="n">
        <v>138933</v>
      </c>
      <c r="E95" s="201" t="n">
        <f aca="false">C95/D95*100-100</f>
        <v>7.8159976391498</v>
      </c>
      <c r="F95" s="250" t="n">
        <v>42919</v>
      </c>
      <c r="G95" s="250" t="n">
        <v>39940</v>
      </c>
      <c r="H95" s="201" t="n">
        <f aca="false">F95/G95*100-100</f>
        <v>7.45868803204807</v>
      </c>
      <c r="I95" s="250" t="n">
        <v>131540</v>
      </c>
      <c r="J95" s="251" t="n">
        <v>124670</v>
      </c>
      <c r="K95" s="201" t="n">
        <f aca="false">I95/J95*100-100</f>
        <v>5.51054784631427</v>
      </c>
      <c r="L95" s="250" t="n">
        <v>131520</v>
      </c>
      <c r="M95" s="250" t="n">
        <v>124625</v>
      </c>
      <c r="N95" s="201" t="n">
        <f aca="false">L95/M95*100-100</f>
        <v>5.53259779338013</v>
      </c>
      <c r="O95" s="252" t="n">
        <v>250</v>
      </c>
      <c r="P95" s="219" t="n">
        <v>105</v>
      </c>
      <c r="Q95" s="252" t="n">
        <v>310</v>
      </c>
      <c r="R95" s="202" t="n">
        <f aca="false">O95*P95</f>
        <v>26250</v>
      </c>
    </row>
    <row r="96" customFormat="false" ht="15" hidden="false" customHeight="false" outlineLevel="0" collapsed="false">
      <c r="A96" s="249" t="n">
        <v>2</v>
      </c>
      <c r="B96" s="245" t="s">
        <v>95</v>
      </c>
      <c r="C96" s="200" t="n">
        <v>0</v>
      </c>
      <c r="D96" s="200" t="n">
        <v>0</v>
      </c>
      <c r="E96" s="201" t="n">
        <v>0</v>
      </c>
      <c r="F96" s="200" t="n">
        <v>0</v>
      </c>
      <c r="G96" s="200" t="n">
        <v>0</v>
      </c>
      <c r="H96" s="201" t="n">
        <v>0</v>
      </c>
      <c r="I96" s="200" t="n">
        <v>0</v>
      </c>
      <c r="J96" s="200" t="n">
        <v>0</v>
      </c>
      <c r="K96" s="201" t="n">
        <v>0</v>
      </c>
      <c r="L96" s="200" t="n">
        <v>0</v>
      </c>
      <c r="M96" s="200" t="n">
        <v>0</v>
      </c>
      <c r="N96" s="201" t="n">
        <v>0</v>
      </c>
      <c r="O96" s="203"/>
      <c r="P96" s="204" t="n">
        <v>0</v>
      </c>
      <c r="Q96" s="203" t="n">
        <v>0</v>
      </c>
      <c r="R96" s="202" t="n">
        <f aca="false">O96*P96</f>
        <v>0</v>
      </c>
    </row>
    <row r="97" customFormat="false" ht="15" hidden="false" customHeight="false" outlineLevel="0" collapsed="false">
      <c r="A97" s="249" t="n">
        <v>3</v>
      </c>
      <c r="B97" s="243" t="s">
        <v>96</v>
      </c>
      <c r="C97" s="200" t="n">
        <v>0</v>
      </c>
      <c r="D97" s="200" t="n">
        <v>0</v>
      </c>
      <c r="E97" s="201" t="n">
        <v>0</v>
      </c>
      <c r="F97" s="200" t="n">
        <v>0</v>
      </c>
      <c r="G97" s="200" t="n">
        <v>0</v>
      </c>
      <c r="H97" s="201" t="n">
        <v>0</v>
      </c>
      <c r="I97" s="200" t="n">
        <v>0</v>
      </c>
      <c r="J97" s="200" t="n">
        <v>0</v>
      </c>
      <c r="K97" s="201" t="n">
        <v>0</v>
      </c>
      <c r="L97" s="200" t="n">
        <v>0</v>
      </c>
      <c r="M97" s="200" t="n">
        <v>0</v>
      </c>
      <c r="N97" s="201" t="n">
        <v>0</v>
      </c>
      <c r="O97" s="203"/>
      <c r="P97" s="204" t="n">
        <v>0</v>
      </c>
      <c r="Q97" s="203" t="n">
        <v>0</v>
      </c>
      <c r="R97" s="202" t="n">
        <f aca="false">O97*P97</f>
        <v>0</v>
      </c>
    </row>
    <row r="98" customFormat="false" ht="15" hidden="false" customHeight="false" outlineLevel="0" collapsed="false">
      <c r="A98" s="249" t="n">
        <v>4</v>
      </c>
      <c r="B98" s="243" t="s">
        <v>97</v>
      </c>
      <c r="C98" s="200" t="n">
        <v>16225</v>
      </c>
      <c r="D98" s="200" t="n">
        <v>0</v>
      </c>
      <c r="E98" s="201" t="n">
        <v>0</v>
      </c>
      <c r="F98" s="200" t="n">
        <v>16225</v>
      </c>
      <c r="G98" s="200" t="n">
        <v>0</v>
      </c>
      <c r="H98" s="201" t="n">
        <v>0</v>
      </c>
      <c r="I98" s="200" t="n">
        <v>6671</v>
      </c>
      <c r="J98" s="200" t="n">
        <v>9664</v>
      </c>
      <c r="K98" s="201" t="n">
        <f aca="false">I98/J98*100-100</f>
        <v>-30.9706125827815</v>
      </c>
      <c r="L98" s="200" t="n">
        <v>0</v>
      </c>
      <c r="M98" s="200" t="n">
        <v>0</v>
      </c>
      <c r="N98" s="201" t="n">
        <v>0</v>
      </c>
      <c r="O98" s="203" t="n">
        <v>34</v>
      </c>
      <c r="P98" s="250" t="n">
        <v>160</v>
      </c>
      <c r="Q98" s="203" t="n">
        <v>25</v>
      </c>
      <c r="R98" s="202" t="n">
        <f aca="false">O98*P98</f>
        <v>5440</v>
      </c>
    </row>
    <row r="99" customFormat="false" ht="15" hidden="false" customHeight="false" outlineLevel="0" collapsed="false">
      <c r="A99" s="249" t="n">
        <v>5</v>
      </c>
      <c r="B99" s="245" t="s">
        <v>98</v>
      </c>
      <c r="C99" s="250" t="n">
        <v>333295</v>
      </c>
      <c r="D99" s="250" t="n">
        <v>287112</v>
      </c>
      <c r="E99" s="201" t="n">
        <f aca="false">C99/D99*100-100</f>
        <v>16.0853604168408</v>
      </c>
      <c r="F99" s="250" t="n">
        <v>44752</v>
      </c>
      <c r="G99" s="250" t="n">
        <v>25081</v>
      </c>
      <c r="H99" s="201" t="n">
        <v>0</v>
      </c>
      <c r="I99" s="250" t="n">
        <v>307913</v>
      </c>
      <c r="J99" s="250" t="n">
        <v>321674</v>
      </c>
      <c r="K99" s="201" t="n">
        <f aca="false">I99/J99*100-100</f>
        <v>-4.27793356006391</v>
      </c>
      <c r="L99" s="250" t="n">
        <f aca="false">2324+305589</f>
        <v>307913</v>
      </c>
      <c r="M99" s="250" t="n">
        <v>321674</v>
      </c>
      <c r="N99" s="201" t="n">
        <f aca="false">L99/M99*100-100</f>
        <v>-4.27793356006391</v>
      </c>
      <c r="O99" s="252"/>
      <c r="P99" s="250" t="n">
        <v>52</v>
      </c>
      <c r="Q99" s="252" t="n">
        <v>408</v>
      </c>
      <c r="R99" s="202" t="n">
        <f aca="false">O99*P99</f>
        <v>0</v>
      </c>
    </row>
    <row r="100" customFormat="false" ht="15" hidden="false" customHeight="false" outlineLevel="0" collapsed="false">
      <c r="A100" s="249" t="n">
        <v>6</v>
      </c>
      <c r="B100" s="245" t="s">
        <v>99</v>
      </c>
      <c r="C100" s="200" t="n">
        <v>0</v>
      </c>
      <c r="D100" s="200" t="n">
        <v>0</v>
      </c>
      <c r="E100" s="201" t="n">
        <v>0</v>
      </c>
      <c r="F100" s="200" t="n">
        <v>0</v>
      </c>
      <c r="G100" s="200" t="n">
        <v>0</v>
      </c>
      <c r="H100" s="201" t="n">
        <v>0</v>
      </c>
      <c r="I100" s="200" t="n">
        <v>0</v>
      </c>
      <c r="J100" s="200" t="n">
        <v>0</v>
      </c>
      <c r="K100" s="201" t="n">
        <v>0</v>
      </c>
      <c r="L100" s="200" t="n">
        <v>0</v>
      </c>
      <c r="M100" s="200" t="n">
        <v>0</v>
      </c>
      <c r="N100" s="201" t="n">
        <v>0</v>
      </c>
      <c r="O100" s="203"/>
      <c r="P100" s="204" t="n">
        <v>0</v>
      </c>
      <c r="Q100" s="203" t="n">
        <v>0</v>
      </c>
      <c r="R100" s="202" t="n">
        <f aca="false">O100*P100</f>
        <v>0</v>
      </c>
    </row>
    <row r="101" customFormat="false" ht="15" hidden="false" customHeight="false" outlineLevel="0" collapsed="false">
      <c r="A101" s="249" t="n">
        <v>7</v>
      </c>
      <c r="B101" s="243" t="s">
        <v>100</v>
      </c>
      <c r="C101" s="200" t="n">
        <v>0</v>
      </c>
      <c r="D101" s="200" t="n">
        <v>0</v>
      </c>
      <c r="E101" s="201" t="n">
        <v>0</v>
      </c>
      <c r="F101" s="200" t="n">
        <v>0</v>
      </c>
      <c r="G101" s="200" t="n">
        <v>0</v>
      </c>
      <c r="H101" s="201" t="n">
        <v>0</v>
      </c>
      <c r="I101" s="200" t="n">
        <v>0</v>
      </c>
      <c r="J101" s="200" t="n">
        <v>0</v>
      </c>
      <c r="K101" s="201" t="n">
        <v>0</v>
      </c>
      <c r="L101" s="200" t="n">
        <v>0</v>
      </c>
      <c r="M101" s="200" t="n">
        <v>0</v>
      </c>
      <c r="N101" s="201" t="n">
        <v>0</v>
      </c>
      <c r="O101" s="203"/>
      <c r="P101" s="204" t="n">
        <v>0</v>
      </c>
      <c r="Q101" s="203" t="n">
        <v>0</v>
      </c>
      <c r="R101" s="202" t="n">
        <f aca="false">O101*P101</f>
        <v>0</v>
      </c>
    </row>
    <row r="102" customFormat="false" ht="15" hidden="false" customHeight="false" outlineLevel="0" collapsed="false">
      <c r="A102" s="249" t="n">
        <v>8</v>
      </c>
      <c r="B102" s="245" t="s">
        <v>101</v>
      </c>
      <c r="C102" s="208" t="n">
        <v>211927</v>
      </c>
      <c r="D102" s="208" t="n">
        <v>142187</v>
      </c>
      <c r="E102" s="201" t="n">
        <f aca="false">C102/D102*100-100</f>
        <v>49.048084564693</v>
      </c>
      <c r="F102" s="208" t="n">
        <v>32047</v>
      </c>
      <c r="G102" s="208" t="n">
        <v>43569</v>
      </c>
      <c r="H102" s="201" t="n">
        <f aca="false">F102/G102*100-100</f>
        <v>-26.4454084326012</v>
      </c>
      <c r="I102" s="208" t="n">
        <v>210446</v>
      </c>
      <c r="J102" s="208" t="n">
        <v>93761</v>
      </c>
      <c r="K102" s="201" t="n">
        <f aca="false">I102/J102*100-100</f>
        <v>124.449397937309</v>
      </c>
      <c r="L102" s="208" t="n">
        <v>67551</v>
      </c>
      <c r="M102" s="208" t="n">
        <v>1971</v>
      </c>
      <c r="N102" s="201" t="n">
        <v>0</v>
      </c>
      <c r="O102" s="208" t="n">
        <v>148</v>
      </c>
      <c r="P102" s="208" t="n">
        <v>89</v>
      </c>
      <c r="Q102" s="208" t="n">
        <v>161</v>
      </c>
      <c r="R102" s="202" t="n">
        <f aca="false">O102*P102</f>
        <v>13172</v>
      </c>
    </row>
    <row r="103" customFormat="false" ht="15" hidden="false" customHeight="false" outlineLevel="0" collapsed="false">
      <c r="A103" s="249" t="n">
        <v>9</v>
      </c>
      <c r="B103" s="245" t="s">
        <v>102</v>
      </c>
      <c r="C103" s="200" t="n">
        <v>0</v>
      </c>
      <c r="D103" s="200" t="n">
        <v>0</v>
      </c>
      <c r="E103" s="201" t="n">
        <v>0</v>
      </c>
      <c r="F103" s="200" t="n">
        <v>0</v>
      </c>
      <c r="G103" s="200" t="n">
        <v>0</v>
      </c>
      <c r="H103" s="201" t="n">
        <v>0</v>
      </c>
      <c r="I103" s="200" t="n">
        <v>0</v>
      </c>
      <c r="J103" s="200" t="n">
        <v>0</v>
      </c>
      <c r="K103" s="201" t="n">
        <v>0</v>
      </c>
      <c r="L103" s="200" t="n">
        <v>0</v>
      </c>
      <c r="M103" s="200" t="n">
        <v>0</v>
      </c>
      <c r="N103" s="201" t="n">
        <v>0</v>
      </c>
      <c r="O103" s="203"/>
      <c r="P103" s="204" t="n">
        <v>0</v>
      </c>
      <c r="Q103" s="203" t="n">
        <v>0</v>
      </c>
      <c r="R103" s="202" t="n">
        <f aca="false">O103*P103</f>
        <v>0</v>
      </c>
    </row>
    <row r="104" customFormat="false" ht="15" hidden="false" customHeight="false" outlineLevel="0" collapsed="false">
      <c r="A104" s="249" t="n">
        <v>10</v>
      </c>
      <c r="B104" s="243" t="s">
        <v>103</v>
      </c>
      <c r="C104" s="203" t="n">
        <v>76233</v>
      </c>
      <c r="D104" s="203" t="n">
        <v>54263</v>
      </c>
      <c r="E104" s="201" t="n">
        <f aca="false">C104/D104*100-100</f>
        <v>40.4879936605053</v>
      </c>
      <c r="F104" s="203" t="n">
        <v>0</v>
      </c>
      <c r="G104" s="203" t="n">
        <v>18197</v>
      </c>
      <c r="H104" s="201" t="n">
        <v>0</v>
      </c>
      <c r="I104" s="203" t="n">
        <v>76233</v>
      </c>
      <c r="J104" s="203" t="n">
        <v>54263</v>
      </c>
      <c r="K104" s="201" t="n">
        <f aca="false">I104/J104*100-100</f>
        <v>40.4879936605053</v>
      </c>
      <c r="L104" s="203" t="n">
        <v>76233</v>
      </c>
      <c r="M104" s="203" t="n">
        <v>54263</v>
      </c>
      <c r="N104" s="201" t="n">
        <f aca="false">L104/M104*100-100</f>
        <v>40.4879936605053</v>
      </c>
      <c r="O104" s="252" t="n">
        <v>85</v>
      </c>
      <c r="P104" s="250" t="n">
        <v>45</v>
      </c>
      <c r="Q104" s="252" t="n">
        <v>92</v>
      </c>
      <c r="R104" s="202" t="n">
        <f aca="false">O104*P104</f>
        <v>3825</v>
      </c>
    </row>
    <row r="105" customFormat="false" ht="15" hidden="false" customHeight="false" outlineLevel="0" collapsed="false">
      <c r="A105" s="249" t="n">
        <v>11</v>
      </c>
      <c r="B105" s="245" t="s">
        <v>104</v>
      </c>
      <c r="C105" s="200" t="n">
        <v>0</v>
      </c>
      <c r="D105" s="200" t="n">
        <v>0</v>
      </c>
      <c r="E105" s="201" t="n">
        <v>0</v>
      </c>
      <c r="F105" s="200" t="n">
        <v>0</v>
      </c>
      <c r="G105" s="200" t="n">
        <v>0</v>
      </c>
      <c r="H105" s="201" t="n">
        <v>0</v>
      </c>
      <c r="I105" s="200" t="n">
        <v>0</v>
      </c>
      <c r="J105" s="200" t="n">
        <v>0</v>
      </c>
      <c r="K105" s="201" t="n">
        <v>0</v>
      </c>
      <c r="L105" s="200" t="n">
        <v>0</v>
      </c>
      <c r="M105" s="200" t="n">
        <v>0</v>
      </c>
      <c r="N105" s="201" t="n">
        <v>0</v>
      </c>
      <c r="O105" s="203"/>
      <c r="P105" s="204" t="n">
        <v>0</v>
      </c>
      <c r="Q105" s="203" t="n">
        <v>0</v>
      </c>
      <c r="R105" s="202" t="n">
        <f aca="false">O105*P105</f>
        <v>0</v>
      </c>
    </row>
    <row r="106" customFormat="false" ht="15" hidden="false" customHeight="false" outlineLevel="0" collapsed="false">
      <c r="A106" s="249" t="n">
        <v>12</v>
      </c>
      <c r="B106" s="245" t="s">
        <v>105</v>
      </c>
      <c r="C106" s="251" t="n">
        <v>38230</v>
      </c>
      <c r="D106" s="250" t="n">
        <v>44416</v>
      </c>
      <c r="E106" s="201" t="n">
        <f aca="false">C106/D106*100-100</f>
        <v>-13.9274135446686</v>
      </c>
      <c r="F106" s="251" t="n">
        <v>8500</v>
      </c>
      <c r="G106" s="250" t="n">
        <v>10250</v>
      </c>
      <c r="H106" s="201" t="n">
        <f aca="false">F106/G106*100-100</f>
        <v>-17.0731707317073</v>
      </c>
      <c r="I106" s="251" t="n">
        <v>32800</v>
      </c>
      <c r="J106" s="251" t="n">
        <v>31650</v>
      </c>
      <c r="K106" s="201" t="n">
        <f aca="false">I106/J106*100-100</f>
        <v>3.63349131121642</v>
      </c>
      <c r="L106" s="250" t="n">
        <v>0</v>
      </c>
      <c r="M106" s="250" t="n">
        <v>0</v>
      </c>
      <c r="N106" s="201" t="n">
        <v>0</v>
      </c>
      <c r="O106" s="252" t="n">
        <v>15</v>
      </c>
      <c r="P106" s="250" t="n">
        <v>58</v>
      </c>
      <c r="Q106" s="252" t="n">
        <v>15</v>
      </c>
      <c r="R106" s="202" t="n">
        <f aca="false">O106*P106</f>
        <v>870</v>
      </c>
    </row>
    <row r="107" customFormat="false" ht="15" hidden="false" customHeight="false" outlineLevel="0" collapsed="false">
      <c r="A107" s="249" t="n">
        <v>13</v>
      </c>
      <c r="B107" s="245" t="s">
        <v>106</v>
      </c>
      <c r="C107" s="251" t="n">
        <v>10259</v>
      </c>
      <c r="D107" s="250" t="n">
        <v>37404</v>
      </c>
      <c r="E107" s="201" t="n">
        <f aca="false">C107/D107*100-100</f>
        <v>-72.5724521441557</v>
      </c>
      <c r="F107" s="251" t="n">
        <v>4068</v>
      </c>
      <c r="G107" s="251" t="n">
        <v>4528</v>
      </c>
      <c r="H107" s="201" t="n">
        <f aca="false">F107/G107*100-100</f>
        <v>-10.1590106007067</v>
      </c>
      <c r="I107" s="251" t="n">
        <v>9359</v>
      </c>
      <c r="J107" s="251" t="n">
        <v>79265</v>
      </c>
      <c r="K107" s="201" t="n">
        <f aca="false">I107/J107*100-100</f>
        <v>-88.1927710843373</v>
      </c>
      <c r="L107" s="250" t="n">
        <v>1529</v>
      </c>
      <c r="M107" s="250" t="n">
        <v>75528</v>
      </c>
      <c r="N107" s="201" t="n">
        <f aca="false">L107/M107*100-100</f>
        <v>-97.9755852134308</v>
      </c>
      <c r="O107" s="252" t="n">
        <v>58</v>
      </c>
      <c r="P107" s="250" t="n">
        <v>53</v>
      </c>
      <c r="Q107" s="252" t="n">
        <v>53</v>
      </c>
      <c r="R107" s="202" t="n">
        <f aca="false">O107*P107</f>
        <v>3074</v>
      </c>
    </row>
    <row r="108" customFormat="false" ht="15" hidden="false" customHeight="false" outlineLevel="0" collapsed="false">
      <c r="A108" s="249" t="n">
        <v>14</v>
      </c>
      <c r="B108" s="245" t="s">
        <v>107</v>
      </c>
      <c r="C108" s="200" t="n">
        <v>0</v>
      </c>
      <c r="D108" s="200" t="n">
        <v>0</v>
      </c>
      <c r="E108" s="201" t="n">
        <v>0</v>
      </c>
      <c r="F108" s="200" t="n">
        <v>0</v>
      </c>
      <c r="G108" s="200" t="n">
        <v>0</v>
      </c>
      <c r="H108" s="201" t="n">
        <v>0</v>
      </c>
      <c r="I108" s="200" t="n">
        <v>0</v>
      </c>
      <c r="J108" s="200" t="n">
        <v>0</v>
      </c>
      <c r="K108" s="201" t="n">
        <v>0</v>
      </c>
      <c r="L108" s="200" t="n">
        <v>0</v>
      </c>
      <c r="M108" s="200" t="n">
        <v>0</v>
      </c>
      <c r="N108" s="201" t="n">
        <v>0</v>
      </c>
      <c r="O108" s="203"/>
      <c r="P108" s="204" t="n">
        <v>0</v>
      </c>
      <c r="Q108" s="203" t="n">
        <v>0</v>
      </c>
      <c r="R108" s="202" t="n">
        <f aca="false">O108*P108</f>
        <v>0</v>
      </c>
    </row>
    <row r="109" customFormat="false" ht="15" hidden="false" customHeight="false" outlineLevel="0" collapsed="false">
      <c r="A109" s="249" t="n">
        <v>15</v>
      </c>
      <c r="B109" s="245" t="s">
        <v>108</v>
      </c>
      <c r="C109" s="208" t="n">
        <v>78643</v>
      </c>
      <c r="D109" s="208" t="n">
        <v>26490</v>
      </c>
      <c r="E109" s="201" t="n">
        <f aca="false">C109/D109*100-100</f>
        <v>196.878067195168</v>
      </c>
      <c r="F109" s="208" t="n">
        <v>10248</v>
      </c>
      <c r="G109" s="208" t="n">
        <v>0</v>
      </c>
      <c r="H109" s="201" t="n">
        <v>0</v>
      </c>
      <c r="I109" s="208" t="n">
        <v>78643</v>
      </c>
      <c r="J109" s="208" t="n">
        <v>26490</v>
      </c>
      <c r="K109" s="201" t="n">
        <f aca="false">I109/J109*100-100</f>
        <v>196.878067195168</v>
      </c>
      <c r="L109" s="208" t="n">
        <v>78643</v>
      </c>
      <c r="M109" s="208" t="n">
        <v>26490</v>
      </c>
      <c r="N109" s="201" t="n">
        <f aca="false">L109/M109*100-100</f>
        <v>196.878067195168</v>
      </c>
      <c r="O109" s="203" t="n">
        <v>93</v>
      </c>
      <c r="P109" s="204" t="n">
        <v>80</v>
      </c>
      <c r="Q109" s="203"/>
      <c r="R109" s="202" t="n">
        <f aca="false">O109*P109</f>
        <v>7440</v>
      </c>
    </row>
    <row r="110" customFormat="false" ht="15" hidden="false" customHeight="false" outlineLevel="0" collapsed="false">
      <c r="A110" s="249" t="n">
        <v>16</v>
      </c>
      <c r="B110" s="245" t="s">
        <v>109</v>
      </c>
      <c r="C110" s="208" t="n">
        <v>123018</v>
      </c>
      <c r="D110" s="208" t="n">
        <v>225241</v>
      </c>
      <c r="E110" s="201" t="n">
        <f aca="false">C110/D110*100-100</f>
        <v>-45.3838333163145</v>
      </c>
      <c r="F110" s="208" t="n">
        <v>37194</v>
      </c>
      <c r="G110" s="208" t="n">
        <v>38064</v>
      </c>
      <c r="H110" s="201" t="n">
        <f aca="false">F110/G110*100-100</f>
        <v>-2.28562421185372</v>
      </c>
      <c r="I110" s="208" t="n">
        <v>122722</v>
      </c>
      <c r="J110" s="208" t="n">
        <v>209115</v>
      </c>
      <c r="K110" s="201" t="n">
        <f aca="false">I110/J110*100-100</f>
        <v>-41.3136312555293</v>
      </c>
      <c r="L110" s="208" t="n">
        <v>0</v>
      </c>
      <c r="M110" s="208" t="n">
        <v>0</v>
      </c>
      <c r="N110" s="201" t="n">
        <v>0</v>
      </c>
      <c r="O110" s="252" t="n">
        <v>71</v>
      </c>
      <c r="P110" s="204" t="n">
        <v>65</v>
      </c>
      <c r="Q110" s="252" t="n">
        <v>68</v>
      </c>
      <c r="R110" s="202" t="n">
        <f aca="false">O110*P110</f>
        <v>4615</v>
      </c>
    </row>
    <row r="111" customFormat="false" ht="15" hidden="false" customHeight="false" outlineLevel="0" collapsed="false">
      <c r="A111" s="249" t="n">
        <v>17</v>
      </c>
      <c r="B111" s="245" t="s">
        <v>110</v>
      </c>
      <c r="C111" s="251" t="n">
        <v>284939</v>
      </c>
      <c r="D111" s="250" t="n">
        <v>395081</v>
      </c>
      <c r="E111" s="201" t="n">
        <f aca="false">C111/D111*100-100</f>
        <v>-27.8783338100288</v>
      </c>
      <c r="F111" s="251" t="n">
        <v>71910</v>
      </c>
      <c r="G111" s="251" t="n">
        <v>90136</v>
      </c>
      <c r="H111" s="201" t="n">
        <f aca="false">F111/G111*100-100</f>
        <v>-20.2205556048638</v>
      </c>
      <c r="I111" s="251" t="n">
        <v>192962</v>
      </c>
      <c r="J111" s="251" t="n">
        <v>346122</v>
      </c>
      <c r="K111" s="201" t="n">
        <f aca="false">I111/J111*100-100</f>
        <v>-44.2502932492011</v>
      </c>
      <c r="L111" s="250" t="n">
        <v>0</v>
      </c>
      <c r="M111" s="250" t="n">
        <v>0</v>
      </c>
      <c r="N111" s="201" t="n">
        <v>0</v>
      </c>
      <c r="O111" s="252" t="n">
        <v>175</v>
      </c>
      <c r="P111" s="250" t="n">
        <v>70</v>
      </c>
      <c r="Q111" s="252" t="n">
        <v>171</v>
      </c>
      <c r="R111" s="202" t="n">
        <f aca="false">O111*P111</f>
        <v>12250</v>
      </c>
    </row>
    <row r="112" customFormat="false" ht="15" hidden="false" customHeight="false" outlineLevel="0" collapsed="false">
      <c r="A112" s="249" t="n">
        <v>18</v>
      </c>
      <c r="B112" s="243" t="s">
        <v>111</v>
      </c>
      <c r="C112" s="208" t="n">
        <v>266956</v>
      </c>
      <c r="D112" s="208" t="n">
        <v>213205</v>
      </c>
      <c r="E112" s="201" t="n">
        <f aca="false">C112/D112*100-100</f>
        <v>25.2109472104313</v>
      </c>
      <c r="F112" s="208" t="n">
        <v>31704</v>
      </c>
      <c r="G112" s="208" t="n">
        <v>38904</v>
      </c>
      <c r="H112" s="201" t="n">
        <f aca="false">F112/G112*100-100</f>
        <v>-18.5070943861814</v>
      </c>
      <c r="I112" s="208" t="n">
        <v>266956</v>
      </c>
      <c r="J112" s="208" t="n">
        <v>213205</v>
      </c>
      <c r="K112" s="201" t="n">
        <f aca="false">I112/J112*100-100</f>
        <v>25.2109472104313</v>
      </c>
      <c r="L112" s="208" t="n">
        <v>266956</v>
      </c>
      <c r="M112" s="208" t="n">
        <v>213205</v>
      </c>
      <c r="N112" s="201" t="n">
        <f aca="false">L112/M112*100-100</f>
        <v>25.2109472104313</v>
      </c>
      <c r="O112" s="252" t="n">
        <v>400</v>
      </c>
      <c r="P112" s="250" t="n">
        <v>70</v>
      </c>
      <c r="Q112" s="252" t="n">
        <v>406</v>
      </c>
      <c r="R112" s="202" t="n">
        <f aca="false">O112*P112</f>
        <v>28000</v>
      </c>
    </row>
    <row r="113" customFormat="false" ht="15" hidden="false" customHeight="false" outlineLevel="0" collapsed="false">
      <c r="A113" s="249" t="n">
        <v>19</v>
      </c>
      <c r="B113" s="245" t="s">
        <v>112</v>
      </c>
      <c r="C113" s="200" t="n">
        <v>0</v>
      </c>
      <c r="D113" s="200" t="n">
        <v>0</v>
      </c>
      <c r="E113" s="201" t="n">
        <v>0</v>
      </c>
      <c r="F113" s="200" t="n">
        <v>0</v>
      </c>
      <c r="G113" s="200" t="n">
        <v>0</v>
      </c>
      <c r="H113" s="201" t="n">
        <v>0</v>
      </c>
      <c r="I113" s="200" t="n">
        <v>0</v>
      </c>
      <c r="J113" s="200" t="n">
        <v>0</v>
      </c>
      <c r="K113" s="201" t="n">
        <v>0</v>
      </c>
      <c r="L113" s="200" t="n">
        <v>0</v>
      </c>
      <c r="M113" s="200" t="n">
        <v>0</v>
      </c>
      <c r="N113" s="201" t="n">
        <v>0</v>
      </c>
      <c r="O113" s="203"/>
      <c r="P113" s="204" t="n">
        <v>0</v>
      </c>
      <c r="Q113" s="203" t="n">
        <v>0</v>
      </c>
      <c r="R113" s="202" t="n">
        <f aca="false">O113*P113</f>
        <v>0</v>
      </c>
    </row>
    <row r="114" customFormat="false" ht="15" hidden="false" customHeight="false" outlineLevel="0" collapsed="false">
      <c r="A114" s="249" t="n">
        <v>20</v>
      </c>
      <c r="B114" s="245" t="s">
        <v>113</v>
      </c>
      <c r="C114" s="200" t="n">
        <v>0</v>
      </c>
      <c r="D114" s="200" t="n">
        <v>0</v>
      </c>
      <c r="E114" s="201" t="n">
        <v>0</v>
      </c>
      <c r="F114" s="200" t="n">
        <v>0</v>
      </c>
      <c r="G114" s="200" t="n">
        <v>0</v>
      </c>
      <c r="H114" s="201" t="n">
        <v>0</v>
      </c>
      <c r="I114" s="200" t="n">
        <v>0</v>
      </c>
      <c r="J114" s="200" t="n">
        <v>0</v>
      </c>
      <c r="K114" s="201" t="n">
        <v>0</v>
      </c>
      <c r="L114" s="200" t="n">
        <v>0</v>
      </c>
      <c r="M114" s="200" t="n">
        <v>0</v>
      </c>
      <c r="N114" s="201" t="n">
        <v>0</v>
      </c>
      <c r="O114" s="203"/>
      <c r="P114" s="204" t="n">
        <v>0</v>
      </c>
      <c r="Q114" s="203" t="n">
        <v>0</v>
      </c>
      <c r="R114" s="202" t="n">
        <f aca="false">O114*P114</f>
        <v>0</v>
      </c>
    </row>
    <row r="115" customFormat="false" ht="15" hidden="false" customHeight="false" outlineLevel="0" collapsed="false">
      <c r="A115" s="249" t="n">
        <v>21</v>
      </c>
      <c r="B115" s="245" t="s">
        <v>114</v>
      </c>
      <c r="C115" s="250" t="n">
        <v>27501</v>
      </c>
      <c r="D115" s="250" t="n">
        <v>13808</v>
      </c>
      <c r="E115" s="201" t="n">
        <f aca="false">C115/D115*100-100</f>
        <v>99.1671494785632</v>
      </c>
      <c r="F115" s="250" t="n">
        <v>3006</v>
      </c>
      <c r="G115" s="250" t="n">
        <v>1290</v>
      </c>
      <c r="H115" s="201" t="n">
        <f aca="false">F115/G115*100-100</f>
        <v>133.023255813953</v>
      </c>
      <c r="I115" s="250" t="n">
        <v>27501</v>
      </c>
      <c r="J115" s="250" t="n">
        <v>13808</v>
      </c>
      <c r="K115" s="201" t="n">
        <f aca="false">I115/J115*100-100</f>
        <v>99.1671494785632</v>
      </c>
      <c r="L115" s="250" t="n">
        <v>23641</v>
      </c>
      <c r="M115" s="250" t="n">
        <v>13808</v>
      </c>
      <c r="N115" s="201" t="n">
        <f aca="false">L115/M115*100-100</f>
        <v>71.2123406720742</v>
      </c>
      <c r="O115" s="252" t="n">
        <v>13</v>
      </c>
      <c r="P115" s="250" t="n">
        <v>58</v>
      </c>
      <c r="Q115" s="252" t="n">
        <v>15</v>
      </c>
      <c r="R115" s="202" t="n">
        <f aca="false">O115*P115</f>
        <v>754</v>
      </c>
    </row>
    <row r="116" customFormat="false" ht="15" hidden="false" customHeight="false" outlineLevel="0" collapsed="false">
      <c r="A116" s="249" t="n">
        <v>22</v>
      </c>
      <c r="B116" s="243" t="s">
        <v>115</v>
      </c>
      <c r="C116" s="251" t="n">
        <v>14570</v>
      </c>
      <c r="D116" s="251" t="n">
        <v>10990</v>
      </c>
      <c r="E116" s="201" t="n">
        <f aca="false">C116/D116*100-100</f>
        <v>32.5750682438581</v>
      </c>
      <c r="F116" s="251" t="n">
        <v>4080</v>
      </c>
      <c r="G116" s="251" t="n">
        <v>2940</v>
      </c>
      <c r="H116" s="201" t="n">
        <f aca="false">F116/G116*100-100</f>
        <v>38.7755102040816</v>
      </c>
      <c r="I116" s="251" t="n">
        <v>22086</v>
      </c>
      <c r="J116" s="251" t="n">
        <v>18067</v>
      </c>
      <c r="K116" s="201" t="n">
        <f aca="false">I116/J116*100-100</f>
        <v>22.2449770299441</v>
      </c>
      <c r="L116" s="250" t="n">
        <v>0</v>
      </c>
      <c r="M116" s="251" t="n">
        <v>0</v>
      </c>
      <c r="N116" s="201" t="n">
        <v>0</v>
      </c>
      <c r="O116" s="252" t="n">
        <v>12</v>
      </c>
      <c r="P116" s="250" t="n">
        <v>78</v>
      </c>
      <c r="Q116" s="252" t="n">
        <v>12</v>
      </c>
      <c r="R116" s="202" t="n">
        <f aca="false">O116*P116</f>
        <v>936</v>
      </c>
    </row>
    <row r="117" customFormat="false" ht="15" hidden="false" customHeight="false" outlineLevel="0" collapsed="false">
      <c r="A117" s="249" t="n">
        <v>23</v>
      </c>
      <c r="B117" s="243" t="s">
        <v>116</v>
      </c>
      <c r="C117" s="251" t="n">
        <v>64247</v>
      </c>
      <c r="D117" s="250" t="n">
        <v>51944</v>
      </c>
      <c r="E117" s="201" t="n">
        <v>0</v>
      </c>
      <c r="F117" s="251" t="n">
        <v>16215</v>
      </c>
      <c r="G117" s="251" t="n">
        <v>8097</v>
      </c>
      <c r="H117" s="201" t="n">
        <v>0</v>
      </c>
      <c r="I117" s="251" t="n">
        <v>64835</v>
      </c>
      <c r="J117" s="251" t="n">
        <v>53712</v>
      </c>
      <c r="K117" s="201" t="n">
        <v>0</v>
      </c>
      <c r="L117" s="250" t="n">
        <v>0</v>
      </c>
      <c r="M117" s="250" t="n">
        <v>0</v>
      </c>
      <c r="N117" s="201" t="n">
        <v>0</v>
      </c>
      <c r="O117" s="252" t="n">
        <v>33</v>
      </c>
      <c r="P117" s="250" t="n">
        <v>60</v>
      </c>
      <c r="Q117" s="252" t="n">
        <v>42</v>
      </c>
      <c r="R117" s="202" t="n">
        <f aca="false">O117*P117</f>
        <v>1980</v>
      </c>
    </row>
    <row r="118" customFormat="false" ht="15" hidden="false" customHeight="false" outlineLevel="0" collapsed="false">
      <c r="A118" s="249" t="n">
        <v>24</v>
      </c>
      <c r="B118" s="245" t="s">
        <v>117</v>
      </c>
      <c r="C118" s="250" t="n">
        <v>29220</v>
      </c>
      <c r="D118" s="250" t="n">
        <v>14280</v>
      </c>
      <c r="E118" s="201" t="n">
        <f aca="false">C118/D118*100-100</f>
        <v>104.621848739496</v>
      </c>
      <c r="F118" s="250" t="n">
        <v>6240</v>
      </c>
      <c r="G118" s="251" t="n">
        <v>1979</v>
      </c>
      <c r="H118" s="201" t="n">
        <v>0</v>
      </c>
      <c r="I118" s="250" t="n">
        <v>66663</v>
      </c>
      <c r="J118" s="250" t="n">
        <v>85477</v>
      </c>
      <c r="K118" s="201" t="n">
        <f aca="false">I118/J118*100-100</f>
        <v>-22.0105993425132</v>
      </c>
      <c r="L118" s="254" t="n">
        <v>0</v>
      </c>
      <c r="M118" s="250" t="n">
        <v>0</v>
      </c>
      <c r="N118" s="201" t="n">
        <v>0</v>
      </c>
      <c r="O118" s="252" t="n">
        <v>55</v>
      </c>
      <c r="P118" s="250" t="n">
        <v>60</v>
      </c>
      <c r="Q118" s="252" t="n">
        <v>55</v>
      </c>
      <c r="R118" s="202" t="n">
        <f aca="false">O118*P118</f>
        <v>3300</v>
      </c>
    </row>
    <row r="119" customFormat="false" ht="15" hidden="false" customHeight="false" outlineLevel="0" collapsed="false">
      <c r="A119" s="249" t="n">
        <v>25</v>
      </c>
      <c r="B119" s="245" t="s">
        <v>118</v>
      </c>
      <c r="C119" s="250" t="n">
        <v>22684</v>
      </c>
      <c r="D119" s="250" t="n">
        <v>17500</v>
      </c>
      <c r="E119" s="201" t="n">
        <f aca="false">C119/D119*100-100</f>
        <v>29.6228571428572</v>
      </c>
      <c r="F119" s="250" t="n">
        <v>8046</v>
      </c>
      <c r="G119" s="250" t="n">
        <v>2390</v>
      </c>
      <c r="H119" s="201" t="n">
        <f aca="false">F119/G119*100-100</f>
        <v>236.652719665272</v>
      </c>
      <c r="I119" s="250" t="n">
        <v>23121</v>
      </c>
      <c r="J119" s="250" t="n">
        <v>17177</v>
      </c>
      <c r="K119" s="201" t="n">
        <f aca="false">I119/J119*100-100</f>
        <v>34.6044128776853</v>
      </c>
      <c r="L119" s="250" t="n">
        <v>0</v>
      </c>
      <c r="M119" s="250" t="n">
        <v>0</v>
      </c>
      <c r="N119" s="201" t="n">
        <v>0</v>
      </c>
      <c r="O119" s="252" t="n">
        <v>22</v>
      </c>
      <c r="P119" s="250" t="n">
        <v>66</v>
      </c>
      <c r="Q119" s="252" t="n">
        <v>22</v>
      </c>
      <c r="R119" s="202" t="n">
        <f aca="false">O119*P119</f>
        <v>1452</v>
      </c>
    </row>
    <row r="120" customFormat="false" ht="15" hidden="false" customHeight="false" outlineLevel="0" collapsed="false">
      <c r="A120" s="215" t="s">
        <v>119</v>
      </c>
      <c r="B120" s="215" t="s">
        <v>119</v>
      </c>
      <c r="C120" s="216" t="n">
        <f aca="false">SUM(C95:C119)</f>
        <v>1747739</v>
      </c>
      <c r="D120" s="216" t="n">
        <f aca="false">SUM(D95:D119)</f>
        <v>1672854</v>
      </c>
      <c r="E120" s="313" t="n">
        <f aca="false">C120/D120*100-100</f>
        <v>4.47648151004212</v>
      </c>
      <c r="F120" s="216" t="n">
        <f aca="false">SUM(F95:F119)</f>
        <v>337154</v>
      </c>
      <c r="G120" s="216" t="n">
        <f aca="false">SUM(G95:G119)</f>
        <v>325365</v>
      </c>
      <c r="H120" s="313" t="n">
        <f aca="false">F120/G120*100-100</f>
        <v>3.62331535352605</v>
      </c>
      <c r="I120" s="216" t="n">
        <f aca="false">SUM(I95:I119)</f>
        <v>1640451</v>
      </c>
      <c r="J120" s="216" t="n">
        <f aca="false">SUM(J95:J119)</f>
        <v>1698120</v>
      </c>
      <c r="K120" s="313" t="n">
        <f aca="false">I120/J120*100-100</f>
        <v>-3.39604974913433</v>
      </c>
      <c r="L120" s="216" t="n">
        <f aca="false">SUM(L95:L119)</f>
        <v>953986</v>
      </c>
      <c r="M120" s="216" t="n">
        <f aca="false">SUM(M95:M119)</f>
        <v>831564</v>
      </c>
      <c r="N120" s="313" t="n">
        <f aca="false">L120/M120*100-100</f>
        <v>14.7218975328417</v>
      </c>
      <c r="O120" s="216" t="n">
        <f aca="false">SUM(O95:O119)</f>
        <v>1464</v>
      </c>
      <c r="P120" s="217" t="n">
        <f aca="false">R120/O120</f>
        <v>77.4303278688525</v>
      </c>
      <c r="Q120" s="216" t="n">
        <f aca="false">SUM(Q95:Q119)</f>
        <v>1855</v>
      </c>
      <c r="R120" s="232" t="n">
        <f aca="false">SUM(R95:R119)</f>
        <v>113358</v>
      </c>
    </row>
    <row r="121" customFormat="false" ht="15" hidden="false" customHeight="false" outlineLevel="0" collapsed="false">
      <c r="A121" s="249"/>
      <c r="B121" s="245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51"/>
      <c r="O121" s="203"/>
      <c r="P121" s="204"/>
      <c r="Q121" s="203"/>
      <c r="R121" s="202"/>
    </row>
    <row r="122" customFormat="false" ht="15" hidden="false" customHeight="false" outlineLevel="0" collapsed="false">
      <c r="A122" s="255"/>
      <c r="B122" s="255"/>
      <c r="C122" s="256"/>
      <c r="D122" s="256"/>
      <c r="E122" s="257"/>
      <c r="F122" s="256"/>
      <c r="G122" s="256"/>
      <c r="H122" s="257"/>
      <c r="I122" s="256"/>
      <c r="J122" s="256"/>
      <c r="K122" s="257"/>
      <c r="L122" s="256"/>
      <c r="M122" s="256"/>
      <c r="N122" s="257"/>
      <c r="O122" s="256"/>
      <c r="P122" s="257"/>
      <c r="Q122" s="256"/>
      <c r="R122" s="202" t="n">
        <f aca="false">O122*P122</f>
        <v>0</v>
      </c>
    </row>
    <row r="123" customFormat="false" ht="15" hidden="false" customHeight="false" outlineLevel="0" collapsed="false">
      <c r="A123" s="195"/>
      <c r="B123" s="195" t="s">
        <v>120</v>
      </c>
      <c r="C123" s="195" t="n">
        <v>3</v>
      </c>
      <c r="D123" s="195" t="n">
        <v>4</v>
      </c>
      <c r="E123" s="196" t="n">
        <v>5</v>
      </c>
      <c r="F123" s="195" t="n">
        <v>6</v>
      </c>
      <c r="G123" s="195" t="n">
        <v>7</v>
      </c>
      <c r="H123" s="195" t="n">
        <v>8</v>
      </c>
      <c r="I123" s="195" t="n">
        <v>9</v>
      </c>
      <c r="J123" s="195" t="n">
        <v>10</v>
      </c>
      <c r="K123" s="195" t="n">
        <v>11</v>
      </c>
      <c r="L123" s="195" t="n">
        <v>12</v>
      </c>
      <c r="M123" s="195" t="n">
        <v>13</v>
      </c>
      <c r="N123" s="195" t="n">
        <v>14</v>
      </c>
      <c r="O123" s="195" t="n">
        <v>15</v>
      </c>
      <c r="P123" s="196" t="n">
        <v>16</v>
      </c>
      <c r="Q123" s="195" t="n">
        <v>15</v>
      </c>
      <c r="R123" s="202" t="n">
        <f aca="false">O123*P123</f>
        <v>240</v>
      </c>
    </row>
    <row r="124" customFormat="false" ht="15" hidden="false" customHeight="false" outlineLevel="0" collapsed="false">
      <c r="A124" s="210" t="n">
        <v>1</v>
      </c>
      <c r="B124" s="258" t="s">
        <v>121</v>
      </c>
      <c r="C124" s="200" t="n">
        <v>0</v>
      </c>
      <c r="D124" s="200" t="n">
        <v>0</v>
      </c>
      <c r="E124" s="201" t="n">
        <v>0</v>
      </c>
      <c r="F124" s="200"/>
      <c r="G124" s="200"/>
      <c r="H124" s="201" t="n">
        <v>0</v>
      </c>
      <c r="I124" s="200"/>
      <c r="J124" s="200"/>
      <c r="K124" s="201" t="n">
        <v>0</v>
      </c>
      <c r="L124" s="200"/>
      <c r="M124" s="200"/>
      <c r="N124" s="201" t="n">
        <v>0</v>
      </c>
      <c r="O124" s="203"/>
      <c r="P124" s="204" t="n">
        <v>0</v>
      </c>
      <c r="Q124" s="203" t="n">
        <v>0</v>
      </c>
      <c r="R124" s="202" t="n">
        <f aca="false">O124*P124</f>
        <v>0</v>
      </c>
    </row>
    <row r="125" s="211" customFormat="true" ht="15" hidden="false" customHeight="false" outlineLevel="0" collapsed="false">
      <c r="A125" s="210" t="n">
        <v>2</v>
      </c>
      <c r="B125" s="258" t="s">
        <v>122</v>
      </c>
      <c r="C125" s="203" t="n">
        <v>74334</v>
      </c>
      <c r="D125" s="203" t="n">
        <v>145604</v>
      </c>
      <c r="E125" s="201" t="n">
        <f aca="false">C125/D125*100-100</f>
        <v>-48.9478311035411</v>
      </c>
      <c r="F125" s="203" t="n">
        <v>21876</v>
      </c>
      <c r="G125" s="203" t="n">
        <v>21249</v>
      </c>
      <c r="H125" s="201" t="n">
        <f aca="false">F125/G125*100-100</f>
        <v>2.95072709303967</v>
      </c>
      <c r="I125" s="203" t="n">
        <v>35390</v>
      </c>
      <c r="J125" s="203" t="n">
        <v>177344</v>
      </c>
      <c r="K125" s="201" t="n">
        <f aca="false">I125/J125*100-100</f>
        <v>-80.0444334175388</v>
      </c>
      <c r="L125" s="203" t="n">
        <v>0</v>
      </c>
      <c r="M125" s="203" t="n">
        <v>0</v>
      </c>
      <c r="N125" s="192" t="n">
        <v>0</v>
      </c>
      <c r="O125" s="219" t="n">
        <v>74</v>
      </c>
      <c r="P125" s="204" t="n">
        <v>80</v>
      </c>
      <c r="Q125" s="219" t="n">
        <v>74</v>
      </c>
      <c r="R125" s="202" t="n">
        <f aca="false">O125*P125</f>
        <v>5920</v>
      </c>
    </row>
    <row r="126" customFormat="false" ht="15" hidden="false" customHeight="false" outlineLevel="0" collapsed="false">
      <c r="A126" s="210" t="n">
        <v>3</v>
      </c>
      <c r="B126" s="258" t="s">
        <v>123</v>
      </c>
      <c r="C126" s="200" t="n">
        <v>0</v>
      </c>
      <c r="D126" s="200" t="n">
        <v>0</v>
      </c>
      <c r="E126" s="201" t="n">
        <v>0</v>
      </c>
      <c r="F126" s="200" t="n">
        <v>0</v>
      </c>
      <c r="G126" s="200" t="n">
        <v>0</v>
      </c>
      <c r="H126" s="201" t="n">
        <v>0</v>
      </c>
      <c r="I126" s="200" t="n">
        <v>0</v>
      </c>
      <c r="J126" s="200" t="n">
        <v>0</v>
      </c>
      <c r="K126" s="201" t="n">
        <v>0</v>
      </c>
      <c r="L126" s="200" t="n">
        <v>0</v>
      </c>
      <c r="M126" s="200" t="n">
        <v>0</v>
      </c>
      <c r="N126" s="201" t="n">
        <v>0</v>
      </c>
      <c r="O126" s="203"/>
      <c r="P126" s="204" t="n">
        <v>0</v>
      </c>
      <c r="Q126" s="203" t="n">
        <v>0</v>
      </c>
      <c r="R126" s="202" t="n">
        <f aca="false">O126*P126</f>
        <v>0</v>
      </c>
    </row>
    <row r="127" customFormat="false" ht="15" hidden="false" customHeight="false" outlineLevel="0" collapsed="false">
      <c r="A127" s="210" t="n">
        <v>4</v>
      </c>
      <c r="B127" s="258" t="s">
        <v>124</v>
      </c>
      <c r="C127" s="200" t="n">
        <v>0</v>
      </c>
      <c r="D127" s="200" t="n">
        <v>0</v>
      </c>
      <c r="E127" s="201" t="n">
        <v>0</v>
      </c>
      <c r="F127" s="200" t="n">
        <v>0</v>
      </c>
      <c r="G127" s="200" t="n">
        <v>0</v>
      </c>
      <c r="H127" s="201" t="n">
        <v>0</v>
      </c>
      <c r="I127" s="200" t="n">
        <v>0</v>
      </c>
      <c r="J127" s="200" t="n">
        <v>0</v>
      </c>
      <c r="K127" s="201" t="n">
        <v>0</v>
      </c>
      <c r="L127" s="200" t="n">
        <v>0</v>
      </c>
      <c r="M127" s="200" t="n">
        <v>0</v>
      </c>
      <c r="N127" s="201" t="n">
        <v>0</v>
      </c>
      <c r="O127" s="203"/>
      <c r="P127" s="204" t="n">
        <v>0</v>
      </c>
      <c r="Q127" s="203" t="n">
        <v>0</v>
      </c>
      <c r="R127" s="202" t="n">
        <f aca="false">O127*P127</f>
        <v>0</v>
      </c>
    </row>
    <row r="128" customFormat="false" ht="15" hidden="false" customHeight="false" outlineLevel="0" collapsed="false">
      <c r="A128" s="210" t="n">
        <v>5</v>
      </c>
      <c r="B128" s="259" t="s">
        <v>125</v>
      </c>
      <c r="C128" s="251" t="n">
        <v>1050</v>
      </c>
      <c r="D128" s="251" t="n">
        <v>2940</v>
      </c>
      <c r="E128" s="201" t="n">
        <v>0</v>
      </c>
      <c r="F128" s="251" t="n">
        <v>0</v>
      </c>
      <c r="G128" s="251" t="n">
        <v>0</v>
      </c>
      <c r="H128" s="201" t="n">
        <v>0</v>
      </c>
      <c r="I128" s="251" t="n">
        <v>3989</v>
      </c>
      <c r="J128" s="251" t="n">
        <v>4316</v>
      </c>
      <c r="K128" s="201" t="n">
        <f aca="false">I128/J128*100-100</f>
        <v>-7.57645968489342</v>
      </c>
      <c r="L128" s="251" t="n">
        <v>0</v>
      </c>
      <c r="M128" s="251" t="n">
        <v>0</v>
      </c>
      <c r="N128" s="251" t="n">
        <v>0</v>
      </c>
      <c r="O128" s="219" t="n">
        <v>8</v>
      </c>
      <c r="P128" s="261" t="n">
        <v>70</v>
      </c>
      <c r="Q128" s="219" t="n">
        <v>8</v>
      </c>
      <c r="R128" s="202" t="n">
        <f aca="false">O128*P128</f>
        <v>560</v>
      </c>
    </row>
    <row r="129" customFormat="false" ht="15" hidden="false" customHeight="false" outlineLevel="0" collapsed="false">
      <c r="A129" s="210" t="n">
        <v>6</v>
      </c>
      <c r="B129" s="259" t="s">
        <v>126</v>
      </c>
      <c r="C129" s="200" t="n">
        <v>0</v>
      </c>
      <c r="D129" s="200" t="n">
        <v>0</v>
      </c>
      <c r="E129" s="201" t="n">
        <v>0</v>
      </c>
      <c r="F129" s="200" t="n">
        <v>0</v>
      </c>
      <c r="G129" s="200" t="n">
        <v>0</v>
      </c>
      <c r="H129" s="201" t="n">
        <v>0</v>
      </c>
      <c r="I129" s="200" t="n">
        <v>0</v>
      </c>
      <c r="J129" s="200" t="n">
        <v>0</v>
      </c>
      <c r="K129" s="201" t="n">
        <v>0</v>
      </c>
      <c r="L129" s="200" t="n">
        <v>0</v>
      </c>
      <c r="M129" s="200" t="n">
        <v>0</v>
      </c>
      <c r="N129" s="201" t="n">
        <v>0</v>
      </c>
      <c r="O129" s="203"/>
      <c r="P129" s="204" t="n">
        <v>0</v>
      </c>
      <c r="Q129" s="203" t="n">
        <v>0</v>
      </c>
      <c r="R129" s="202" t="n">
        <f aca="false">O129*P129</f>
        <v>0</v>
      </c>
    </row>
    <row r="130" customFormat="false" ht="15" hidden="false" customHeight="false" outlineLevel="0" collapsed="false">
      <c r="A130" s="210" t="n">
        <v>7</v>
      </c>
      <c r="B130" s="258" t="s">
        <v>127</v>
      </c>
      <c r="C130" s="208" t="n">
        <v>16028</v>
      </c>
      <c r="D130" s="208" t="n">
        <v>10139</v>
      </c>
      <c r="E130" s="201" t="n">
        <f aca="false">C130/D130*100-100</f>
        <v>58.0826511490285</v>
      </c>
      <c r="F130" s="208" t="n">
        <v>1421</v>
      </c>
      <c r="G130" s="208" t="n">
        <v>2742</v>
      </c>
      <c r="H130" s="201" t="n">
        <v>0</v>
      </c>
      <c r="I130" s="208" t="n">
        <v>16028</v>
      </c>
      <c r="J130" s="208" t="n">
        <v>10139</v>
      </c>
      <c r="K130" s="201" t="n">
        <f aca="false">I130/J130*100-100</f>
        <v>58.0826511490285</v>
      </c>
      <c r="L130" s="208" t="n">
        <v>0</v>
      </c>
      <c r="M130" s="208" t="n">
        <v>0</v>
      </c>
      <c r="N130" s="192" t="n">
        <v>0</v>
      </c>
      <c r="O130" s="219" t="n">
        <v>14</v>
      </c>
      <c r="P130" s="250" t="n">
        <v>62</v>
      </c>
      <c r="Q130" s="219" t="n">
        <v>14</v>
      </c>
      <c r="R130" s="202" t="n">
        <f aca="false">O130*P130</f>
        <v>868</v>
      </c>
    </row>
    <row r="131" customFormat="false" ht="15" hidden="false" customHeight="false" outlineLevel="0" collapsed="false">
      <c r="A131" s="215" t="s">
        <v>128</v>
      </c>
      <c r="B131" s="215" t="s">
        <v>128</v>
      </c>
      <c r="C131" s="216" t="n">
        <f aca="false">SUM(C124:C130)</f>
        <v>91412</v>
      </c>
      <c r="D131" s="216" t="n">
        <f aca="false">SUM(D124:D130)</f>
        <v>158683</v>
      </c>
      <c r="E131" s="313" t="n">
        <f aca="false">C131/D131*100-100</f>
        <v>-42.3933250568744</v>
      </c>
      <c r="F131" s="216" t="n">
        <f aca="false">SUM(F124:F130)</f>
        <v>23297</v>
      </c>
      <c r="G131" s="216" t="n">
        <f aca="false">SUM(G124:G130)</f>
        <v>23991</v>
      </c>
      <c r="H131" s="313" t="n">
        <f aca="false">F131/G131*100-100</f>
        <v>-2.89275144845985</v>
      </c>
      <c r="I131" s="216" t="n">
        <f aca="false">SUM(I124:I130)</f>
        <v>55407</v>
      </c>
      <c r="J131" s="216" t="n">
        <f aca="false">SUM(J124:J130)</f>
        <v>191799</v>
      </c>
      <c r="K131" s="313" t="n">
        <f aca="false">I131/J131*100-100</f>
        <v>-71.1119453177545</v>
      </c>
      <c r="L131" s="216" t="n">
        <f aca="false">SUM(L124:L130)</f>
        <v>0</v>
      </c>
      <c r="M131" s="216" t="n">
        <f aca="false">SUM(M124:M130)</f>
        <v>0</v>
      </c>
      <c r="N131" s="237" t="n">
        <v>0</v>
      </c>
      <c r="O131" s="216" t="n">
        <f aca="false">SUM(O124:O130)</f>
        <v>96</v>
      </c>
      <c r="P131" s="237" t="n">
        <f aca="false">R131/O131</f>
        <v>76.5416666666667</v>
      </c>
      <c r="Q131" s="216" t="n">
        <f aca="false">SUM(Q124:Q130)</f>
        <v>96</v>
      </c>
      <c r="R131" s="232" t="n">
        <f aca="false">SUM(R124:R130)</f>
        <v>7348</v>
      </c>
    </row>
    <row r="132" customFormat="false" ht="10.5" hidden="false" customHeight="true" outlineLevel="0" collapsed="false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192"/>
      <c r="L132" s="203"/>
      <c r="M132" s="203"/>
      <c r="N132" s="203"/>
      <c r="O132" s="203"/>
      <c r="P132" s="219"/>
      <c r="Q132" s="203"/>
      <c r="R132" s="197"/>
    </row>
    <row r="133" customFormat="false" ht="15" hidden="false" customHeight="false" outlineLevel="0" collapsed="false">
      <c r="A133" s="190" t="s">
        <v>129</v>
      </c>
      <c r="B133" s="190"/>
      <c r="C133" s="195" t="n">
        <v>3</v>
      </c>
      <c r="D133" s="195" t="n">
        <v>4</v>
      </c>
      <c r="E133" s="196" t="n">
        <v>5</v>
      </c>
      <c r="F133" s="195" t="n">
        <v>6</v>
      </c>
      <c r="G133" s="195" t="n">
        <v>7</v>
      </c>
      <c r="H133" s="195" t="n">
        <v>8</v>
      </c>
      <c r="I133" s="195" t="n">
        <v>9</v>
      </c>
      <c r="J133" s="195" t="n">
        <v>10</v>
      </c>
      <c r="K133" s="195" t="n">
        <v>11</v>
      </c>
      <c r="L133" s="195" t="n">
        <v>12</v>
      </c>
      <c r="M133" s="195" t="n">
        <v>13</v>
      </c>
      <c r="N133" s="195" t="n">
        <v>14</v>
      </c>
      <c r="O133" s="195" t="n">
        <v>15</v>
      </c>
      <c r="P133" s="196" t="n">
        <v>16</v>
      </c>
      <c r="Q133" s="195" t="n">
        <v>15</v>
      </c>
      <c r="R133" s="189"/>
    </row>
    <row r="134" customFormat="false" ht="15" hidden="false" customHeight="false" outlineLevel="0" collapsed="false">
      <c r="A134" s="262" t="n">
        <v>1</v>
      </c>
      <c r="B134" s="243" t="s">
        <v>130</v>
      </c>
      <c r="C134" s="219" t="n">
        <v>62203096</v>
      </c>
      <c r="D134" s="219" t="n">
        <v>57063558</v>
      </c>
      <c r="E134" s="201" t="n">
        <f aca="false">C134/D134*100-100</f>
        <v>9.00669039950155</v>
      </c>
      <c r="F134" s="219" t="n">
        <v>10565052</v>
      </c>
      <c r="G134" s="219" t="n">
        <v>10402618</v>
      </c>
      <c r="H134" s="201" t="n">
        <f aca="false">F134/G134*100-100</f>
        <v>1.56147231398865</v>
      </c>
      <c r="I134" s="262" t="n">
        <v>60312197</v>
      </c>
      <c r="J134" s="262" t="n">
        <v>57237771</v>
      </c>
      <c r="K134" s="201" t="n">
        <f aca="false">I134/J134*100-100</f>
        <v>5.37132377150047</v>
      </c>
      <c r="L134" s="262" t="n">
        <v>31239186</v>
      </c>
      <c r="M134" s="262" t="n">
        <v>26764088</v>
      </c>
      <c r="N134" s="201" t="n">
        <f aca="false">L134/M134*100-100</f>
        <v>16.7205323790596</v>
      </c>
      <c r="O134" s="203" t="n">
        <v>2968</v>
      </c>
      <c r="P134" s="219" t="n">
        <v>145</v>
      </c>
      <c r="Q134" s="203" t="n">
        <v>2971</v>
      </c>
      <c r="R134" s="202" t="n">
        <f aca="false">O134*P134</f>
        <v>430360</v>
      </c>
    </row>
    <row r="135" customFormat="false" ht="15" hidden="false" customHeight="false" outlineLevel="0" collapsed="false">
      <c r="A135" s="262" t="n">
        <v>2</v>
      </c>
      <c r="B135" s="243" t="s">
        <v>131</v>
      </c>
      <c r="C135" s="219" t="n">
        <v>12448877</v>
      </c>
      <c r="D135" s="219" t="n">
        <v>13069111</v>
      </c>
      <c r="E135" s="201" t="n">
        <f aca="false">C135/D135*100-100</f>
        <v>-4.74580099595144</v>
      </c>
      <c r="F135" s="219" t="n">
        <v>2377007</v>
      </c>
      <c r="G135" s="219" t="n">
        <v>2328976</v>
      </c>
      <c r="H135" s="201" t="n">
        <f aca="false">F135/G135*100-100</f>
        <v>2.06232266884673</v>
      </c>
      <c r="I135" s="262" t="n">
        <v>9470436</v>
      </c>
      <c r="J135" s="262" t="n">
        <v>12177601</v>
      </c>
      <c r="K135" s="201" t="n">
        <f aca="false">I135/J135*100-100</f>
        <v>-22.2306922356875</v>
      </c>
      <c r="L135" s="262" t="n">
        <v>9470436</v>
      </c>
      <c r="M135" s="262" t="n">
        <v>12177601</v>
      </c>
      <c r="N135" s="201" t="n">
        <f aca="false">L135/M135*100-100</f>
        <v>-22.2306922356875</v>
      </c>
      <c r="O135" s="203"/>
      <c r="P135" s="219" t="n">
        <v>120</v>
      </c>
      <c r="Q135" s="203" t="n">
        <v>1002</v>
      </c>
      <c r="R135" s="202" t="n">
        <f aca="false">O135*P135</f>
        <v>0</v>
      </c>
    </row>
    <row r="136" customFormat="false" ht="15" hidden="false" customHeight="false" outlineLevel="0" collapsed="false">
      <c r="A136" s="262" t="n">
        <v>3</v>
      </c>
      <c r="B136" s="243" t="s">
        <v>132</v>
      </c>
      <c r="C136" s="219" t="n">
        <v>12926079</v>
      </c>
      <c r="D136" s="219" t="n">
        <v>12195321</v>
      </c>
      <c r="E136" s="201" t="n">
        <f aca="false">C136/D136*100-100</f>
        <v>5.99211779665332</v>
      </c>
      <c r="F136" s="219" t="n">
        <v>3034000</v>
      </c>
      <c r="G136" s="219" t="n">
        <v>1370000</v>
      </c>
      <c r="H136" s="201" t="n">
        <f aca="false">F136/G136*100-100</f>
        <v>121.459854014599</v>
      </c>
      <c r="I136" s="262" t="n">
        <v>9407515</v>
      </c>
      <c r="J136" s="262" t="n">
        <v>8892578</v>
      </c>
      <c r="K136" s="201" t="n">
        <f aca="false">I136/J136*100-100</f>
        <v>5.790637990468</v>
      </c>
      <c r="L136" s="262" t="n">
        <v>9407505</v>
      </c>
      <c r="M136" s="262" t="n">
        <f aca="false">1958616+6933962</f>
        <v>8892578</v>
      </c>
      <c r="N136" s="201" t="n">
        <f aca="false">L136/M136*100-100</f>
        <v>5.79052553713895</v>
      </c>
      <c r="O136" s="203" t="n">
        <v>1087</v>
      </c>
      <c r="P136" s="236" t="n">
        <v>306</v>
      </c>
      <c r="Q136" s="203" t="n">
        <v>1202</v>
      </c>
      <c r="R136" s="202" t="n">
        <f aca="false">O136*P136</f>
        <v>332622</v>
      </c>
    </row>
    <row r="137" customFormat="false" ht="15" hidden="false" customHeight="false" outlineLevel="0" collapsed="false">
      <c r="A137" s="262" t="n">
        <v>4</v>
      </c>
      <c r="B137" s="243" t="s">
        <v>133</v>
      </c>
      <c r="C137" s="236" t="n">
        <v>2403861</v>
      </c>
      <c r="D137" s="236" t="n">
        <v>2344367</v>
      </c>
      <c r="E137" s="201" t="n">
        <f aca="false">C137/D137*100-100</f>
        <v>2.53774259746875</v>
      </c>
      <c r="F137" s="203" t="n">
        <v>344823</v>
      </c>
      <c r="G137" s="203" t="n">
        <v>465521</v>
      </c>
      <c r="H137" s="201" t="n">
        <f aca="false">F137/G137*100-100</f>
        <v>-25.9275091778889</v>
      </c>
      <c r="I137" s="203" t="n">
        <v>2573274</v>
      </c>
      <c r="J137" s="203" t="n">
        <v>2044065</v>
      </c>
      <c r="K137" s="201" t="n">
        <f aca="false">I137/J137*100-100</f>
        <v>25.8900279589935</v>
      </c>
      <c r="L137" s="203" t="n">
        <v>2573274</v>
      </c>
      <c r="M137" s="203" t="n">
        <v>2044065</v>
      </c>
      <c r="N137" s="201" t="n">
        <f aca="false">L137/M137*100-100</f>
        <v>25.8900279589935</v>
      </c>
      <c r="O137" s="203" t="n">
        <v>504</v>
      </c>
      <c r="P137" s="219" t="n">
        <v>150</v>
      </c>
      <c r="Q137" s="203" t="n">
        <v>519</v>
      </c>
      <c r="R137" s="202" t="n">
        <f aca="false">O137*P137</f>
        <v>75600</v>
      </c>
    </row>
    <row r="138" customFormat="false" ht="15" hidden="false" customHeight="false" outlineLevel="0" collapsed="false">
      <c r="A138" s="262" t="n">
        <v>5</v>
      </c>
      <c r="B138" s="243" t="s">
        <v>134</v>
      </c>
      <c r="C138" s="203" t="n">
        <v>1806944</v>
      </c>
      <c r="D138" s="203" t="n">
        <v>2024468</v>
      </c>
      <c r="E138" s="201" t="n">
        <f aca="false">C138/D138*100-100</f>
        <v>-10.7447487438675</v>
      </c>
      <c r="F138" s="203" t="n">
        <v>379063</v>
      </c>
      <c r="G138" s="203" t="n">
        <v>294903</v>
      </c>
      <c r="H138" s="201" t="n">
        <f aca="false">F138/G138*100-100</f>
        <v>28.5381973055547</v>
      </c>
      <c r="I138" s="203" t="n">
        <v>1840606</v>
      </c>
      <c r="J138" s="203" t="n">
        <v>1895252</v>
      </c>
      <c r="K138" s="201" t="n">
        <f aca="false">I138/J138*100-100</f>
        <v>-2.88331050435509</v>
      </c>
      <c r="L138" s="203" t="n">
        <v>1840606</v>
      </c>
      <c r="M138" s="203" t="n">
        <v>1895252</v>
      </c>
      <c r="N138" s="201" t="n">
        <f aca="false">L138/M138*100-100</f>
        <v>-2.88331050435509</v>
      </c>
      <c r="O138" s="203" t="n">
        <v>427</v>
      </c>
      <c r="P138" s="204" t="n">
        <v>221</v>
      </c>
      <c r="Q138" s="203" t="n">
        <v>434</v>
      </c>
      <c r="R138" s="202" t="n">
        <f aca="false">O138*P138</f>
        <v>94367</v>
      </c>
    </row>
    <row r="139" customFormat="false" ht="15" hidden="false" customHeight="false" outlineLevel="0" collapsed="false">
      <c r="A139" s="215" t="s">
        <v>135</v>
      </c>
      <c r="B139" s="215" t="s">
        <v>136</v>
      </c>
      <c r="C139" s="237" t="n">
        <f aca="false">SUM(C134:C138)</f>
        <v>91788857</v>
      </c>
      <c r="D139" s="237" t="n">
        <f aca="false">SUM(D134:D138)</f>
        <v>86696825</v>
      </c>
      <c r="E139" s="313" t="n">
        <f aca="false">C139/D139*100-100</f>
        <v>5.87337771596594</v>
      </c>
      <c r="F139" s="237" t="n">
        <f aca="false">SUM(F134:F138)</f>
        <v>16699945</v>
      </c>
      <c r="G139" s="237" t="n">
        <f aca="false">SUM(G134:G138)</f>
        <v>14862018</v>
      </c>
      <c r="H139" s="313" t="n">
        <f aca="false">F139/G139*100-100</f>
        <v>12.3666045889596</v>
      </c>
      <c r="I139" s="237" t="n">
        <f aca="false">SUM(I134:I138)</f>
        <v>83604028</v>
      </c>
      <c r="J139" s="237" t="n">
        <f aca="false">SUM(J134:J138)</f>
        <v>82247267</v>
      </c>
      <c r="K139" s="313" t="n">
        <f aca="false">I139/J139*100-100</f>
        <v>1.64961226006453</v>
      </c>
      <c r="L139" s="237" t="n">
        <f aca="false">SUM(L134:L138)</f>
        <v>54531007</v>
      </c>
      <c r="M139" s="237" t="n">
        <f aca="false">SUM(M134:M138)</f>
        <v>51773584</v>
      </c>
      <c r="N139" s="313" t="n">
        <f aca="false">L139/M139*100-100</f>
        <v>5.32592644156141</v>
      </c>
      <c r="O139" s="237" t="n">
        <f aca="false">SUM(O134:O138)</f>
        <v>4986</v>
      </c>
      <c r="P139" s="237" t="n">
        <f aca="false">R139/O139</f>
        <v>187.113718411552</v>
      </c>
      <c r="Q139" s="237" t="n">
        <f aca="false">SUM(Q134:Q138)</f>
        <v>6128</v>
      </c>
      <c r="R139" s="237" t="n">
        <f aca="false">SUM(R134:R138)</f>
        <v>932949</v>
      </c>
    </row>
    <row r="140" customFormat="false" ht="10.5" hidden="false" customHeight="true" outlineLevel="0" collapsed="false">
      <c r="A140" s="263"/>
      <c r="B140" s="263"/>
      <c r="C140" s="264"/>
      <c r="D140" s="264"/>
      <c r="E140" s="265"/>
      <c r="F140" s="266"/>
      <c r="G140" s="266"/>
      <c r="H140" s="265"/>
      <c r="I140" s="266"/>
      <c r="J140" s="266"/>
      <c r="K140" s="265"/>
      <c r="L140" s="266"/>
      <c r="M140" s="266"/>
      <c r="N140" s="265"/>
      <c r="O140" s="266"/>
      <c r="P140" s="264"/>
      <c r="Q140" s="266"/>
      <c r="R140" s="267"/>
    </row>
    <row r="141" customFormat="false" ht="15" hidden="false" customHeight="false" outlineLevel="0" collapsed="false">
      <c r="A141" s="263"/>
      <c r="B141" s="263" t="s">
        <v>137</v>
      </c>
      <c r="C141" s="195" t="n">
        <v>3</v>
      </c>
      <c r="D141" s="195" t="n">
        <v>4</v>
      </c>
      <c r="E141" s="196" t="n">
        <v>5</v>
      </c>
      <c r="F141" s="195" t="n">
        <v>6</v>
      </c>
      <c r="G141" s="195" t="n">
        <v>7</v>
      </c>
      <c r="H141" s="195" t="n">
        <v>8</v>
      </c>
      <c r="I141" s="195" t="n">
        <v>9</v>
      </c>
      <c r="J141" s="195" t="n">
        <v>10</v>
      </c>
      <c r="K141" s="195" t="n">
        <v>11</v>
      </c>
      <c r="L141" s="195" t="n">
        <v>12</v>
      </c>
      <c r="M141" s="195" t="n">
        <v>13</v>
      </c>
      <c r="N141" s="195" t="n">
        <v>14</v>
      </c>
      <c r="O141" s="195" t="n">
        <v>15</v>
      </c>
      <c r="P141" s="196" t="n">
        <v>16</v>
      </c>
      <c r="Q141" s="195" t="n">
        <v>15</v>
      </c>
      <c r="R141" s="267"/>
    </row>
    <row r="142" customFormat="false" ht="15" hidden="false" customHeight="false" outlineLevel="0" collapsed="false">
      <c r="A142" s="262" t="n">
        <v>6</v>
      </c>
      <c r="B142" s="243" t="s">
        <v>138</v>
      </c>
      <c r="C142" s="219" t="n">
        <v>10633214</v>
      </c>
      <c r="D142" s="219" t="n">
        <v>10006023</v>
      </c>
      <c r="E142" s="201" t="n">
        <f aca="false">C142/D142*100-100</f>
        <v>6.2681347024687</v>
      </c>
      <c r="F142" s="219" t="n">
        <v>1632498</v>
      </c>
      <c r="G142" s="219" t="n">
        <v>1860077</v>
      </c>
      <c r="H142" s="201" t="n">
        <f aca="false">F142/G142*100-100</f>
        <v>-12.2349236080012</v>
      </c>
      <c r="I142" s="262" t="n">
        <v>10607161</v>
      </c>
      <c r="J142" s="262" t="n">
        <v>10080571</v>
      </c>
      <c r="K142" s="201" t="n">
        <f aca="false">I142/J142*100-100</f>
        <v>5.22381123053447</v>
      </c>
      <c r="L142" s="262" t="n">
        <v>10607161</v>
      </c>
      <c r="M142" s="262" t="n">
        <v>10080571</v>
      </c>
      <c r="N142" s="201" t="n">
        <f aca="false">L142/M142*100-100</f>
        <v>5.22381123053447</v>
      </c>
      <c r="O142" s="203" t="n">
        <v>490</v>
      </c>
      <c r="P142" s="236" t="n">
        <v>150</v>
      </c>
      <c r="Q142" s="203" t="n">
        <v>490</v>
      </c>
      <c r="R142" s="202" t="n">
        <f aca="false">O142*P142</f>
        <v>73500</v>
      </c>
    </row>
    <row r="143" customFormat="false" ht="15" hidden="false" customHeight="false" outlineLevel="0" collapsed="false">
      <c r="A143" s="262" t="n">
        <v>10</v>
      </c>
      <c r="B143" s="243" t="s">
        <v>139</v>
      </c>
      <c r="C143" s="219" t="n">
        <v>21292522</v>
      </c>
      <c r="D143" s="219" t="n">
        <v>21425028</v>
      </c>
      <c r="E143" s="201" t="n">
        <f aca="false">C143/D143*100-100</f>
        <v>-0.618463602474634</v>
      </c>
      <c r="F143" s="236" t="n">
        <v>2922034</v>
      </c>
      <c r="G143" s="236" t="n">
        <v>3803288</v>
      </c>
      <c r="H143" s="201" t="n">
        <f aca="false">F143/G143*100-100</f>
        <v>-23.1708458575843</v>
      </c>
      <c r="I143" s="203" t="n">
        <v>21380329</v>
      </c>
      <c r="J143" s="203" t="n">
        <v>21242356</v>
      </c>
      <c r="K143" s="201" t="n">
        <f aca="false">I143/J143*100-100</f>
        <v>0.64951834909462</v>
      </c>
      <c r="L143" s="203" t="n">
        <v>21327193</v>
      </c>
      <c r="M143" s="203" t="n">
        <v>21182726</v>
      </c>
      <c r="N143" s="201" t="n">
        <f aca="false">L143/M143*100-100</f>
        <v>0.682003817638972</v>
      </c>
      <c r="O143" s="203" t="n">
        <v>655</v>
      </c>
      <c r="P143" s="219" t="n">
        <v>165</v>
      </c>
      <c r="Q143" s="203" t="n">
        <v>655</v>
      </c>
      <c r="R143" s="202" t="n">
        <f aca="false">O143*P143</f>
        <v>108075</v>
      </c>
    </row>
    <row r="144" customFormat="false" ht="15" hidden="false" customHeight="false" outlineLevel="0" collapsed="false">
      <c r="A144" s="262" t="n">
        <v>11</v>
      </c>
      <c r="B144" s="243" t="s">
        <v>140</v>
      </c>
      <c r="C144" s="219" t="n">
        <v>15723180</v>
      </c>
      <c r="D144" s="219" t="n">
        <v>14979428</v>
      </c>
      <c r="E144" s="201" t="n">
        <f aca="false">C144/D144*100-100</f>
        <v>4.96515621290745</v>
      </c>
      <c r="F144" s="203" t="n">
        <v>2440078</v>
      </c>
      <c r="G144" s="203" t="n">
        <v>2719220</v>
      </c>
      <c r="H144" s="201" t="n">
        <f aca="false">F144/G144*100-100</f>
        <v>-10.265517317466</v>
      </c>
      <c r="I144" s="203" t="n">
        <v>15865244</v>
      </c>
      <c r="J144" s="203" t="n">
        <v>15069437</v>
      </c>
      <c r="K144" s="201" t="n">
        <f aca="false">I144/J144*100-100</f>
        <v>5.28093385306963</v>
      </c>
      <c r="L144" s="203" t="n">
        <v>15865244</v>
      </c>
      <c r="M144" s="203" t="n">
        <v>15069437</v>
      </c>
      <c r="N144" s="201" t="n">
        <f aca="false">L144/M144*100-100</f>
        <v>5.28093385306963</v>
      </c>
      <c r="O144" s="203" t="n">
        <v>558</v>
      </c>
      <c r="P144" s="219" t="n">
        <v>180</v>
      </c>
      <c r="Q144" s="203" t="n">
        <v>558</v>
      </c>
      <c r="R144" s="202" t="n">
        <f aca="false">O144*P144</f>
        <v>100440</v>
      </c>
    </row>
    <row r="145" customFormat="false" ht="15" hidden="false" customHeight="false" outlineLevel="0" collapsed="false">
      <c r="A145" s="262" t="n">
        <v>14</v>
      </c>
      <c r="B145" s="243" t="s">
        <v>141</v>
      </c>
      <c r="C145" s="236" t="n">
        <v>2306598</v>
      </c>
      <c r="D145" s="236" t="n">
        <v>2033123</v>
      </c>
      <c r="E145" s="201" t="n">
        <f aca="false">C145/D145*100-100</f>
        <v>13.4509815687492</v>
      </c>
      <c r="F145" s="262" t="n">
        <v>399037</v>
      </c>
      <c r="G145" s="262" t="n">
        <v>348399</v>
      </c>
      <c r="H145" s="201" t="n">
        <f aca="false">F145/G145*100-100</f>
        <v>14.5344848865812</v>
      </c>
      <c r="I145" s="262" t="n">
        <v>2567734</v>
      </c>
      <c r="J145" s="262" t="n">
        <v>1962800</v>
      </c>
      <c r="K145" s="201" t="n">
        <f aca="false">I145/J145*100-100</f>
        <v>30.8199510902792</v>
      </c>
      <c r="L145" s="262" t="n">
        <v>0</v>
      </c>
      <c r="M145" s="262" t="n">
        <v>0</v>
      </c>
      <c r="N145" s="201" t="n">
        <v>0</v>
      </c>
      <c r="O145" s="203" t="n">
        <v>330</v>
      </c>
      <c r="P145" s="236" t="n">
        <v>58</v>
      </c>
      <c r="Q145" s="203" t="n">
        <v>310</v>
      </c>
      <c r="R145" s="202" t="n">
        <f aca="false">O145*P145</f>
        <v>19140</v>
      </c>
    </row>
    <row r="146" customFormat="false" ht="15" hidden="false" customHeight="false" outlineLevel="0" collapsed="false">
      <c r="A146" s="262" t="n">
        <v>9</v>
      </c>
      <c r="B146" s="243" t="s">
        <v>142</v>
      </c>
      <c r="C146" s="236" t="n">
        <v>15296540</v>
      </c>
      <c r="D146" s="236" t="n">
        <v>13933589</v>
      </c>
      <c r="E146" s="201" t="n">
        <f aca="false">C146/D146*100-100</f>
        <v>9.78176548770027</v>
      </c>
      <c r="F146" s="236" t="n">
        <v>3011456</v>
      </c>
      <c r="G146" s="236" t="n">
        <v>3271279</v>
      </c>
      <c r="H146" s="201" t="n">
        <f aca="false">F146/G146*100-100</f>
        <v>-7.94255091051544</v>
      </c>
      <c r="I146" s="203" t="n">
        <v>13907195</v>
      </c>
      <c r="J146" s="203" t="n">
        <v>13862008</v>
      </c>
      <c r="K146" s="201" t="n">
        <f aca="false">I146/J146*100-100</f>
        <v>0.325977304298192</v>
      </c>
      <c r="L146" s="203" t="n">
        <v>0</v>
      </c>
      <c r="M146" s="203" t="n">
        <v>0</v>
      </c>
      <c r="N146" s="201" t="n">
        <v>0</v>
      </c>
      <c r="O146" s="203"/>
      <c r="P146" s="219" t="n">
        <v>100</v>
      </c>
      <c r="Q146" s="203" t="n">
        <v>969</v>
      </c>
      <c r="R146" s="202" t="n">
        <f aca="false">O146*P146</f>
        <v>0</v>
      </c>
    </row>
    <row r="147" customFormat="false" ht="15" hidden="false" customHeight="false" outlineLevel="0" collapsed="false">
      <c r="A147" s="262" t="n">
        <v>15</v>
      </c>
      <c r="B147" s="243" t="s">
        <v>143</v>
      </c>
      <c r="C147" s="219" t="n">
        <v>16950418</v>
      </c>
      <c r="D147" s="219" t="n">
        <v>15886023</v>
      </c>
      <c r="E147" s="201" t="n">
        <f aca="false">C147/D147*100-100</f>
        <v>6.70019802942498</v>
      </c>
      <c r="F147" s="219" t="n">
        <v>2637639</v>
      </c>
      <c r="G147" s="219" t="n">
        <v>2826477</v>
      </c>
      <c r="H147" s="201" t="n">
        <f aca="false">F147/G147*100-100</f>
        <v>-6.68103791398266</v>
      </c>
      <c r="I147" s="203" t="n">
        <v>17212396</v>
      </c>
      <c r="J147" s="203" t="n">
        <v>14201956</v>
      </c>
      <c r="K147" s="201" t="n">
        <f aca="false">I147/J147*100-100</f>
        <v>21.1973618281876</v>
      </c>
      <c r="L147" s="203" t="n">
        <v>17190844</v>
      </c>
      <c r="M147" s="203" t="n">
        <v>14141316</v>
      </c>
      <c r="N147" s="201" t="n">
        <f aca="false">L147/M147*100-100</f>
        <v>21.5646690873749</v>
      </c>
      <c r="O147" s="203" t="n">
        <v>641</v>
      </c>
      <c r="P147" s="219" t="n">
        <v>130</v>
      </c>
      <c r="Q147" s="203" t="n">
        <v>641</v>
      </c>
      <c r="R147" s="202" t="n">
        <f aca="false">O147*P147</f>
        <v>83330</v>
      </c>
    </row>
    <row r="148" customFormat="false" ht="15" hidden="false" customHeight="false" outlineLevel="0" collapsed="false">
      <c r="A148" s="262" t="n">
        <v>13</v>
      </c>
      <c r="B148" s="243" t="s">
        <v>144</v>
      </c>
      <c r="C148" s="200" t="n">
        <v>0</v>
      </c>
      <c r="D148" s="200" t="n">
        <v>0</v>
      </c>
      <c r="E148" s="201" t="n">
        <v>0</v>
      </c>
      <c r="F148" s="200" t="n">
        <v>0</v>
      </c>
      <c r="G148" s="200" t="n">
        <v>0</v>
      </c>
      <c r="H148" s="201" t="n">
        <v>0</v>
      </c>
      <c r="I148" s="200" t="n">
        <v>0</v>
      </c>
      <c r="J148" s="200" t="n">
        <v>0</v>
      </c>
      <c r="K148" s="201" t="n">
        <v>0</v>
      </c>
      <c r="L148" s="200" t="n">
        <v>0</v>
      </c>
      <c r="M148" s="200" t="n">
        <v>0</v>
      </c>
      <c r="N148" s="201" t="n">
        <v>0</v>
      </c>
      <c r="O148" s="203"/>
      <c r="P148" s="204" t="n">
        <v>0</v>
      </c>
      <c r="Q148" s="203" t="n">
        <v>0</v>
      </c>
      <c r="R148" s="202" t="n">
        <f aca="false">O148*P148</f>
        <v>0</v>
      </c>
    </row>
    <row r="149" customFormat="false" ht="15" hidden="false" customHeight="false" outlineLevel="0" collapsed="false">
      <c r="A149" s="215" t="s">
        <v>145</v>
      </c>
      <c r="B149" s="215" t="s">
        <v>136</v>
      </c>
      <c r="C149" s="237" t="n">
        <f aca="false">SUM(C142:C148)</f>
        <v>82202472</v>
      </c>
      <c r="D149" s="237" t="n">
        <f aca="false">SUM(D142:D148)</f>
        <v>78263214</v>
      </c>
      <c r="E149" s="313" t="n">
        <f aca="false">C149/D149*100-100</f>
        <v>5.03334555107844</v>
      </c>
      <c r="F149" s="237" t="n">
        <f aca="false">SUM(F142:F148)</f>
        <v>13042742</v>
      </c>
      <c r="G149" s="237" t="n">
        <f aca="false">SUM(G142:G148)</f>
        <v>14828740</v>
      </c>
      <c r="H149" s="313" t="n">
        <f aca="false">F149/G149*100-100</f>
        <v>-12.0441655865569</v>
      </c>
      <c r="I149" s="237" t="n">
        <f aca="false">SUM(I142:I148)</f>
        <v>81540059</v>
      </c>
      <c r="J149" s="237" t="n">
        <f aca="false">SUM(J142:J148)</f>
        <v>76419128</v>
      </c>
      <c r="K149" s="313" t="n">
        <f aca="false">I149/J149*100-100</f>
        <v>6.70111153322766</v>
      </c>
      <c r="L149" s="237" t="n">
        <f aca="false">SUM(L142:L148)</f>
        <v>64990442</v>
      </c>
      <c r="M149" s="237" t="n">
        <f aca="false">SUM(M142:M148)</f>
        <v>60474050</v>
      </c>
      <c r="N149" s="313" t="n">
        <f aca="false">L149/M149*100-100</f>
        <v>7.468314095054</v>
      </c>
      <c r="O149" s="216" t="n">
        <f aca="false">SUM(O142:O148)</f>
        <v>2674</v>
      </c>
      <c r="P149" s="237" t="n">
        <f aca="false">R149/O149</f>
        <v>143.786462228871</v>
      </c>
      <c r="Q149" s="216" t="n">
        <f aca="false">SUM(Q142:Q148)</f>
        <v>3623</v>
      </c>
      <c r="R149" s="232" t="n">
        <f aca="false">SUM(R142:R148)</f>
        <v>384485</v>
      </c>
    </row>
    <row r="150" customFormat="false" ht="15" hidden="false" customHeight="false" outlineLevel="0" collapsed="false">
      <c r="A150" s="319" t="s">
        <v>146</v>
      </c>
      <c r="B150" s="319" t="s">
        <v>78</v>
      </c>
      <c r="C150" s="320" t="n">
        <f aca="false">C139+C149</f>
        <v>173991329</v>
      </c>
      <c r="D150" s="320" t="n">
        <f aca="false">D139+D149</f>
        <v>164960039</v>
      </c>
      <c r="E150" s="310" t="n">
        <f aca="false">C150/D150*100-100</f>
        <v>5.47483502959163</v>
      </c>
      <c r="F150" s="320" t="n">
        <f aca="false">F139+F149</f>
        <v>29742687</v>
      </c>
      <c r="G150" s="320" t="n">
        <f aca="false">G139+G149</f>
        <v>29690758</v>
      </c>
      <c r="H150" s="310" t="n">
        <f aca="false">F150/G150*100-100</f>
        <v>0.174899542813961</v>
      </c>
      <c r="I150" s="320" t="n">
        <f aca="false">I139+I149</f>
        <v>165144087</v>
      </c>
      <c r="J150" s="320" t="n">
        <f aca="false">J139+J149</f>
        <v>158666395</v>
      </c>
      <c r="K150" s="310" t="n">
        <f aca="false">I150/J150*100-100</f>
        <v>4.0825859817386</v>
      </c>
      <c r="L150" s="320" t="n">
        <f aca="false">L139+L149</f>
        <v>119521449</v>
      </c>
      <c r="M150" s="320" t="n">
        <f aca="false">M139+M149</f>
        <v>112247634</v>
      </c>
      <c r="N150" s="310" t="n">
        <f aca="false">L150/M150*100-100</f>
        <v>6.48014995131211</v>
      </c>
      <c r="O150" s="320" t="n">
        <f aca="false">O139+O149</f>
        <v>7660</v>
      </c>
      <c r="P150" s="321" t="n">
        <f aca="false">R150/O150</f>
        <v>171.988772845953</v>
      </c>
      <c r="Q150" s="320" t="n">
        <f aca="false">Q139+Q149</f>
        <v>9751</v>
      </c>
      <c r="R150" s="320" t="n">
        <f aca="false">R139+R149</f>
        <v>1317434</v>
      </c>
    </row>
    <row r="151" customFormat="false" ht="15" hidden="false" customHeight="false" outlineLevel="0" collapsed="false">
      <c r="A151" s="263"/>
      <c r="B151" s="263"/>
      <c r="C151" s="264"/>
      <c r="D151" s="264"/>
      <c r="E151" s="265"/>
      <c r="F151" s="266"/>
      <c r="G151" s="266"/>
      <c r="H151" s="265"/>
      <c r="I151" s="266"/>
      <c r="J151" s="266"/>
      <c r="K151" s="265"/>
      <c r="L151" s="266"/>
      <c r="M151" s="266"/>
      <c r="N151" s="265"/>
      <c r="O151" s="266"/>
      <c r="P151" s="264"/>
      <c r="Q151" s="266"/>
      <c r="R151" s="267"/>
    </row>
    <row r="152" customFormat="false" ht="15" hidden="false" customHeight="false" outlineLevel="0" collapsed="false">
      <c r="A152" s="179"/>
      <c r="B152" s="270" t="s">
        <v>147</v>
      </c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189"/>
    </row>
    <row r="153" customFormat="false" ht="15" hidden="false" customHeight="false" outlineLevel="0" collapsed="false">
      <c r="A153" s="270"/>
      <c r="B153" s="270"/>
      <c r="C153" s="195" t="n">
        <v>3</v>
      </c>
      <c r="D153" s="195" t="n">
        <v>4</v>
      </c>
      <c r="E153" s="196" t="n">
        <v>5</v>
      </c>
      <c r="F153" s="195" t="n">
        <v>6</v>
      </c>
      <c r="G153" s="195" t="n">
        <v>7</v>
      </c>
      <c r="H153" s="195" t="n">
        <v>8</v>
      </c>
      <c r="I153" s="195" t="n">
        <v>9</v>
      </c>
      <c r="J153" s="195" t="n">
        <v>10</v>
      </c>
      <c r="K153" s="195" t="n">
        <v>11</v>
      </c>
      <c r="L153" s="195" t="n">
        <v>12</v>
      </c>
      <c r="M153" s="195" t="n">
        <v>13</v>
      </c>
      <c r="N153" s="195" t="n">
        <v>14</v>
      </c>
      <c r="O153" s="195" t="n">
        <v>15</v>
      </c>
      <c r="P153" s="196" t="n">
        <v>16</v>
      </c>
      <c r="Q153" s="195" t="n">
        <v>15</v>
      </c>
      <c r="R153" s="271"/>
    </row>
    <row r="154" customFormat="false" ht="15" hidden="false" customHeight="false" outlineLevel="0" collapsed="false">
      <c r="A154" s="262" t="n">
        <v>1</v>
      </c>
      <c r="B154" s="272" t="s">
        <v>148</v>
      </c>
      <c r="C154" s="262" t="n">
        <v>16001</v>
      </c>
      <c r="D154" s="262" t="n">
        <v>30600</v>
      </c>
      <c r="E154" s="201" t="n">
        <f aca="false">C154/D154*100-100</f>
        <v>-47.7091503267974</v>
      </c>
      <c r="F154" s="192" t="n">
        <v>1470</v>
      </c>
      <c r="G154" s="262" t="n">
        <v>11864</v>
      </c>
      <c r="H154" s="201" t="n">
        <f aca="false">F154/G154*100-100</f>
        <v>-87.6095751854349</v>
      </c>
      <c r="I154" s="262" t="n">
        <v>16001</v>
      </c>
      <c r="J154" s="262" t="n">
        <v>30600</v>
      </c>
      <c r="K154" s="201" t="n">
        <f aca="false">I154/J154*100-100</f>
        <v>-47.7091503267974</v>
      </c>
      <c r="L154" s="262" t="n">
        <v>0</v>
      </c>
      <c r="M154" s="262" t="n">
        <v>0</v>
      </c>
      <c r="N154" s="201" t="n">
        <v>0</v>
      </c>
      <c r="O154" s="262" t="n">
        <v>52</v>
      </c>
      <c r="P154" s="236" t="n">
        <v>93</v>
      </c>
      <c r="Q154" s="262" t="n">
        <v>51</v>
      </c>
      <c r="R154" s="202" t="n">
        <f aca="false">O154*P154</f>
        <v>4836</v>
      </c>
    </row>
    <row r="155" customFormat="false" ht="15" hidden="false" customHeight="false" outlineLevel="0" collapsed="false">
      <c r="A155" s="262" t="n">
        <v>2</v>
      </c>
      <c r="B155" s="272" t="s">
        <v>149</v>
      </c>
      <c r="C155" s="208" t="n">
        <v>4978986</v>
      </c>
      <c r="D155" s="208" t="n">
        <v>2183831</v>
      </c>
      <c r="E155" s="201" t="n">
        <f aca="false">C155/D155*100-100</f>
        <v>127.993191780866</v>
      </c>
      <c r="F155" s="208" t="n">
        <v>883830</v>
      </c>
      <c r="G155" s="208" t="n">
        <v>257555</v>
      </c>
      <c r="H155" s="201" t="n">
        <f aca="false">F155/G155*100-100</f>
        <v>243.16165479218</v>
      </c>
      <c r="I155" s="208" t="n">
        <v>4141611</v>
      </c>
      <c r="J155" s="208" t="n">
        <v>2470485</v>
      </c>
      <c r="K155" s="201" t="n">
        <f aca="false">I155/J155*100-100</f>
        <v>67.643640823563</v>
      </c>
      <c r="L155" s="208" t="n">
        <v>1905755</v>
      </c>
      <c r="M155" s="208" t="n">
        <v>907266</v>
      </c>
      <c r="N155" s="201" t="n">
        <f aca="false">L155/M155*100-100</f>
        <v>110.054713832547</v>
      </c>
      <c r="O155" s="262" t="n">
        <v>561</v>
      </c>
      <c r="P155" s="236" t="n">
        <v>110</v>
      </c>
      <c r="Q155" s="262" t="n">
        <v>555</v>
      </c>
      <c r="R155" s="202" t="n">
        <f aca="false">O155*P155</f>
        <v>61710</v>
      </c>
    </row>
    <row r="156" customFormat="false" ht="15" hidden="false" customHeight="false" outlineLevel="0" collapsed="false">
      <c r="A156" s="262" t="n">
        <v>3</v>
      </c>
      <c r="B156" s="272" t="s">
        <v>150</v>
      </c>
      <c r="C156" s="200" t="n">
        <v>0</v>
      </c>
      <c r="D156" s="200" t="n">
        <v>0</v>
      </c>
      <c r="E156" s="201" t="n">
        <v>0</v>
      </c>
      <c r="F156" s="200" t="n">
        <v>0</v>
      </c>
      <c r="G156" s="200" t="n">
        <v>0</v>
      </c>
      <c r="H156" s="201" t="n">
        <v>0</v>
      </c>
      <c r="I156" s="200" t="n">
        <v>0</v>
      </c>
      <c r="J156" s="200" t="n">
        <v>0</v>
      </c>
      <c r="K156" s="201" t="n">
        <v>0</v>
      </c>
      <c r="L156" s="200" t="n">
        <v>0</v>
      </c>
      <c r="M156" s="200" t="n">
        <v>0</v>
      </c>
      <c r="N156" s="201" t="n">
        <v>0</v>
      </c>
      <c r="O156" s="203"/>
      <c r="P156" s="204" t="n">
        <v>0</v>
      </c>
      <c r="Q156" s="203" t="n">
        <v>0</v>
      </c>
      <c r="R156" s="202" t="n">
        <f aca="false">O156*P156</f>
        <v>0</v>
      </c>
    </row>
    <row r="157" customFormat="false" ht="15" hidden="false" customHeight="false" outlineLevel="0" collapsed="false">
      <c r="A157" s="262" t="n">
        <v>4</v>
      </c>
      <c r="B157" s="272" t="s">
        <v>151</v>
      </c>
      <c r="C157" s="262" t="n">
        <v>1168705</v>
      </c>
      <c r="D157" s="262" t="n">
        <v>1651885</v>
      </c>
      <c r="E157" s="201" t="n">
        <f aca="false">C157/D157*100-100</f>
        <v>-29.2502202029802</v>
      </c>
      <c r="F157" s="262" t="n">
        <v>269298</v>
      </c>
      <c r="G157" s="273" t="n">
        <v>316330</v>
      </c>
      <c r="H157" s="201" t="n">
        <v>0</v>
      </c>
      <c r="I157" s="273" t="n">
        <v>984967</v>
      </c>
      <c r="J157" s="273" t="n">
        <v>1859638</v>
      </c>
      <c r="K157" s="201" t="n">
        <f aca="false">I157/J157*100-100</f>
        <v>-47.0344766024355</v>
      </c>
      <c r="L157" s="273" t="n">
        <f aca="false">682050+22765</f>
        <v>704815</v>
      </c>
      <c r="M157" s="273" t="n">
        <f aca="false">1191375+16119</f>
        <v>1207494</v>
      </c>
      <c r="N157" s="201" t="n">
        <f aca="false">L157/M157*100-100</f>
        <v>-41.6299377056946</v>
      </c>
      <c r="O157" s="262"/>
      <c r="P157" s="236" t="n">
        <v>100</v>
      </c>
      <c r="Q157" s="262" t="n">
        <v>300</v>
      </c>
      <c r="R157" s="202" t="n">
        <f aca="false">O157*P157</f>
        <v>0</v>
      </c>
    </row>
    <row r="158" customFormat="false" ht="15" hidden="false" customHeight="false" outlineLevel="0" collapsed="false">
      <c r="A158" s="262" t="n">
        <v>5</v>
      </c>
      <c r="B158" s="272" t="s">
        <v>152</v>
      </c>
      <c r="C158" s="200" t="n">
        <v>0</v>
      </c>
      <c r="D158" s="200" t="n">
        <v>0</v>
      </c>
      <c r="E158" s="201" t="n">
        <v>0</v>
      </c>
      <c r="F158" s="200" t="n">
        <v>0</v>
      </c>
      <c r="G158" s="200" t="n">
        <v>0</v>
      </c>
      <c r="H158" s="201" t="n">
        <v>0</v>
      </c>
      <c r="I158" s="200" t="n">
        <v>0</v>
      </c>
      <c r="J158" s="200" t="n">
        <v>0</v>
      </c>
      <c r="K158" s="201" t="n">
        <v>0</v>
      </c>
      <c r="L158" s="200" t="n">
        <v>0</v>
      </c>
      <c r="M158" s="200" t="n">
        <v>0</v>
      </c>
      <c r="N158" s="201" t="n">
        <v>0</v>
      </c>
      <c r="O158" s="203"/>
      <c r="P158" s="204" t="n">
        <v>0</v>
      </c>
      <c r="Q158" s="203" t="n">
        <v>0</v>
      </c>
      <c r="R158" s="202" t="n">
        <f aca="false">O158*P158</f>
        <v>0</v>
      </c>
    </row>
    <row r="159" customFormat="false" ht="15" hidden="false" customHeight="false" outlineLevel="0" collapsed="false">
      <c r="A159" s="215" t="s">
        <v>153</v>
      </c>
      <c r="B159" s="215" t="s">
        <v>154</v>
      </c>
      <c r="C159" s="216" t="n">
        <f aca="false">SUM(C154:C158)</f>
        <v>6163692</v>
      </c>
      <c r="D159" s="216" t="n">
        <f aca="false">SUM(D154:D158)</f>
        <v>3866316</v>
      </c>
      <c r="E159" s="313" t="n">
        <f aca="false">C159/D159*100-100</f>
        <v>59.4202853569134</v>
      </c>
      <c r="F159" s="216" t="n">
        <f aca="false">SUM(F154:F158)</f>
        <v>1154598</v>
      </c>
      <c r="G159" s="216" t="n">
        <f aca="false">SUM(G154:G158)</f>
        <v>585749</v>
      </c>
      <c r="H159" s="313" t="n">
        <f aca="false">F159/G159*100-100</f>
        <v>97.1148051469145</v>
      </c>
      <c r="I159" s="216" t="n">
        <f aca="false">SUM(I154:I158)</f>
        <v>5142579</v>
      </c>
      <c r="J159" s="216" t="n">
        <f aca="false">SUM(J154:J158)</f>
        <v>4360723</v>
      </c>
      <c r="K159" s="313" t="n">
        <f aca="false">I159/J159*100-100</f>
        <v>17.9295038919005</v>
      </c>
      <c r="L159" s="216" t="n">
        <f aca="false">SUM(L154:L158)</f>
        <v>2610570</v>
      </c>
      <c r="M159" s="216" t="n">
        <f aca="false">SUM(M154:M158)</f>
        <v>2114760</v>
      </c>
      <c r="N159" s="313" t="n">
        <f aca="false">L159/M159*100-100</f>
        <v>23.4452136412643</v>
      </c>
      <c r="O159" s="216" t="n">
        <f aca="false">SUM(O154:O158)</f>
        <v>613</v>
      </c>
      <c r="P159" s="217" t="n">
        <f aca="false">R159/O159</f>
        <v>108.557911908646</v>
      </c>
      <c r="Q159" s="216" t="n">
        <f aca="false">SUM(Q154:Q158)</f>
        <v>906</v>
      </c>
      <c r="R159" s="232" t="n">
        <f aca="false">SUM(R154:R158)</f>
        <v>66546</v>
      </c>
    </row>
    <row r="160" customFormat="false" ht="15" hidden="false" customHeight="false" outlineLevel="0" collapsed="false">
      <c r="A160" s="274"/>
      <c r="B160" s="256"/>
      <c r="C160" s="275"/>
      <c r="D160" s="275"/>
      <c r="E160" s="276"/>
      <c r="F160" s="275"/>
      <c r="G160" s="275"/>
      <c r="H160" s="276"/>
      <c r="I160" s="275"/>
      <c r="J160" s="275"/>
      <c r="K160" s="276"/>
      <c r="L160" s="275"/>
      <c r="M160" s="277"/>
      <c r="N160" s="278"/>
      <c r="O160" s="277"/>
      <c r="P160" s="275"/>
      <c r="Q160" s="277"/>
      <c r="R160" s="279"/>
    </row>
    <row r="161" customFormat="false" ht="15" hidden="false" customHeight="false" outlineLevel="0" collapsed="false">
      <c r="A161" s="274"/>
      <c r="B161" s="322" t="s">
        <v>194</v>
      </c>
      <c r="C161" s="322"/>
      <c r="D161" s="275"/>
      <c r="E161" s="276"/>
      <c r="F161" s="275"/>
      <c r="G161" s="275"/>
      <c r="H161" s="276"/>
      <c r="I161" s="275"/>
      <c r="J161" s="275"/>
      <c r="K161" s="276"/>
      <c r="L161" s="275"/>
      <c r="M161" s="277"/>
      <c r="N161" s="278"/>
      <c r="O161" s="277"/>
      <c r="P161" s="275"/>
      <c r="Q161" s="277"/>
      <c r="R161" s="279"/>
    </row>
    <row r="162" customFormat="false" ht="15" hidden="false" customHeight="false" outlineLevel="0" collapsed="false">
      <c r="A162" s="323" t="s">
        <v>195</v>
      </c>
      <c r="B162" s="323"/>
      <c r="C162" s="195" t="n">
        <v>3</v>
      </c>
      <c r="D162" s="195" t="n">
        <v>4</v>
      </c>
      <c r="E162" s="196" t="n">
        <v>5</v>
      </c>
      <c r="F162" s="195" t="n">
        <v>6</v>
      </c>
      <c r="G162" s="195" t="n">
        <v>7</v>
      </c>
      <c r="H162" s="195" t="n">
        <v>8</v>
      </c>
      <c r="I162" s="195" t="n">
        <v>9</v>
      </c>
      <c r="J162" s="195" t="n">
        <v>10</v>
      </c>
      <c r="K162" s="195" t="n">
        <v>11</v>
      </c>
      <c r="L162" s="195" t="n">
        <v>12</v>
      </c>
      <c r="M162" s="195" t="n">
        <v>13</v>
      </c>
      <c r="N162" s="195" t="n">
        <v>14</v>
      </c>
      <c r="O162" s="195" t="n">
        <v>15</v>
      </c>
      <c r="P162" s="196" t="n">
        <v>16</v>
      </c>
      <c r="Q162" s="195" t="n">
        <v>15</v>
      </c>
      <c r="R162" s="202"/>
    </row>
    <row r="163" customFormat="false" ht="15" hidden="false" customHeight="false" outlineLevel="0" collapsed="false">
      <c r="A163" s="280"/>
      <c r="B163" s="281" t="s">
        <v>196</v>
      </c>
      <c r="C163" s="203" t="n">
        <v>11433302</v>
      </c>
      <c r="D163" s="203" t="n">
        <v>9155229</v>
      </c>
      <c r="E163" s="201" t="n">
        <f aca="false">C163/D163*100-100</f>
        <v>24.8827527962435</v>
      </c>
      <c r="F163" s="203" t="n">
        <v>2765861</v>
      </c>
      <c r="G163" s="203" t="n">
        <v>1259701</v>
      </c>
      <c r="H163" s="201" t="n">
        <f aca="false">F163/G163*100-100</f>
        <v>119.564880872525</v>
      </c>
      <c r="I163" s="203" t="n">
        <v>9980231</v>
      </c>
      <c r="J163" s="203" t="n">
        <v>8625638</v>
      </c>
      <c r="K163" s="201" t="n">
        <f aca="false">I163/J163*100-100</f>
        <v>15.704264426585</v>
      </c>
      <c r="L163" s="203" t="n">
        <f aca="false">8280691+462770</f>
        <v>8743461</v>
      </c>
      <c r="M163" s="203" t="n">
        <f aca="false">7177978+465576</f>
        <v>7643554</v>
      </c>
      <c r="N163" s="201" t="n">
        <f aca="false">L163/M163*100-100</f>
        <v>14.3899944973241</v>
      </c>
      <c r="O163" s="203" t="n">
        <v>345</v>
      </c>
      <c r="P163" s="203"/>
      <c r="Q163" s="203" t="n">
        <v>345</v>
      </c>
      <c r="R163" s="202" t="n">
        <f aca="false">O163*P163</f>
        <v>0</v>
      </c>
    </row>
    <row r="164" customFormat="false" ht="15" hidden="false" customHeight="false" outlineLevel="0" collapsed="false">
      <c r="A164" s="280"/>
      <c r="B164" s="281" t="s">
        <v>197</v>
      </c>
      <c r="C164" s="203" t="n">
        <v>1446768</v>
      </c>
      <c r="D164" s="203" t="n">
        <v>431232</v>
      </c>
      <c r="E164" s="201" t="n">
        <f aca="false">C164/D164*100-100</f>
        <v>235.496438112199</v>
      </c>
      <c r="F164" s="203" t="n">
        <v>86345</v>
      </c>
      <c r="G164" s="203" t="n">
        <v>65363</v>
      </c>
      <c r="H164" s="201" t="n">
        <f aca="false">F164/G164*100-100</f>
        <v>32.1007297706654</v>
      </c>
      <c r="I164" s="203" t="n">
        <v>1450692</v>
      </c>
      <c r="J164" s="203" t="n">
        <v>446377</v>
      </c>
      <c r="K164" s="201" t="n">
        <f aca="false">I164/J164*100-100</f>
        <v>224.992551139508</v>
      </c>
      <c r="L164" s="203" t="n">
        <f aca="false">1059965+59653</f>
        <v>1119618</v>
      </c>
      <c r="M164" s="203" t="n">
        <v>36657</v>
      </c>
      <c r="N164" s="223" t="n">
        <f aca="false">L164/M164*100-100</f>
        <v>2954.30886324576</v>
      </c>
      <c r="O164" s="203" t="n">
        <v>132</v>
      </c>
      <c r="P164" s="203" t="n">
        <v>98</v>
      </c>
      <c r="Q164" s="203"/>
      <c r="R164" s="202" t="n">
        <f aca="false">O164*P164</f>
        <v>12936</v>
      </c>
    </row>
    <row r="165" customFormat="false" ht="15" hidden="false" customHeight="false" outlineLevel="0" collapsed="false">
      <c r="A165" s="280"/>
      <c r="B165" s="281" t="s">
        <v>198</v>
      </c>
      <c r="C165" s="203" t="n">
        <v>510954</v>
      </c>
      <c r="D165" s="203" t="n">
        <v>366439</v>
      </c>
      <c r="E165" s="201" t="n">
        <f aca="false">C165/D165*100-100</f>
        <v>39.4376690254039</v>
      </c>
      <c r="F165" s="203" t="n">
        <v>264487</v>
      </c>
      <c r="G165" s="203" t="n">
        <v>23975</v>
      </c>
      <c r="H165" s="223" t="n">
        <f aca="false">F165/G165*100-100</f>
        <v>1003.17831074035</v>
      </c>
      <c r="I165" s="203" t="n">
        <v>682510</v>
      </c>
      <c r="J165" s="203" t="n">
        <v>50141</v>
      </c>
      <c r="K165" s="223" t="n">
        <f aca="false">I165/J165*100-100</f>
        <v>1261.18146825951</v>
      </c>
      <c r="L165" s="203" t="n">
        <v>531835</v>
      </c>
      <c r="M165" s="203" t="n">
        <v>0</v>
      </c>
      <c r="N165" s="201" t="n">
        <v>0</v>
      </c>
      <c r="O165" s="203" t="n">
        <v>62</v>
      </c>
      <c r="P165" s="203"/>
      <c r="Q165" s="203" t="n">
        <v>62</v>
      </c>
      <c r="R165" s="202" t="n">
        <f aca="false">O165*P165</f>
        <v>0</v>
      </c>
    </row>
    <row r="166" customFormat="false" ht="15" hidden="false" customHeight="false" outlineLevel="0" collapsed="false">
      <c r="A166" s="280"/>
      <c r="B166" s="281" t="s">
        <v>199</v>
      </c>
      <c r="C166" s="203" t="n">
        <v>436792</v>
      </c>
      <c r="D166" s="203" t="n">
        <v>568726</v>
      </c>
      <c r="E166" s="201" t="n">
        <f aca="false">C166/D166*100-100</f>
        <v>-23.1981657247954</v>
      </c>
      <c r="F166" s="203" t="n">
        <v>73449</v>
      </c>
      <c r="G166" s="203" t="n">
        <v>93897</v>
      </c>
      <c r="H166" s="201" t="n">
        <f aca="false">F166/G166*100-100</f>
        <v>-21.7770535799866</v>
      </c>
      <c r="I166" s="203" t="n">
        <v>822173</v>
      </c>
      <c r="J166" s="203" t="n">
        <v>1472478</v>
      </c>
      <c r="K166" s="201" t="n">
        <f aca="false">I166/J166*100-100</f>
        <v>-44.1639875094908</v>
      </c>
      <c r="L166" s="203" t="n">
        <v>468940</v>
      </c>
      <c r="M166" s="203" t="n">
        <v>507740</v>
      </c>
      <c r="N166" s="201" t="n">
        <f aca="false">L166/M166*100-100</f>
        <v>-7.64170638515776</v>
      </c>
      <c r="O166" s="203" t="n">
        <v>177</v>
      </c>
      <c r="P166" s="203" t="n">
        <v>143</v>
      </c>
      <c r="Q166" s="203" t="n">
        <v>177</v>
      </c>
      <c r="R166" s="202" t="n">
        <f aca="false">O166*P166</f>
        <v>25311</v>
      </c>
    </row>
    <row r="167" customFormat="false" ht="15" hidden="false" customHeight="false" outlineLevel="0" collapsed="false">
      <c r="A167" s="203"/>
      <c r="B167" s="281" t="s">
        <v>200</v>
      </c>
      <c r="C167" s="203" t="n">
        <v>750020</v>
      </c>
      <c r="D167" s="203" t="n">
        <v>505432</v>
      </c>
      <c r="E167" s="201" t="n">
        <f aca="false">C167/D167*100-100</f>
        <v>48.3918707165356</v>
      </c>
      <c r="F167" s="203" t="n">
        <v>299377</v>
      </c>
      <c r="G167" s="203" t="n">
        <v>178722</v>
      </c>
      <c r="H167" s="201" t="n">
        <f aca="false">F167/G167*100-100</f>
        <v>67.5098756728327</v>
      </c>
      <c r="I167" s="203" t="n">
        <v>651782</v>
      </c>
      <c r="J167" s="203" t="n">
        <v>479917</v>
      </c>
      <c r="K167" s="201" t="n">
        <f aca="false">I167/J167*100-100</f>
        <v>35.8114007213747</v>
      </c>
      <c r="L167" s="203" t="n">
        <v>16014</v>
      </c>
      <c r="M167" s="203" t="n">
        <v>25519</v>
      </c>
      <c r="N167" s="201" t="n">
        <f aca="false">L167/M167*100-100</f>
        <v>-37.2467573180767</v>
      </c>
      <c r="O167" s="203" t="n">
        <v>183</v>
      </c>
      <c r="P167" s="203"/>
      <c r="Q167" s="203" t="n">
        <v>183</v>
      </c>
      <c r="R167" s="202" t="n">
        <f aca="false">O167*P167</f>
        <v>0</v>
      </c>
    </row>
    <row r="168" customFormat="false" ht="15" hidden="false" customHeight="false" outlineLevel="0" collapsed="false">
      <c r="A168" s="203" t="n">
        <v>3</v>
      </c>
      <c r="B168" s="281" t="s">
        <v>156</v>
      </c>
      <c r="C168" s="203" t="n">
        <v>708459</v>
      </c>
      <c r="D168" s="203" t="n">
        <v>480202</v>
      </c>
      <c r="E168" s="201" t="n">
        <f aca="false">C168/D168*100-100</f>
        <v>47.5335379694379</v>
      </c>
      <c r="F168" s="203" t="n">
        <v>209951</v>
      </c>
      <c r="G168" s="203" t="n">
        <v>167906</v>
      </c>
      <c r="H168" s="201" t="n">
        <f aca="false">F168/G168*100-100</f>
        <v>25.0407966362131</v>
      </c>
      <c r="I168" s="203" t="n">
        <v>687156</v>
      </c>
      <c r="J168" s="203" t="n">
        <v>577785</v>
      </c>
      <c r="K168" s="201" t="n">
        <f aca="false">I168/J168*100-100</f>
        <v>18.9293595368519</v>
      </c>
      <c r="L168" s="203" t="n">
        <v>4610</v>
      </c>
      <c r="M168" s="203" t="n">
        <v>17776</v>
      </c>
      <c r="N168" s="201" t="n">
        <v>0</v>
      </c>
      <c r="O168" s="203" t="n">
        <v>30</v>
      </c>
      <c r="P168" s="203" t="n">
        <v>85</v>
      </c>
      <c r="Q168" s="203" t="n">
        <v>30</v>
      </c>
      <c r="R168" s="202" t="n">
        <f aca="false">O168*P168</f>
        <v>2550</v>
      </c>
    </row>
    <row r="169" customFormat="false" ht="15" hidden="false" customHeight="false" outlineLevel="0" collapsed="false">
      <c r="A169" s="215" t="s">
        <v>201</v>
      </c>
      <c r="B169" s="215" t="s">
        <v>119</v>
      </c>
      <c r="C169" s="216" t="n">
        <f aca="false">SUM(C163:C168)</f>
        <v>15286295</v>
      </c>
      <c r="D169" s="216" t="n">
        <f aca="false">SUM(D163:D168)</f>
        <v>11507260</v>
      </c>
      <c r="E169" s="313" t="n">
        <f aca="false">C169/D169*100-100</f>
        <v>32.8404415994772</v>
      </c>
      <c r="F169" s="216" t="n">
        <f aca="false">SUM(F163:F168)</f>
        <v>3699470</v>
      </c>
      <c r="G169" s="216" t="n">
        <f aca="false">SUM(G163:G168)</f>
        <v>1789564</v>
      </c>
      <c r="H169" s="313" t="n">
        <f aca="false">F169/G169*100-100</f>
        <v>106.724654720368</v>
      </c>
      <c r="I169" s="216" t="n">
        <f aca="false">SUM(I163:I168)</f>
        <v>14274544</v>
      </c>
      <c r="J169" s="216" t="n">
        <f aca="false">SUM(J163:J168)</f>
        <v>11652336</v>
      </c>
      <c r="K169" s="313" t="n">
        <f aca="false">I169/J169*100-100</f>
        <v>22.5037108439029</v>
      </c>
      <c r="L169" s="216" t="n">
        <f aca="false">SUM(L163:L168)</f>
        <v>10884478</v>
      </c>
      <c r="M169" s="216" t="n">
        <f aca="false">SUM(M163:M168)</f>
        <v>8231246</v>
      </c>
      <c r="N169" s="313" t="n">
        <f aca="false">L169/M169*100-100</f>
        <v>32.2336618295699</v>
      </c>
      <c r="O169" s="216" t="n">
        <f aca="false">SUM(O163:O168)</f>
        <v>929</v>
      </c>
      <c r="P169" s="237" t="n">
        <f aca="false">R169/O169</f>
        <v>43.9149623250807</v>
      </c>
      <c r="Q169" s="216" t="n">
        <f aca="false">SUM(Q163:Q168)</f>
        <v>797</v>
      </c>
      <c r="R169" s="216" t="n">
        <f aca="false">SUM(R163:R168)</f>
        <v>40797</v>
      </c>
    </row>
    <row r="170" customFormat="false" ht="15" hidden="false" customHeight="false" outlineLevel="0" collapsed="false">
      <c r="A170" s="203"/>
      <c r="B170" s="281"/>
      <c r="C170" s="203"/>
      <c r="D170" s="203"/>
      <c r="E170" s="201"/>
      <c r="F170" s="203"/>
      <c r="G170" s="203"/>
      <c r="H170" s="201"/>
      <c r="I170" s="203"/>
      <c r="J170" s="203"/>
      <c r="K170" s="201"/>
      <c r="L170" s="203"/>
      <c r="M170" s="203"/>
      <c r="N170" s="201"/>
      <c r="O170" s="203"/>
      <c r="P170" s="203"/>
      <c r="Q170" s="203"/>
      <c r="R170" s="202"/>
    </row>
    <row r="171" customFormat="false" ht="15" hidden="false" customHeight="false" outlineLevel="0" collapsed="false">
      <c r="A171" s="203"/>
      <c r="B171" s="324" t="s">
        <v>202</v>
      </c>
      <c r="C171" s="203"/>
      <c r="D171" s="203"/>
      <c r="E171" s="201"/>
      <c r="F171" s="203"/>
      <c r="G171" s="203"/>
      <c r="H171" s="201"/>
      <c r="I171" s="203"/>
      <c r="J171" s="203"/>
      <c r="K171" s="201"/>
      <c r="L171" s="203"/>
      <c r="M171" s="203"/>
      <c r="N171" s="201"/>
      <c r="O171" s="203"/>
      <c r="P171" s="203"/>
      <c r="Q171" s="203"/>
      <c r="R171" s="202"/>
    </row>
    <row r="172" customFormat="false" ht="15" hidden="false" customHeight="false" outlineLevel="0" collapsed="false">
      <c r="A172" s="203" t="n">
        <v>5</v>
      </c>
      <c r="B172" s="281" t="s">
        <v>203</v>
      </c>
      <c r="C172" s="203" t="n">
        <v>47839</v>
      </c>
      <c r="D172" s="203" t="n">
        <v>19347</v>
      </c>
      <c r="E172" s="201" t="n">
        <f aca="false">C172/D172*100-100</f>
        <v>147.268310332351</v>
      </c>
      <c r="F172" s="203" t="n">
        <v>33623</v>
      </c>
      <c r="G172" s="203" t="n">
        <v>6734</v>
      </c>
      <c r="H172" s="201" t="n">
        <f aca="false">F172/G172*100-100</f>
        <v>399.302049302049</v>
      </c>
      <c r="I172" s="203" t="n">
        <v>22865</v>
      </c>
      <c r="J172" s="203" t="n">
        <v>20009</v>
      </c>
      <c r="K172" s="201" t="n">
        <f aca="false">I172/J172*100-100</f>
        <v>14.2735768903993</v>
      </c>
      <c r="L172" s="203" t="n">
        <f aca="false">18417+519</f>
        <v>18936</v>
      </c>
      <c r="M172" s="203" t="n">
        <v>16883</v>
      </c>
      <c r="N172" s="201" t="n">
        <f aca="false">L172/M172*100-100</f>
        <v>12.1601611088077</v>
      </c>
      <c r="O172" s="203" t="n">
        <v>36</v>
      </c>
      <c r="P172" s="203"/>
      <c r="Q172" s="203" t="n">
        <v>36</v>
      </c>
      <c r="R172" s="202" t="n">
        <f aca="false">O172*P172</f>
        <v>0</v>
      </c>
    </row>
    <row r="173" customFormat="false" ht="15" hidden="false" customHeight="false" outlineLevel="0" collapsed="false">
      <c r="A173" s="203"/>
      <c r="B173" s="281" t="s">
        <v>155</v>
      </c>
      <c r="C173" s="203" t="n">
        <v>662274</v>
      </c>
      <c r="D173" s="203" t="n">
        <v>527339</v>
      </c>
      <c r="E173" s="201" t="n">
        <f aca="false">C173/D173*100-100</f>
        <v>25.5879045547551</v>
      </c>
      <c r="F173" s="203" t="n">
        <v>136260</v>
      </c>
      <c r="G173" s="203" t="n">
        <v>113763</v>
      </c>
      <c r="H173" s="201" t="n">
        <f aca="false">F173/G173*100-100</f>
        <v>19.7753223807389</v>
      </c>
      <c r="I173" s="203" t="n">
        <v>627602</v>
      </c>
      <c r="J173" s="203" t="n">
        <v>495278</v>
      </c>
      <c r="K173" s="201" t="n">
        <f aca="false">I173/J173*100-100</f>
        <v>26.7171164477324</v>
      </c>
      <c r="L173" s="203" t="n">
        <f aca="false">106068+130168</f>
        <v>236236</v>
      </c>
      <c r="M173" s="203" t="n">
        <f aca="false">99581+42050</f>
        <v>141631</v>
      </c>
      <c r="N173" s="201" t="n">
        <f aca="false">L173/M173*100-100</f>
        <v>66.7968170810063</v>
      </c>
      <c r="O173" s="203" t="n">
        <v>78</v>
      </c>
      <c r="P173" s="203" t="n">
        <v>71</v>
      </c>
      <c r="Q173" s="203" t="n">
        <v>62</v>
      </c>
      <c r="R173" s="202" t="n">
        <f aca="false">O173*P173</f>
        <v>5538</v>
      </c>
    </row>
    <row r="174" customFormat="false" ht="15" hidden="false" customHeight="false" outlineLevel="0" collapsed="false">
      <c r="A174" s="203" t="n">
        <v>7</v>
      </c>
      <c r="B174" s="281" t="s">
        <v>204</v>
      </c>
      <c r="C174" s="203" t="n">
        <v>2388785</v>
      </c>
      <c r="D174" s="203" t="n">
        <v>2427087</v>
      </c>
      <c r="E174" s="201" t="n">
        <f aca="false">C174/D174*100-100</f>
        <v>-1.57810577041532</v>
      </c>
      <c r="F174" s="203" t="n">
        <v>606999</v>
      </c>
      <c r="G174" s="203" t="n">
        <v>713853</v>
      </c>
      <c r="H174" s="201" t="n">
        <f aca="false">F174/G174*100-100</f>
        <v>-14.9686279948393</v>
      </c>
      <c r="I174" s="203" t="n">
        <v>1940949</v>
      </c>
      <c r="J174" s="203" t="n">
        <v>1807088</v>
      </c>
      <c r="K174" s="201" t="n">
        <f aca="false">I174/J174*100-100</f>
        <v>7.40755292492675</v>
      </c>
      <c r="L174" s="203" t="n">
        <f aca="false">54568+31711</f>
        <v>86279</v>
      </c>
      <c r="M174" s="203" t="n">
        <f aca="false">20712+24016</f>
        <v>44728</v>
      </c>
      <c r="N174" s="201" t="n">
        <f aca="false">L174/M174*100-100</f>
        <v>92.8970667143624</v>
      </c>
      <c r="O174" s="203" t="n">
        <v>535</v>
      </c>
      <c r="P174" s="203" t="n">
        <v>118</v>
      </c>
      <c r="Q174" s="203" t="n">
        <v>535</v>
      </c>
      <c r="R174" s="202" t="n">
        <f aca="false">O174*P174</f>
        <v>63130</v>
      </c>
    </row>
    <row r="175" customFormat="false" ht="15" hidden="false" customHeight="false" outlineLevel="0" collapsed="false">
      <c r="A175" s="203" t="n">
        <v>8</v>
      </c>
      <c r="B175" s="281" t="s">
        <v>205</v>
      </c>
      <c r="C175" s="203" t="n">
        <v>915427</v>
      </c>
      <c r="D175" s="203" t="n">
        <v>602115</v>
      </c>
      <c r="E175" s="201" t="n">
        <f aca="false">C175/D175*100-100</f>
        <v>52.035242437076</v>
      </c>
      <c r="F175" s="203" t="n">
        <v>189653</v>
      </c>
      <c r="G175" s="203" t="n">
        <v>95330</v>
      </c>
      <c r="H175" s="201" t="n">
        <f aca="false">F175/G175*100-100</f>
        <v>98.9436693590685</v>
      </c>
      <c r="I175" s="203" t="n">
        <v>895331</v>
      </c>
      <c r="J175" s="203" t="n">
        <v>600637</v>
      </c>
      <c r="K175" s="201" t="n">
        <f aca="false">I175/J175*100-100</f>
        <v>49.0635775018855</v>
      </c>
      <c r="L175" s="203" t="n">
        <v>43969</v>
      </c>
      <c r="M175" s="203" t="n">
        <v>0</v>
      </c>
      <c r="N175" s="201" t="n">
        <v>0</v>
      </c>
      <c r="O175" s="203" t="n">
        <v>161</v>
      </c>
      <c r="P175" s="203" t="n">
        <v>102</v>
      </c>
      <c r="Q175" s="203" t="n">
        <v>161</v>
      </c>
      <c r="R175" s="202" t="n">
        <f aca="false">O175*P175</f>
        <v>16422</v>
      </c>
    </row>
    <row r="176" customFormat="false" ht="15" hidden="false" customHeight="false" outlineLevel="0" collapsed="false">
      <c r="A176" s="203" t="n">
        <v>10</v>
      </c>
      <c r="B176" s="281" t="s">
        <v>157</v>
      </c>
      <c r="C176" s="203" t="n">
        <v>1824684</v>
      </c>
      <c r="D176" s="203" t="n">
        <v>1075940</v>
      </c>
      <c r="E176" s="201" t="n">
        <f aca="false">C176/D176*100-100</f>
        <v>69.5897540755061</v>
      </c>
      <c r="F176" s="203" t="n">
        <v>287793</v>
      </c>
      <c r="G176" s="203" t="n">
        <v>139950</v>
      </c>
      <c r="H176" s="201" t="n">
        <f aca="false">F176/G176*100-100</f>
        <v>105.639871382637</v>
      </c>
      <c r="I176" s="203" t="n">
        <v>1192936</v>
      </c>
      <c r="J176" s="203" t="n">
        <v>911044</v>
      </c>
      <c r="K176" s="201" t="n">
        <f aca="false">I176/J176*100-100</f>
        <v>30.9416449699466</v>
      </c>
      <c r="L176" s="203" t="n">
        <v>0</v>
      </c>
      <c r="M176" s="203" t="n">
        <v>0</v>
      </c>
      <c r="N176" s="201" t="n">
        <v>0</v>
      </c>
      <c r="O176" s="203" t="n">
        <v>468</v>
      </c>
      <c r="P176" s="203" t="n">
        <v>100</v>
      </c>
      <c r="Q176" s="203" t="n">
        <v>478</v>
      </c>
      <c r="R176" s="202" t="n">
        <f aca="false">O176*P176</f>
        <v>46800</v>
      </c>
    </row>
    <row r="177" customFormat="false" ht="15" hidden="false" customHeight="false" outlineLevel="0" collapsed="false">
      <c r="A177" s="215" t="s">
        <v>206</v>
      </c>
      <c r="B177" s="215" t="s">
        <v>119</v>
      </c>
      <c r="C177" s="216" t="n">
        <f aca="false">SUM(C172:C176)</f>
        <v>5839009</v>
      </c>
      <c r="D177" s="216" t="n">
        <f aca="false">SUM(D172:D176)</f>
        <v>4651828</v>
      </c>
      <c r="E177" s="313" t="n">
        <f aca="false">C177/D177*100-100</f>
        <v>25.5207415235473</v>
      </c>
      <c r="F177" s="216" t="n">
        <f aca="false">SUM(F172:F176)</f>
        <v>1254328</v>
      </c>
      <c r="G177" s="216" t="n">
        <f aca="false">SUM(G172:G176)</f>
        <v>1069630</v>
      </c>
      <c r="H177" s="313" t="n">
        <f aca="false">F177/G177*100-100</f>
        <v>17.2674663201294</v>
      </c>
      <c r="I177" s="216" t="n">
        <f aca="false">SUM(I172:I176)</f>
        <v>4679683</v>
      </c>
      <c r="J177" s="216" t="n">
        <f aca="false">SUM(J172:J176)</f>
        <v>3834056</v>
      </c>
      <c r="K177" s="313" t="n">
        <f aca="false">I177/J177*100-100</f>
        <v>22.0556768080591</v>
      </c>
      <c r="L177" s="216" t="n">
        <f aca="false">SUM(L172:L176)</f>
        <v>385420</v>
      </c>
      <c r="M177" s="216" t="n">
        <f aca="false">SUM(M172:M176)</f>
        <v>203242</v>
      </c>
      <c r="N177" s="313" t="n">
        <f aca="false">L177/M177*100-100</f>
        <v>89.6360004329814</v>
      </c>
      <c r="O177" s="216" t="n">
        <f aca="false">SUM(O167:O176)</f>
        <v>2420</v>
      </c>
      <c r="P177" s="237" t="n">
        <f aca="false">R177/O177</f>
        <v>72.4119834710744</v>
      </c>
      <c r="Q177" s="216" t="n">
        <f aca="false">SUM(Q167:Q176)</f>
        <v>2282</v>
      </c>
      <c r="R177" s="232" t="n">
        <f aca="false">SUM(R167:R176)</f>
        <v>175237</v>
      </c>
    </row>
    <row r="178" customFormat="false" ht="15" hidden="false" customHeight="false" outlineLevel="0" collapsed="false">
      <c r="A178" s="325"/>
      <c r="B178" s="325" t="s">
        <v>158</v>
      </c>
      <c r="C178" s="326" t="n">
        <f aca="false">C169+C177</f>
        <v>21125304</v>
      </c>
      <c r="D178" s="326" t="n">
        <f aca="false">D169+D177</f>
        <v>16159088</v>
      </c>
      <c r="E178" s="310" t="n">
        <f aca="false">C178/D178*100-100</f>
        <v>30.7332691052861</v>
      </c>
      <c r="F178" s="326" t="n">
        <f aca="false">F169+F177</f>
        <v>4953798</v>
      </c>
      <c r="G178" s="326" t="n">
        <f aca="false">G169+G177</f>
        <v>2859194</v>
      </c>
      <c r="H178" s="310" t="n">
        <f aca="false">F178/G178*100-100</f>
        <v>73.2585476886144</v>
      </c>
      <c r="I178" s="326" t="n">
        <f aca="false">I169+I177</f>
        <v>18954227</v>
      </c>
      <c r="J178" s="326" t="n">
        <f aca="false">J169+J177</f>
        <v>15486392</v>
      </c>
      <c r="K178" s="310" t="n">
        <f aca="false">I178/J178*100-100</f>
        <v>22.3927884558262</v>
      </c>
      <c r="L178" s="326" t="n">
        <f aca="false">L169+L177</f>
        <v>11269898</v>
      </c>
      <c r="M178" s="326" t="n">
        <f aca="false">M169+M177</f>
        <v>8434488</v>
      </c>
      <c r="N178" s="310" t="n">
        <f aca="false">L178/M178*100-100</f>
        <v>33.6168597311419</v>
      </c>
      <c r="O178" s="326" t="n">
        <f aca="false">O169+O177</f>
        <v>3349</v>
      </c>
      <c r="P178" s="321" t="n">
        <f aca="false">R178/O178</f>
        <v>64.507017020006</v>
      </c>
      <c r="Q178" s="326" t="n">
        <f aca="false">Q169+Q177</f>
        <v>3079</v>
      </c>
      <c r="R178" s="326" t="n">
        <f aca="false">R169+R177</f>
        <v>216034</v>
      </c>
    </row>
    <row r="179" customFormat="false" ht="15" hidden="false" customHeight="false" outlineLevel="0" collapsed="false">
      <c r="A179" s="274"/>
      <c r="B179" s="256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9"/>
    </row>
    <row r="180" customFormat="false" ht="15" hidden="false" customHeight="false" outlineLevel="0" collapsed="false">
      <c r="A180" s="327"/>
      <c r="B180" s="328" t="s">
        <v>207</v>
      </c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329"/>
      <c r="N180" s="329"/>
      <c r="O180" s="329"/>
      <c r="P180" s="275"/>
      <c r="Q180" s="329"/>
      <c r="R180" s="279"/>
    </row>
    <row r="181" customFormat="false" ht="15" hidden="false" customHeight="false" outlineLevel="0" collapsed="false">
      <c r="A181" s="195" t="s">
        <v>208</v>
      </c>
      <c r="B181" s="195"/>
      <c r="C181" s="195" t="n">
        <v>3</v>
      </c>
      <c r="D181" s="195" t="n">
        <v>4</v>
      </c>
      <c r="E181" s="196" t="n">
        <v>5</v>
      </c>
      <c r="F181" s="195" t="n">
        <v>6</v>
      </c>
      <c r="G181" s="195" t="n">
        <v>7</v>
      </c>
      <c r="H181" s="195" t="n">
        <v>8</v>
      </c>
      <c r="I181" s="195" t="n">
        <v>9</v>
      </c>
      <c r="J181" s="195" t="n">
        <v>10</v>
      </c>
      <c r="K181" s="195" t="n">
        <v>11</v>
      </c>
      <c r="L181" s="195" t="n">
        <v>12</v>
      </c>
      <c r="M181" s="184" t="n">
        <v>13</v>
      </c>
      <c r="N181" s="184" t="n">
        <v>14</v>
      </c>
      <c r="O181" s="184" t="n">
        <v>15</v>
      </c>
      <c r="P181" s="196" t="n">
        <v>16</v>
      </c>
      <c r="Q181" s="184" t="n">
        <v>15</v>
      </c>
      <c r="R181" s="179"/>
    </row>
    <row r="182" customFormat="false" ht="15" hidden="false" customHeight="false" outlineLevel="0" collapsed="false">
      <c r="A182" s="330"/>
      <c r="B182" s="282" t="s">
        <v>161</v>
      </c>
      <c r="C182" s="262" t="n">
        <v>609374</v>
      </c>
      <c r="D182" s="262" t="n">
        <v>481032</v>
      </c>
      <c r="E182" s="201" t="n">
        <f aca="false">C182/D182*100-100</f>
        <v>26.6805534766918</v>
      </c>
      <c r="F182" s="262" t="n">
        <v>30272</v>
      </c>
      <c r="G182" s="262" t="n">
        <v>15112</v>
      </c>
      <c r="H182" s="201" t="n">
        <f aca="false">F182/G182*100-100</f>
        <v>100.317628374801</v>
      </c>
      <c r="I182" s="262" t="n">
        <v>379554</v>
      </c>
      <c r="J182" s="262" t="n">
        <v>481023</v>
      </c>
      <c r="K182" s="201" t="n">
        <f aca="false">I182/J182*100-100</f>
        <v>-21.0944175226548</v>
      </c>
      <c r="L182" s="262" t="n">
        <v>0</v>
      </c>
      <c r="M182" s="262" t="n">
        <v>0</v>
      </c>
      <c r="N182" s="201" t="e">
        <f aca="false">L182/M182*100-100</f>
        <v>#DIV/0!</v>
      </c>
      <c r="O182" s="262" t="n">
        <v>130</v>
      </c>
      <c r="P182" s="262" t="n">
        <v>154</v>
      </c>
      <c r="Q182" s="262" t="n">
        <v>131</v>
      </c>
      <c r="R182" s="202" t="n">
        <f aca="false">O182*P182</f>
        <v>20020</v>
      </c>
    </row>
    <row r="183" customFormat="false" ht="15" hidden="false" customHeight="false" outlineLevel="0" collapsed="false">
      <c r="A183" s="330"/>
      <c r="B183" s="282" t="s">
        <v>162</v>
      </c>
      <c r="C183" s="200" t="n">
        <v>0</v>
      </c>
      <c r="D183" s="200" t="n">
        <v>0</v>
      </c>
      <c r="E183" s="201" t="n">
        <v>0</v>
      </c>
      <c r="F183" s="200" t="n">
        <v>0</v>
      </c>
      <c r="G183" s="200" t="n">
        <v>0</v>
      </c>
      <c r="H183" s="201" t="n">
        <v>0</v>
      </c>
      <c r="I183" s="200" t="n">
        <v>0</v>
      </c>
      <c r="J183" s="200" t="n">
        <v>0</v>
      </c>
      <c r="K183" s="201" t="n">
        <v>0</v>
      </c>
      <c r="L183" s="200" t="n">
        <v>0</v>
      </c>
      <c r="M183" s="200" t="n">
        <v>0</v>
      </c>
      <c r="N183" s="201" t="n">
        <v>0</v>
      </c>
      <c r="O183" s="203" t="n">
        <v>0</v>
      </c>
      <c r="P183" s="204" t="n">
        <v>0</v>
      </c>
      <c r="Q183" s="203" t="n">
        <v>0</v>
      </c>
      <c r="R183" s="202" t="n">
        <f aca="false">O183*P183</f>
        <v>0</v>
      </c>
    </row>
    <row r="184" customFormat="false" ht="15" hidden="false" customHeight="false" outlineLevel="0" collapsed="false">
      <c r="A184" s="330"/>
      <c r="B184" s="282" t="s">
        <v>163</v>
      </c>
      <c r="C184" s="262" t="n">
        <v>3072926</v>
      </c>
      <c r="D184" s="262" t="n">
        <v>1601612</v>
      </c>
      <c r="E184" s="201" t="n">
        <f aca="false">C184/D184*100-100</f>
        <v>91.8645714442699</v>
      </c>
      <c r="F184" s="262" t="n">
        <v>491825</v>
      </c>
      <c r="G184" s="262" t="n">
        <v>528110</v>
      </c>
      <c r="H184" s="201" t="n">
        <f aca="false">F184/G184*100-100</f>
        <v>-6.87072768930716</v>
      </c>
      <c r="I184" s="262" t="n">
        <v>3072926</v>
      </c>
      <c r="J184" s="262" t="n">
        <v>1601612</v>
      </c>
      <c r="K184" s="201" t="n">
        <f aca="false">I184/J184*100-100</f>
        <v>91.8645714442699</v>
      </c>
      <c r="L184" s="262" t="n">
        <v>491825</v>
      </c>
      <c r="M184" s="262" t="n">
        <v>528110</v>
      </c>
      <c r="N184" s="201" t="n">
        <f aca="false">L184/M184*100-100</f>
        <v>-6.87072768930716</v>
      </c>
      <c r="O184" s="262" t="n">
        <v>97</v>
      </c>
      <c r="P184" s="286" t="n">
        <v>187</v>
      </c>
      <c r="Q184" s="262" t="n">
        <v>93</v>
      </c>
      <c r="R184" s="202" t="n">
        <f aca="false">O184*P184</f>
        <v>18139</v>
      </c>
    </row>
    <row r="185" customFormat="false" ht="15" hidden="false" customHeight="false" outlineLevel="0" collapsed="false">
      <c r="A185" s="330"/>
      <c r="B185" s="282" t="s">
        <v>164</v>
      </c>
      <c r="C185" s="262" t="n">
        <v>610203</v>
      </c>
      <c r="D185" s="262" t="n">
        <v>420243</v>
      </c>
      <c r="E185" s="201" t="n">
        <f aca="false">C185/D185*100-100</f>
        <v>45.2024186006668</v>
      </c>
      <c r="F185" s="262" t="n">
        <v>287223</v>
      </c>
      <c r="G185" s="262" t="n">
        <v>116789</v>
      </c>
      <c r="H185" s="201" t="n">
        <f aca="false">F185/G185*100-100</f>
        <v>145.933264262901</v>
      </c>
      <c r="I185" s="262" t="n">
        <v>609270</v>
      </c>
      <c r="J185" s="262" t="n">
        <v>658511</v>
      </c>
      <c r="K185" s="201" t="n">
        <f aca="false">I185/J185*100-100</f>
        <v>-7.47762755671508</v>
      </c>
      <c r="L185" s="262" t="n">
        <v>639831</v>
      </c>
      <c r="M185" s="262" t="n">
        <v>661648</v>
      </c>
      <c r="N185" s="201" t="n">
        <f aca="false">L185/M185*100-100</f>
        <v>-3.29737262109158</v>
      </c>
      <c r="O185" s="262" t="n">
        <v>36</v>
      </c>
      <c r="P185" s="262" t="n">
        <v>42</v>
      </c>
      <c r="Q185" s="262" t="n">
        <v>40</v>
      </c>
      <c r="R185" s="202" t="n">
        <f aca="false">O185*P185</f>
        <v>1512</v>
      </c>
    </row>
    <row r="186" customFormat="false" ht="15" hidden="false" customHeight="false" outlineLevel="0" collapsed="false">
      <c r="A186" s="330"/>
      <c r="B186" s="282" t="s">
        <v>166</v>
      </c>
      <c r="C186" s="262" t="n">
        <v>1889446</v>
      </c>
      <c r="D186" s="262" t="n">
        <v>1452787</v>
      </c>
      <c r="E186" s="201" t="n">
        <f aca="false">C186/D186*100-100</f>
        <v>30.0566428526687</v>
      </c>
      <c r="F186" s="262" t="n">
        <v>389586</v>
      </c>
      <c r="G186" s="262" t="n">
        <v>7791</v>
      </c>
      <c r="H186" s="201" t="n">
        <f aca="false">F186/G186*100-100</f>
        <v>4900.4620716211</v>
      </c>
      <c r="I186" s="262" t="n">
        <v>1843498</v>
      </c>
      <c r="J186" s="262" t="n">
        <v>1444996</v>
      </c>
      <c r="K186" s="201" t="n">
        <f aca="false">I186/J186*100-100</f>
        <v>27.5780694202614</v>
      </c>
      <c r="L186" s="262" t="n">
        <v>1843019</v>
      </c>
      <c r="M186" s="262" t="n">
        <v>1431568</v>
      </c>
      <c r="N186" s="201" t="n">
        <f aca="false">L186/M186*100-100</f>
        <v>28.7412822862763</v>
      </c>
      <c r="O186" s="262" t="n">
        <v>36</v>
      </c>
      <c r="P186" s="262" t="n">
        <v>110</v>
      </c>
      <c r="Q186" s="262" t="n">
        <v>36</v>
      </c>
      <c r="R186" s="202" t="n">
        <f aca="false">O186*P186</f>
        <v>3960</v>
      </c>
    </row>
    <row r="187" customFormat="false" ht="15" hidden="false" customHeight="false" outlineLevel="0" collapsed="false">
      <c r="A187" s="330"/>
      <c r="B187" s="282" t="s">
        <v>167</v>
      </c>
      <c r="C187" s="262" t="n">
        <v>411977</v>
      </c>
      <c r="D187" s="262" t="n">
        <v>92942</v>
      </c>
      <c r="E187" s="201" t="n">
        <f aca="false">C187/D187*100-100</f>
        <v>343.26246476297</v>
      </c>
      <c r="F187" s="262" t="n">
        <v>411977</v>
      </c>
      <c r="G187" s="262" t="n">
        <v>92942</v>
      </c>
      <c r="H187" s="201" t="n">
        <f aca="false">F187/G187*100-100</f>
        <v>343.26246476297</v>
      </c>
      <c r="I187" s="262" t="n">
        <v>411977</v>
      </c>
      <c r="J187" s="262" t="n">
        <v>92942</v>
      </c>
      <c r="K187" s="201" t="n">
        <f aca="false">I187/J187*100-100</f>
        <v>343.26246476297</v>
      </c>
      <c r="L187" s="262" t="n">
        <v>411977</v>
      </c>
      <c r="M187" s="262" t="n">
        <v>92942</v>
      </c>
      <c r="N187" s="201" t="n">
        <f aca="false">L187/M187*100-100</f>
        <v>343.26246476297</v>
      </c>
      <c r="O187" s="236" t="n">
        <v>42</v>
      </c>
      <c r="P187" s="236" t="n">
        <v>134</v>
      </c>
      <c r="Q187" s="236" t="n">
        <v>42</v>
      </c>
      <c r="R187" s="202" t="n">
        <f aca="false">O187*P187</f>
        <v>5628</v>
      </c>
    </row>
    <row r="188" customFormat="false" ht="15" hidden="false" customHeight="false" outlineLevel="0" collapsed="false">
      <c r="A188" s="330"/>
      <c r="B188" s="282" t="s">
        <v>168</v>
      </c>
      <c r="C188" s="262" t="n">
        <v>0</v>
      </c>
      <c r="D188" s="236" t="n">
        <v>0</v>
      </c>
      <c r="E188" s="201" t="n">
        <v>0</v>
      </c>
      <c r="F188" s="262" t="n">
        <v>0</v>
      </c>
      <c r="G188" s="236" t="n">
        <v>0</v>
      </c>
      <c r="H188" s="201" t="n">
        <v>0</v>
      </c>
      <c r="I188" s="262" t="n">
        <v>0</v>
      </c>
      <c r="J188" s="236" t="n">
        <v>0</v>
      </c>
      <c r="K188" s="201" t="n">
        <v>0</v>
      </c>
      <c r="L188" s="262" t="n">
        <v>0</v>
      </c>
      <c r="M188" s="236" t="n">
        <v>0</v>
      </c>
      <c r="N188" s="201" t="n">
        <v>0</v>
      </c>
      <c r="O188" s="262" t="n">
        <v>2</v>
      </c>
      <c r="P188" s="262" t="n">
        <v>65</v>
      </c>
      <c r="Q188" s="262" t="n">
        <v>2</v>
      </c>
      <c r="R188" s="202" t="n">
        <f aca="false">O188*P188</f>
        <v>130</v>
      </c>
    </row>
    <row r="189" customFormat="false" ht="15" hidden="false" customHeight="false" outlineLevel="0" collapsed="false">
      <c r="A189" s="215" t="s">
        <v>209</v>
      </c>
      <c r="B189" s="215" t="s">
        <v>154</v>
      </c>
      <c r="C189" s="237" t="n">
        <f aca="false">SUM(C182:C188)</f>
        <v>6593926</v>
      </c>
      <c r="D189" s="237" t="n">
        <f aca="false">SUM(D182:D188)</f>
        <v>4048616</v>
      </c>
      <c r="E189" s="313" t="n">
        <f aca="false">C189/D189*100-100</f>
        <v>62.8686444948101</v>
      </c>
      <c r="F189" s="237" t="n">
        <f aca="false">SUM(F182:F188)</f>
        <v>1610883</v>
      </c>
      <c r="G189" s="237" t="n">
        <f aca="false">SUM(G182:G188)</f>
        <v>760744</v>
      </c>
      <c r="H189" s="313" t="n">
        <f aca="false">F189/G189*100-100</f>
        <v>111.750996393005</v>
      </c>
      <c r="I189" s="237" t="n">
        <f aca="false">SUM(I182:I188)</f>
        <v>6317225</v>
      </c>
      <c r="J189" s="237" t="n">
        <f aca="false">SUM(J182:J188)</f>
        <v>4279084</v>
      </c>
      <c r="K189" s="313" t="n">
        <f aca="false">I189/J189*100-100</f>
        <v>47.6303105991843</v>
      </c>
      <c r="L189" s="237" t="n">
        <f aca="false">SUM(L182:L188)</f>
        <v>3386652</v>
      </c>
      <c r="M189" s="216" t="n">
        <f aca="false">SUM(M182:M188)</f>
        <v>2714268</v>
      </c>
      <c r="N189" s="313" t="n">
        <f aca="false">L189/M189*100-100</f>
        <v>24.7722037764878</v>
      </c>
      <c r="O189" s="237" t="n">
        <f aca="false">SUM(O182:O188)</f>
        <v>343</v>
      </c>
      <c r="P189" s="217" t="n">
        <f aca="false">R189/O189</f>
        <v>143.991253644315</v>
      </c>
      <c r="Q189" s="237" t="n">
        <f aca="false">SUM(Q183:Q188)</f>
        <v>213</v>
      </c>
      <c r="R189" s="232" t="n">
        <f aca="false">SUM(R182:R188)</f>
        <v>49389</v>
      </c>
    </row>
    <row r="190" customFormat="false" ht="15.75" hidden="false" customHeight="true" outlineLevel="0" collapsed="false">
      <c r="A190" s="330"/>
      <c r="B190" s="282"/>
      <c r="C190" s="262"/>
      <c r="D190" s="236"/>
      <c r="E190" s="201"/>
      <c r="F190" s="262"/>
      <c r="G190" s="236"/>
      <c r="H190" s="201"/>
      <c r="I190" s="262"/>
      <c r="J190" s="236"/>
      <c r="K190" s="201"/>
      <c r="L190" s="262"/>
      <c r="M190" s="236"/>
      <c r="N190" s="201"/>
      <c r="O190" s="262"/>
      <c r="P190" s="262"/>
      <c r="Q190" s="262"/>
      <c r="R190" s="202"/>
    </row>
    <row r="191" customFormat="false" ht="15" hidden="false" customHeight="false" outlineLevel="0" collapsed="false">
      <c r="A191" s="274"/>
      <c r="B191" s="331" t="s">
        <v>210</v>
      </c>
      <c r="C191" s="262"/>
      <c r="D191" s="262"/>
      <c r="E191" s="201"/>
      <c r="F191" s="262"/>
      <c r="G191" s="262"/>
      <c r="H191" s="201"/>
      <c r="I191" s="262"/>
      <c r="J191" s="262"/>
      <c r="K191" s="201"/>
      <c r="L191" s="262"/>
      <c r="M191" s="262"/>
      <c r="N191" s="201"/>
      <c r="O191" s="262"/>
      <c r="P191" s="262"/>
      <c r="Q191" s="262"/>
      <c r="R191" s="202"/>
    </row>
    <row r="192" customFormat="false" ht="15" hidden="false" customHeight="false" outlineLevel="0" collapsed="false">
      <c r="A192" s="274"/>
      <c r="B192" s="282" t="s">
        <v>160</v>
      </c>
      <c r="C192" s="262" t="n">
        <v>1981</v>
      </c>
      <c r="D192" s="262" t="n">
        <v>278</v>
      </c>
      <c r="E192" s="201" t="n">
        <v>0</v>
      </c>
      <c r="F192" s="262" t="n">
        <v>348</v>
      </c>
      <c r="G192" s="262" t="n">
        <v>0</v>
      </c>
      <c r="H192" s="201" t="n">
        <v>0</v>
      </c>
      <c r="I192" s="262" t="n">
        <v>26702</v>
      </c>
      <c r="J192" s="262" t="n">
        <v>18623</v>
      </c>
      <c r="K192" s="201" t="n">
        <f aca="false">I192/J192*100-100</f>
        <v>43.3818396606347</v>
      </c>
      <c r="L192" s="262" t="n">
        <v>0</v>
      </c>
      <c r="M192" s="262" t="n">
        <v>0</v>
      </c>
      <c r="N192" s="201" t="n">
        <v>0</v>
      </c>
      <c r="O192" s="262" t="n">
        <v>84</v>
      </c>
      <c r="P192" s="262" t="n">
        <v>124</v>
      </c>
      <c r="Q192" s="262" t="n">
        <v>71</v>
      </c>
      <c r="R192" s="202" t="n">
        <f aca="false">O192*P192</f>
        <v>10416</v>
      </c>
    </row>
    <row r="193" customFormat="false" ht="15" hidden="false" customHeight="false" outlineLevel="0" collapsed="false">
      <c r="A193" s="284" t="n">
        <v>6</v>
      </c>
      <c r="B193" s="282" t="s">
        <v>165</v>
      </c>
      <c r="C193" s="200" t="n">
        <v>0</v>
      </c>
      <c r="D193" s="200" t="n">
        <v>0</v>
      </c>
      <c r="E193" s="201" t="n">
        <v>0</v>
      </c>
      <c r="F193" s="200" t="n">
        <v>0</v>
      </c>
      <c r="G193" s="200" t="n">
        <v>0</v>
      </c>
      <c r="H193" s="201" t="n">
        <v>0</v>
      </c>
      <c r="I193" s="200" t="n">
        <v>0</v>
      </c>
      <c r="J193" s="200" t="n">
        <v>0</v>
      </c>
      <c r="K193" s="201" t="n">
        <v>0</v>
      </c>
      <c r="L193" s="200" t="n">
        <v>0</v>
      </c>
      <c r="M193" s="200" t="n">
        <v>0</v>
      </c>
      <c r="N193" s="201" t="n">
        <v>0</v>
      </c>
      <c r="O193" s="203"/>
      <c r="P193" s="204" t="n">
        <v>0</v>
      </c>
      <c r="Q193" s="203" t="n">
        <v>0</v>
      </c>
      <c r="R193" s="202" t="n">
        <f aca="false">O193*P193</f>
        <v>0</v>
      </c>
    </row>
    <row r="194" customFormat="false" ht="15" hidden="false" customHeight="false" outlineLevel="0" collapsed="false">
      <c r="A194" s="284" t="n">
        <v>10</v>
      </c>
      <c r="B194" s="282" t="s">
        <v>169</v>
      </c>
      <c r="C194" s="262" t="n">
        <v>398667</v>
      </c>
      <c r="D194" s="262" t="n">
        <v>132010</v>
      </c>
      <c r="E194" s="223" t="n">
        <f aca="false">C194/D194*100-100</f>
        <v>201.997575941217</v>
      </c>
      <c r="F194" s="262" t="n">
        <v>119314</v>
      </c>
      <c r="G194" s="262" t="n">
        <v>73890</v>
      </c>
      <c r="H194" s="223" t="n">
        <v>0</v>
      </c>
      <c r="I194" s="262" t="n">
        <v>398667</v>
      </c>
      <c r="J194" s="262" t="n">
        <v>132010</v>
      </c>
      <c r="K194" s="201" t="n">
        <f aca="false">I194/J194*100-100</f>
        <v>201.997575941217</v>
      </c>
      <c r="L194" s="262" t="n">
        <f aca="false">312149+86518</f>
        <v>398667</v>
      </c>
      <c r="M194" s="262" t="n">
        <f aca="false">130322+1688</f>
        <v>132010</v>
      </c>
      <c r="N194" s="201" t="n">
        <f aca="false">L194/M194*100-100</f>
        <v>201.997575941217</v>
      </c>
      <c r="O194" s="262" t="n">
        <v>29</v>
      </c>
      <c r="P194" s="262" t="n">
        <v>50</v>
      </c>
      <c r="Q194" s="262" t="n">
        <v>27</v>
      </c>
      <c r="R194" s="202" t="n">
        <f aca="false">O194*P194</f>
        <v>1450</v>
      </c>
    </row>
    <row r="195" customFormat="false" ht="15" hidden="false" customHeight="false" outlineLevel="0" collapsed="false">
      <c r="A195" s="215" t="s">
        <v>170</v>
      </c>
      <c r="B195" s="215" t="s">
        <v>154</v>
      </c>
      <c r="C195" s="237" t="n">
        <f aca="false">SUM(C191:C194)</f>
        <v>400648</v>
      </c>
      <c r="D195" s="237" t="n">
        <f aca="false">SUM(D191:D194)</f>
        <v>132288</v>
      </c>
      <c r="E195" s="332" t="n">
        <f aca="false">C195/D195*100-100</f>
        <v>202.860425737784</v>
      </c>
      <c r="F195" s="237" t="n">
        <f aca="false">SUM(F191:F194)</f>
        <v>119662</v>
      </c>
      <c r="G195" s="237" t="n">
        <f aca="false">SUM(G191:G194)</f>
        <v>73890</v>
      </c>
      <c r="H195" s="313" t="n">
        <f aca="false">F195/G195*100-100</f>
        <v>61.9461361483286</v>
      </c>
      <c r="I195" s="237" t="n">
        <f aca="false">SUM(I191:I194)</f>
        <v>425369</v>
      </c>
      <c r="J195" s="237" t="n">
        <f aca="false">SUM(J191:J194)</f>
        <v>150633</v>
      </c>
      <c r="K195" s="313" t="n">
        <f aca="false">I195/J195*100-100</f>
        <v>182.387657419025</v>
      </c>
      <c r="L195" s="237" t="n">
        <f aca="false">SUM(L191:L194)</f>
        <v>398667</v>
      </c>
      <c r="M195" s="216" t="n">
        <f aca="false">SUM(M191:M194)</f>
        <v>132010</v>
      </c>
      <c r="N195" s="313" t="n">
        <f aca="false">L195/M195*100-100</f>
        <v>201.997575941217</v>
      </c>
      <c r="O195" s="237" t="n">
        <f aca="false">SUM(O191:O194)</f>
        <v>113</v>
      </c>
      <c r="P195" s="217" t="n">
        <f aca="false">R195/O195</f>
        <v>105.008849557522</v>
      </c>
      <c r="Q195" s="237" t="n">
        <f aca="false">SUM(Q191:Q194)</f>
        <v>98</v>
      </c>
      <c r="R195" s="232" t="n">
        <f aca="false">SUM(R191:R194)</f>
        <v>11866</v>
      </c>
    </row>
    <row r="196" customFormat="false" ht="15" hidden="false" customHeight="false" outlineLevel="0" collapsed="false">
      <c r="A196" s="325"/>
      <c r="B196" s="325" t="s">
        <v>211</v>
      </c>
      <c r="C196" s="320" t="n">
        <f aca="false">C189+C195</f>
        <v>6994574</v>
      </c>
      <c r="D196" s="320" t="n">
        <f aca="false">D189+D195</f>
        <v>4180904</v>
      </c>
      <c r="E196" s="310" t="n">
        <f aca="false">C196/D196*100-100</f>
        <v>67.2981249988041</v>
      </c>
      <c r="F196" s="320" t="n">
        <f aca="false">F189+F195</f>
        <v>1730545</v>
      </c>
      <c r="G196" s="320" t="n">
        <f aca="false">G189+G195</f>
        <v>834634</v>
      </c>
      <c r="H196" s="310" t="n">
        <f aca="false">F196/G196*100-100</f>
        <v>107.341780948296</v>
      </c>
      <c r="I196" s="320" t="n">
        <f aca="false">I189+I195</f>
        <v>6742594</v>
      </c>
      <c r="J196" s="320" t="n">
        <f aca="false">J189+J195</f>
        <v>4429717</v>
      </c>
      <c r="K196" s="310" t="n">
        <f aca="false">I196/J196*100-100</f>
        <v>52.2127485796497</v>
      </c>
      <c r="L196" s="320" t="n">
        <f aca="false">L189+L195</f>
        <v>3785319</v>
      </c>
      <c r="M196" s="320" t="n">
        <f aca="false">M189+M195</f>
        <v>2846278</v>
      </c>
      <c r="N196" s="310" t="n">
        <f aca="false">L196/M196*100-100</f>
        <v>32.9918932725475</v>
      </c>
      <c r="O196" s="320" t="n">
        <f aca="false">O189+O195</f>
        <v>456</v>
      </c>
      <c r="P196" s="321" t="n">
        <f aca="false">R196/O196</f>
        <v>134.331140350877</v>
      </c>
      <c r="Q196" s="320" t="n">
        <f aca="false">Q189+Q195</f>
        <v>311</v>
      </c>
      <c r="R196" s="320" t="n">
        <f aca="false">R189+R195</f>
        <v>61255</v>
      </c>
    </row>
    <row r="197" customFormat="false" ht="15" hidden="false" customHeight="false" outlineLevel="0" collapsed="false">
      <c r="A197" s="333"/>
      <c r="B197" s="334"/>
      <c r="C197" s="287"/>
      <c r="D197" s="287"/>
      <c r="E197" s="283"/>
      <c r="F197" s="288"/>
      <c r="G197" s="288"/>
      <c r="H197" s="283"/>
      <c r="I197" s="203"/>
      <c r="J197" s="203"/>
      <c r="K197" s="289"/>
      <c r="L197" s="203"/>
      <c r="M197" s="203"/>
      <c r="N197" s="203"/>
      <c r="O197" s="203"/>
      <c r="P197" s="219"/>
      <c r="Q197" s="203"/>
      <c r="R197" s="189"/>
    </row>
    <row r="198" customFormat="false" ht="15" hidden="false" customHeight="false" outlineLevel="0" collapsed="false">
      <c r="A198" s="333"/>
      <c r="B198" s="270" t="s">
        <v>171</v>
      </c>
      <c r="C198" s="270"/>
      <c r="D198" s="287"/>
      <c r="E198" s="283"/>
      <c r="F198" s="288"/>
      <c r="G198" s="288"/>
      <c r="H198" s="283"/>
      <c r="I198" s="203"/>
      <c r="J198" s="203"/>
      <c r="K198" s="289"/>
      <c r="L198" s="203"/>
      <c r="M198" s="203"/>
      <c r="N198" s="203"/>
      <c r="O198" s="203"/>
      <c r="P198" s="219"/>
      <c r="Q198" s="203"/>
      <c r="R198" s="189"/>
    </row>
    <row r="199" customFormat="false" ht="15" hidden="false" customHeight="false" outlineLevel="0" collapsed="false">
      <c r="A199" s="270"/>
      <c r="B199" s="270"/>
      <c r="C199" s="195" t="n">
        <v>3</v>
      </c>
      <c r="D199" s="195" t="n">
        <v>4</v>
      </c>
      <c r="E199" s="196" t="n">
        <v>5</v>
      </c>
      <c r="F199" s="195" t="n">
        <v>6</v>
      </c>
      <c r="G199" s="195" t="n">
        <v>7</v>
      </c>
      <c r="H199" s="195" t="n">
        <v>8</v>
      </c>
      <c r="I199" s="195" t="n">
        <v>9</v>
      </c>
      <c r="J199" s="195" t="n">
        <v>10</v>
      </c>
      <c r="K199" s="195" t="n">
        <v>11</v>
      </c>
      <c r="L199" s="195" t="n">
        <v>12</v>
      </c>
      <c r="M199" s="195" t="n">
        <v>13</v>
      </c>
      <c r="N199" s="195" t="n">
        <v>14</v>
      </c>
      <c r="O199" s="195" t="n">
        <v>15</v>
      </c>
      <c r="P199" s="196" t="n">
        <v>16</v>
      </c>
      <c r="Q199" s="195" t="n">
        <v>15</v>
      </c>
      <c r="R199" s="189"/>
    </row>
    <row r="200" customFormat="false" ht="15" hidden="false" customHeight="false" outlineLevel="0" collapsed="false">
      <c r="A200" s="288" t="n">
        <v>1</v>
      </c>
      <c r="B200" s="290" t="s">
        <v>172</v>
      </c>
      <c r="C200" s="335" t="n">
        <v>338697.3</v>
      </c>
      <c r="D200" s="336" t="n">
        <v>442724.1</v>
      </c>
      <c r="E200" s="201" t="n">
        <f aca="false">C200/D200*100-100</f>
        <v>-23.4969815286767</v>
      </c>
      <c r="F200" s="335" t="n">
        <v>58573.3</v>
      </c>
      <c r="G200" s="336" t="n">
        <v>59633.6</v>
      </c>
      <c r="H200" s="201" t="n">
        <f aca="false">F200/G200*100-100</f>
        <v>-1.77802446942663</v>
      </c>
      <c r="I200" s="336" t="n">
        <v>133591.2</v>
      </c>
      <c r="J200" s="335" t="n">
        <v>386634.1</v>
      </c>
      <c r="K200" s="201" t="n">
        <f aca="false">I200/J200*100-100</f>
        <v>-65.4476415815367</v>
      </c>
      <c r="L200" s="335" t="n">
        <v>0</v>
      </c>
      <c r="M200" s="335" t="n">
        <v>0</v>
      </c>
      <c r="N200" s="201" t="n">
        <v>0</v>
      </c>
      <c r="O200" s="335" t="n">
        <v>291</v>
      </c>
      <c r="P200" s="337" t="n">
        <v>244.8</v>
      </c>
      <c r="Q200" s="236" t="n">
        <v>269</v>
      </c>
      <c r="R200" s="234" t="n">
        <f aca="false">O200*P200</f>
        <v>71236.8</v>
      </c>
    </row>
    <row r="201" customFormat="false" ht="15" hidden="false" customHeight="false" outlineLevel="0" collapsed="false">
      <c r="A201" s="288" t="n">
        <v>2</v>
      </c>
      <c r="B201" s="290" t="s">
        <v>173</v>
      </c>
      <c r="C201" s="338" t="n">
        <v>63546</v>
      </c>
      <c r="D201" s="338" t="n">
        <v>64843</v>
      </c>
      <c r="E201" s="201" t="n">
        <f aca="false">C201/D201*100-100</f>
        <v>-2.00021590611168</v>
      </c>
      <c r="F201" s="338" t="n">
        <v>11676</v>
      </c>
      <c r="G201" s="338" t="n">
        <v>12166</v>
      </c>
      <c r="H201" s="201" t="n">
        <f aca="false">F201/G201*100-100</f>
        <v>-4.02761795166859</v>
      </c>
      <c r="I201" s="339" t="n">
        <v>0</v>
      </c>
      <c r="J201" s="339" t="n">
        <v>0</v>
      </c>
      <c r="K201" s="201" t="n">
        <v>0</v>
      </c>
      <c r="L201" s="339" t="n">
        <v>0</v>
      </c>
      <c r="M201" s="339" t="n">
        <v>0</v>
      </c>
      <c r="N201" s="201" t="n">
        <v>0</v>
      </c>
      <c r="O201" s="339" t="n">
        <v>87</v>
      </c>
      <c r="P201" s="340" t="n">
        <v>105.5</v>
      </c>
      <c r="Q201" s="236" t="n">
        <v>86</v>
      </c>
      <c r="R201" s="234" t="n">
        <f aca="false">O201*P201</f>
        <v>9178.5</v>
      </c>
    </row>
    <row r="202" s="295" customFormat="true" ht="34.5" hidden="false" customHeight="true" outlineLevel="0" collapsed="false">
      <c r="A202" s="291" t="n">
        <v>3</v>
      </c>
      <c r="B202" s="292" t="s">
        <v>174</v>
      </c>
      <c r="C202" s="341" t="n">
        <v>656</v>
      </c>
      <c r="D202" s="342" t="n">
        <v>514</v>
      </c>
      <c r="E202" s="201" t="n">
        <f aca="false">C202/D202*100-100</f>
        <v>27.6264591439689</v>
      </c>
      <c r="F202" s="343" t="n">
        <v>120</v>
      </c>
      <c r="G202" s="343" t="n">
        <v>63</v>
      </c>
      <c r="H202" s="201" t="n">
        <f aca="false">F202/G202*100-100</f>
        <v>90.4761904761905</v>
      </c>
      <c r="I202" s="344" t="n">
        <v>656</v>
      </c>
      <c r="J202" s="342" t="n">
        <v>514</v>
      </c>
      <c r="K202" s="201" t="n">
        <f aca="false">I202/J202*100-100</f>
        <v>27.6264591439689</v>
      </c>
      <c r="L202" s="343" t="n">
        <v>0</v>
      </c>
      <c r="M202" s="343" t="n">
        <v>0</v>
      </c>
      <c r="N202" s="201" t="n">
        <v>0</v>
      </c>
      <c r="O202" s="343" t="n">
        <v>30</v>
      </c>
      <c r="P202" s="345" t="n">
        <v>26.4</v>
      </c>
      <c r="Q202" s="222" t="n">
        <v>30</v>
      </c>
      <c r="R202" s="294" t="n">
        <f aca="false">O202*P202</f>
        <v>792</v>
      </c>
    </row>
    <row r="203" customFormat="false" ht="15" hidden="false" customHeight="false" outlineLevel="0" collapsed="false">
      <c r="A203" s="288" t="n">
        <v>4</v>
      </c>
      <c r="B203" s="296" t="s">
        <v>175</v>
      </c>
      <c r="C203" s="339" t="n">
        <v>17608</v>
      </c>
      <c r="D203" s="339" t="n">
        <v>5849</v>
      </c>
      <c r="E203" s="201" t="n">
        <f aca="false">C203/D203*100-100</f>
        <v>201.042913318516</v>
      </c>
      <c r="F203" s="339" t="n">
        <v>5799</v>
      </c>
      <c r="G203" s="339" t="n">
        <v>475</v>
      </c>
      <c r="H203" s="223" t="n">
        <f aca="false">F203/G203*100-100</f>
        <v>1120.84210526316</v>
      </c>
      <c r="I203" s="339" t="n">
        <v>0</v>
      </c>
      <c r="J203" s="339" t="n">
        <v>0</v>
      </c>
      <c r="K203" s="223" t="n">
        <v>0</v>
      </c>
      <c r="L203" s="339" t="n">
        <v>0</v>
      </c>
      <c r="M203" s="339" t="n">
        <v>0</v>
      </c>
      <c r="N203" s="201" t="n">
        <v>0</v>
      </c>
      <c r="O203" s="339" t="n">
        <v>17</v>
      </c>
      <c r="P203" s="340" t="n">
        <v>56</v>
      </c>
      <c r="Q203" s="236" t="n">
        <v>17</v>
      </c>
      <c r="R203" s="202" t="n">
        <f aca="false">O203*P203</f>
        <v>952</v>
      </c>
    </row>
    <row r="204" customFormat="false" ht="15" hidden="false" customHeight="false" outlineLevel="0" collapsed="false">
      <c r="A204" s="288" t="n">
        <v>5</v>
      </c>
      <c r="B204" s="297" t="s">
        <v>176</v>
      </c>
      <c r="C204" s="340" t="n">
        <v>5990</v>
      </c>
      <c r="D204" s="340" t="n">
        <v>5865</v>
      </c>
      <c r="E204" s="201" t="n">
        <f aca="false">C204/D204*100-100</f>
        <v>2.13128729752772</v>
      </c>
      <c r="F204" s="340" t="n">
        <v>1050</v>
      </c>
      <c r="G204" s="340" t="n">
        <v>1071</v>
      </c>
      <c r="H204" s="201" t="n">
        <f aca="false">F204/G204*100-100</f>
        <v>-1.9607843137255</v>
      </c>
      <c r="I204" s="346" t="n">
        <v>0</v>
      </c>
      <c r="J204" s="346" t="n">
        <v>0</v>
      </c>
      <c r="K204" s="201" t="n">
        <v>0</v>
      </c>
      <c r="L204" s="339" t="n">
        <v>0</v>
      </c>
      <c r="M204" s="339" t="n">
        <v>0</v>
      </c>
      <c r="N204" s="201" t="n">
        <v>0</v>
      </c>
      <c r="O204" s="339" t="n">
        <v>12</v>
      </c>
      <c r="P204" s="340" t="n">
        <v>75.2</v>
      </c>
      <c r="Q204" s="236" t="n">
        <v>12</v>
      </c>
      <c r="R204" s="202" t="n">
        <f aca="false">O204*P204</f>
        <v>902.4</v>
      </c>
    </row>
    <row r="205" customFormat="false" ht="15" hidden="false" customHeight="false" outlineLevel="0" collapsed="false">
      <c r="A205" s="288" t="n">
        <v>6</v>
      </c>
      <c r="B205" s="290" t="s">
        <v>177</v>
      </c>
      <c r="C205" s="340" t="n">
        <v>39080</v>
      </c>
      <c r="D205" s="339" t="n">
        <v>31448</v>
      </c>
      <c r="E205" s="201" t="n">
        <f aca="false">C205/D205*100-100</f>
        <v>24.2686339353854</v>
      </c>
      <c r="F205" s="340" t="n">
        <v>14975</v>
      </c>
      <c r="G205" s="340" t="n">
        <v>6994</v>
      </c>
      <c r="H205" s="201" t="n">
        <f aca="false">F205/G205*100-100</f>
        <v>114.112096082356</v>
      </c>
      <c r="I205" s="346" t="n">
        <v>37196</v>
      </c>
      <c r="J205" s="346" t="n">
        <v>18359</v>
      </c>
      <c r="K205" s="201" t="n">
        <f aca="false">I205/J205*100-100</f>
        <v>102.603627648565</v>
      </c>
      <c r="L205" s="339" t="n">
        <v>0</v>
      </c>
      <c r="M205" s="339" t="n">
        <v>0</v>
      </c>
      <c r="N205" s="201" t="n">
        <v>0</v>
      </c>
      <c r="O205" s="339" t="n">
        <v>25</v>
      </c>
      <c r="P205" s="340" t="n">
        <v>135.5</v>
      </c>
      <c r="Q205" s="236" t="n">
        <v>22</v>
      </c>
      <c r="R205" s="202" t="n">
        <f aca="false">O205*P205</f>
        <v>3387.5</v>
      </c>
    </row>
    <row r="206" customFormat="false" ht="15" hidden="false" customHeight="false" outlineLevel="0" collapsed="false">
      <c r="A206" s="288" t="n">
        <v>7</v>
      </c>
      <c r="B206" s="290" t="s">
        <v>178</v>
      </c>
      <c r="C206" s="339" t="n">
        <v>2408</v>
      </c>
      <c r="D206" s="339" t="n">
        <v>53934</v>
      </c>
      <c r="E206" s="201" t="n">
        <f aca="false">C206/D206*100-100</f>
        <v>-95.5352838654652</v>
      </c>
      <c r="F206" s="339" t="n">
        <v>0</v>
      </c>
      <c r="G206" s="339" t="n">
        <v>15978</v>
      </c>
      <c r="H206" s="201" t="n">
        <v>0</v>
      </c>
      <c r="I206" s="339" t="n">
        <v>2408</v>
      </c>
      <c r="J206" s="339" t="n">
        <v>65818</v>
      </c>
      <c r="K206" s="201" t="n">
        <f aca="false">I206/J206*100-100</f>
        <v>-96.3414263575314</v>
      </c>
      <c r="L206" s="339" t="n">
        <v>2408</v>
      </c>
      <c r="M206" s="339" t="n">
        <v>65818</v>
      </c>
      <c r="N206" s="201" t="n">
        <f aca="false">L206/M206*100-100</f>
        <v>-96.3414263575314</v>
      </c>
      <c r="O206" s="339" t="n">
        <v>31</v>
      </c>
      <c r="P206" s="340" t="n">
        <v>106.5</v>
      </c>
      <c r="Q206" s="236" t="n">
        <v>31</v>
      </c>
      <c r="R206" s="202" t="n">
        <f aca="false">O206*P206</f>
        <v>3301.5</v>
      </c>
    </row>
    <row r="207" customFormat="false" ht="15" hidden="false" customHeight="false" outlineLevel="0" collapsed="false">
      <c r="A207" s="288" t="n">
        <v>8</v>
      </c>
      <c r="B207" s="290" t="s">
        <v>179</v>
      </c>
      <c r="C207" s="339" t="n">
        <v>1765</v>
      </c>
      <c r="D207" s="339" t="n">
        <v>3112</v>
      </c>
      <c r="E207" s="201" t="n">
        <f aca="false">C207/D207*100-100</f>
        <v>-43.2840616966581</v>
      </c>
      <c r="F207" s="339" t="n">
        <v>670</v>
      </c>
      <c r="G207" s="339" t="n">
        <v>1132</v>
      </c>
      <c r="H207" s="201" t="n">
        <f aca="false">F207/G207*100-100</f>
        <v>-40.8127208480565</v>
      </c>
      <c r="I207" s="339" t="n">
        <v>2128</v>
      </c>
      <c r="J207" s="339" t="n">
        <v>2917</v>
      </c>
      <c r="K207" s="201" t="n">
        <f aca="false">I207/J207*100-100</f>
        <v>-27.0483373328762</v>
      </c>
      <c r="L207" s="339" t="n">
        <v>0</v>
      </c>
      <c r="M207" s="339" t="n">
        <v>0</v>
      </c>
      <c r="N207" s="201" t="n">
        <v>0</v>
      </c>
      <c r="O207" s="339" t="n">
        <v>26</v>
      </c>
      <c r="P207" s="340" t="n">
        <v>55</v>
      </c>
      <c r="Q207" s="236" t="n">
        <v>25</v>
      </c>
      <c r="R207" s="234" t="n">
        <f aca="false">O207*P207</f>
        <v>1430</v>
      </c>
    </row>
    <row r="208" customFormat="false" ht="15" hidden="false" customHeight="false" outlineLevel="0" collapsed="false">
      <c r="A208" s="288" t="n">
        <v>9</v>
      </c>
      <c r="B208" s="301" t="s">
        <v>180</v>
      </c>
      <c r="C208" s="339" t="n">
        <v>8400</v>
      </c>
      <c r="D208" s="339" t="n">
        <v>10260</v>
      </c>
      <c r="E208" s="201" t="n">
        <f aca="false">C208/D208*100-100</f>
        <v>-18.1286549707602</v>
      </c>
      <c r="F208" s="339" t="n">
        <v>1311</v>
      </c>
      <c r="G208" s="339" t="n">
        <v>1667</v>
      </c>
      <c r="H208" s="201" t="n">
        <f aca="false">F208/G208*100-100</f>
        <v>-21.3557288542292</v>
      </c>
      <c r="I208" s="339" t="n">
        <v>8400</v>
      </c>
      <c r="J208" s="339" t="n">
        <v>10260</v>
      </c>
      <c r="K208" s="201" t="n">
        <f aca="false">I208/J208*100-100</f>
        <v>-18.1286549707602</v>
      </c>
      <c r="L208" s="339" t="n">
        <v>0</v>
      </c>
      <c r="M208" s="339" t="n">
        <v>0</v>
      </c>
      <c r="N208" s="201" t="n">
        <v>0</v>
      </c>
      <c r="O208" s="339" t="n">
        <v>14</v>
      </c>
      <c r="P208" s="340" t="n">
        <v>63.4</v>
      </c>
      <c r="Q208" s="236" t="n">
        <v>15</v>
      </c>
      <c r="R208" s="202" t="n">
        <f aca="false">O208*P208</f>
        <v>887.6</v>
      </c>
    </row>
    <row r="209" customFormat="false" ht="15" hidden="false" customHeight="false" outlineLevel="0" collapsed="false">
      <c r="A209" s="215" t="s">
        <v>170</v>
      </c>
      <c r="B209" s="215" t="s">
        <v>154</v>
      </c>
      <c r="C209" s="302" t="n">
        <f aca="false">SUM(C200:C208)</f>
        <v>478150.3</v>
      </c>
      <c r="D209" s="302" t="n">
        <f aca="false">SUM(D200:D208)</f>
        <v>618549.1</v>
      </c>
      <c r="E209" s="313" t="n">
        <f aca="false">C209/D209*100-100</f>
        <v>-22.6980849216335</v>
      </c>
      <c r="F209" s="302" t="n">
        <f aca="false">SUM(F200:F208)</f>
        <v>94174.3</v>
      </c>
      <c r="G209" s="302" t="n">
        <f aca="false">SUM(G200:G208)</f>
        <v>99179.6</v>
      </c>
      <c r="H209" s="313" t="n">
        <f aca="false">F209/G209*100-100</f>
        <v>-5.04670315266446</v>
      </c>
      <c r="I209" s="302" t="n">
        <f aca="false">SUM(I200:I208)</f>
        <v>184379.2</v>
      </c>
      <c r="J209" s="302" t="n">
        <f aca="false">SUM(J200:J208)</f>
        <v>484502.1</v>
      </c>
      <c r="K209" s="313" t="n">
        <f aca="false">I209/J209*100-100</f>
        <v>-61.9446025104948</v>
      </c>
      <c r="L209" s="302" t="n">
        <f aca="false">SUM(L200:L208)</f>
        <v>2408</v>
      </c>
      <c r="M209" s="302" t="n">
        <f aca="false">SUM(M200:M208)</f>
        <v>65818</v>
      </c>
      <c r="N209" s="313" t="n">
        <f aca="false">L209/M209*100-100</f>
        <v>-96.3414263575314</v>
      </c>
      <c r="O209" s="217" t="n">
        <f aca="false">SUM(O200:O208)</f>
        <v>533</v>
      </c>
      <c r="P209" s="217" t="n">
        <f aca="false">R209/O209</f>
        <v>172.736022514071</v>
      </c>
      <c r="Q209" s="302" t="n">
        <f aca="false">SUM(Q200:Q208)</f>
        <v>507</v>
      </c>
      <c r="R209" s="232" t="n">
        <f aca="false">SUM(R200:R208)</f>
        <v>92068.3</v>
      </c>
    </row>
    <row r="210" customFormat="false" ht="15" hidden="false" customHeight="false" outlineLevel="0" collapsed="false">
      <c r="A210" s="303"/>
      <c r="B210" s="195"/>
      <c r="C210" s="303"/>
      <c r="D210" s="303"/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3"/>
      <c r="P210" s="303"/>
      <c r="Q210" s="303"/>
      <c r="R210" s="304"/>
    </row>
    <row r="211" customFormat="false" ht="15" hidden="false" customHeight="false" outlineLevel="0" collapsed="false">
      <c r="A211" s="305" t="s">
        <v>181</v>
      </c>
      <c r="B211" s="305"/>
      <c r="C211" s="195" t="n">
        <v>3</v>
      </c>
      <c r="D211" s="195" t="n">
        <v>4</v>
      </c>
      <c r="E211" s="196" t="n">
        <v>5</v>
      </c>
      <c r="F211" s="195" t="n">
        <v>6</v>
      </c>
      <c r="G211" s="195" t="n">
        <v>7</v>
      </c>
      <c r="H211" s="195" t="n">
        <v>8</v>
      </c>
      <c r="I211" s="195" t="n">
        <v>9</v>
      </c>
      <c r="J211" s="195" t="n">
        <v>10</v>
      </c>
      <c r="K211" s="195" t="n">
        <v>11</v>
      </c>
      <c r="L211" s="195" t="n">
        <v>12</v>
      </c>
      <c r="M211" s="195" t="n">
        <v>13</v>
      </c>
      <c r="N211" s="195" t="n">
        <v>14</v>
      </c>
      <c r="O211" s="195" t="n">
        <v>15</v>
      </c>
      <c r="P211" s="196" t="n">
        <v>16</v>
      </c>
      <c r="Q211" s="195" t="n">
        <v>15</v>
      </c>
      <c r="R211" s="179"/>
    </row>
    <row r="212" customFormat="false" ht="15" hidden="false" customHeight="false" outlineLevel="0" collapsed="false">
      <c r="A212" s="262" t="n">
        <v>1</v>
      </c>
      <c r="B212" s="306" t="s">
        <v>182</v>
      </c>
      <c r="C212" s="207" t="n">
        <v>53000</v>
      </c>
      <c r="D212" s="207" t="n">
        <v>48396</v>
      </c>
      <c r="E212" s="201" t="n">
        <f aca="false">C212/D212*100-100</f>
        <v>9.51318290767833</v>
      </c>
      <c r="F212" s="207" t="n">
        <v>6728</v>
      </c>
      <c r="G212" s="207" t="n">
        <v>14552</v>
      </c>
      <c r="H212" s="201" t="n">
        <f aca="false">F212/G212*100-100</f>
        <v>-53.7658053875756</v>
      </c>
      <c r="I212" s="207" t="n">
        <v>53000</v>
      </c>
      <c r="J212" s="207" t="n">
        <v>48396</v>
      </c>
      <c r="K212" s="201" t="n">
        <f aca="false">I212/J212*100-100</f>
        <v>9.51318290767833</v>
      </c>
      <c r="L212" s="207" t="n">
        <v>53000</v>
      </c>
      <c r="M212" s="207" t="n">
        <v>48396</v>
      </c>
      <c r="N212" s="201" t="n">
        <f aca="false">L212/M212*100-100</f>
        <v>9.51318290767833</v>
      </c>
      <c r="O212" s="192" t="n">
        <v>49</v>
      </c>
      <c r="P212" s="262" t="n">
        <v>49</v>
      </c>
      <c r="Q212" s="192" t="n">
        <v>48</v>
      </c>
      <c r="R212" s="234" t="n">
        <f aca="false">O212*P212</f>
        <v>2401</v>
      </c>
    </row>
    <row r="213" customFormat="false" ht="15" hidden="false" customHeight="false" outlineLevel="0" collapsed="false">
      <c r="A213" s="262" t="n">
        <v>2</v>
      </c>
      <c r="B213" s="306" t="s">
        <v>183</v>
      </c>
      <c r="C213" s="207"/>
      <c r="D213" s="207"/>
      <c r="E213" s="201"/>
      <c r="F213" s="207"/>
      <c r="G213" s="207"/>
      <c r="H213" s="201"/>
      <c r="I213" s="207"/>
      <c r="J213" s="207"/>
      <c r="K213" s="201"/>
      <c r="L213" s="207"/>
      <c r="M213" s="207"/>
      <c r="N213" s="201"/>
      <c r="O213" s="192"/>
      <c r="P213" s="262"/>
      <c r="Q213" s="192"/>
      <c r="R213" s="234" t="n">
        <f aca="false">O213*P213</f>
        <v>0</v>
      </c>
    </row>
    <row r="214" customFormat="false" ht="15" hidden="false" customHeight="false" outlineLevel="0" collapsed="false">
      <c r="A214" s="215" t="s">
        <v>170</v>
      </c>
      <c r="B214" s="215" t="s">
        <v>154</v>
      </c>
      <c r="C214" s="216" t="n">
        <f aca="false">SUM(C212:C213)</f>
        <v>53000</v>
      </c>
      <c r="D214" s="216" t="n">
        <f aca="false">SUM(D212:D213)</f>
        <v>48396</v>
      </c>
      <c r="E214" s="313" t="n">
        <f aca="false">C214/D214*100-100</f>
        <v>9.51318290767833</v>
      </c>
      <c r="F214" s="216" t="n">
        <f aca="false">SUM(F212:F213)</f>
        <v>6728</v>
      </c>
      <c r="G214" s="216" t="n">
        <f aca="false">SUM(G212:G213)</f>
        <v>14552</v>
      </c>
      <c r="H214" s="313" t="n">
        <f aca="false">F214/G214*100-100</f>
        <v>-53.7658053875756</v>
      </c>
      <c r="I214" s="217" t="n">
        <f aca="false">SUM(I212:I213)</f>
        <v>53000</v>
      </c>
      <c r="J214" s="216" t="n">
        <f aca="false">SUM(J212:J213)</f>
        <v>48396</v>
      </c>
      <c r="K214" s="313" t="n">
        <f aca="false">I214/J214*100-100</f>
        <v>9.51318290767833</v>
      </c>
      <c r="L214" s="237" t="n">
        <f aca="false">SUM(L212:L213)</f>
        <v>53000</v>
      </c>
      <c r="M214" s="216" t="n">
        <f aca="false">SUM(M212:M213)</f>
        <v>48396</v>
      </c>
      <c r="N214" s="313" t="n">
        <f aca="false">L214/M214*100-100</f>
        <v>9.51318290767833</v>
      </c>
      <c r="O214" s="237" t="n">
        <f aca="false">SUM(O212:O213)</f>
        <v>49</v>
      </c>
      <c r="P214" s="237" t="n">
        <f aca="false">R214/O214</f>
        <v>49</v>
      </c>
      <c r="Q214" s="237" t="n">
        <f aca="false">SUM(Q212:Q213)</f>
        <v>48</v>
      </c>
      <c r="R214" s="232" t="n">
        <f aca="false">SUM(R212:R213)</f>
        <v>2401</v>
      </c>
    </row>
  </sheetData>
  <mergeCells count="58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59:B159"/>
    <mergeCell ref="B161:C161"/>
    <mergeCell ref="A162:B162"/>
    <mergeCell ref="A169:B169"/>
    <mergeCell ref="A177:B177"/>
    <mergeCell ref="A181:B181"/>
    <mergeCell ref="A189:B189"/>
    <mergeCell ref="A195:B195"/>
    <mergeCell ref="B198:C198"/>
    <mergeCell ref="A199:B199"/>
    <mergeCell ref="A209:B209"/>
    <mergeCell ref="A211:B211"/>
    <mergeCell ref="A214:B2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4"/>
  <sheetViews>
    <sheetView showFormulas="false" showGridLines="true" showRowColHeaders="true" showZeros="true" rightToLeft="false" tabSelected="false" showOutlineSymbols="true" defaultGridColor="true" view="normal" topLeftCell="A91" colorId="64" zoomScale="110" zoomScaleNormal="110" zoomScalePageLayoutView="100" workbookViewId="0">
      <selection pane="topLeft" activeCell="A111" activeCellId="0" sqref="A111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3.85"/>
    <col collapsed="false" customWidth="true" hidden="false" outlineLevel="0" max="3" min="3" style="0" width="12.14"/>
    <col collapsed="false" customWidth="false" hidden="false" outlineLevel="0" max="4" min="4" style="0" width="11.43"/>
    <col collapsed="false" customWidth="true" hidden="false" outlineLevel="0" max="5" min="5" style="0" width="6"/>
    <col collapsed="false" customWidth="true" hidden="false" outlineLevel="0" max="6" min="6" style="0" width="10.57"/>
    <col collapsed="false" customWidth="true" hidden="false" outlineLevel="0" max="7" min="7" style="0" width="10.28"/>
    <col collapsed="false" customWidth="true" hidden="false" outlineLevel="0" max="8" min="8" style="0" width="5.85"/>
    <col collapsed="false" customWidth="true" hidden="false" outlineLevel="0" max="9" min="9" style="0" width="11.85"/>
    <col collapsed="false" customWidth="true" hidden="false" outlineLevel="0" max="10" min="10" style="0" width="11.71"/>
    <col collapsed="false" customWidth="true" hidden="false" outlineLevel="0" max="11" min="11" style="0" width="6"/>
    <col collapsed="false" customWidth="true" hidden="false" outlineLevel="0" max="12" min="12" style="0" width="11.71"/>
    <col collapsed="false" customWidth="true" hidden="false" outlineLevel="0" max="13" min="13" style="0" width="11.57"/>
    <col collapsed="false" customWidth="true" hidden="false" outlineLevel="0" max="14" min="14" style="0" width="6.43"/>
    <col collapsed="false" customWidth="true" hidden="false" outlineLevel="0" max="15" min="15" style="0" width="7"/>
    <col collapsed="false" customWidth="true" hidden="false" outlineLevel="0" max="16" min="16" style="0" width="6.71"/>
    <col collapsed="false" customWidth="true" hidden="false" outlineLevel="0" max="17" min="17" style="0" width="7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212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189</v>
      </c>
      <c r="F4" s="155" t="s">
        <v>12</v>
      </c>
      <c r="G4" s="155" t="s">
        <v>10</v>
      </c>
      <c r="H4" s="160" t="s">
        <v>189</v>
      </c>
      <c r="I4" s="155" t="s">
        <v>13</v>
      </c>
      <c r="J4" s="155" t="s">
        <v>10</v>
      </c>
      <c r="K4" s="160" t="s">
        <v>189</v>
      </c>
      <c r="L4" s="155" t="s">
        <v>13</v>
      </c>
      <c r="M4" s="155" t="s">
        <v>10</v>
      </c>
      <c r="N4" s="160" t="s">
        <v>189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32.25" hidden="false" customHeight="true" outlineLevel="0" collapsed="false">
      <c r="A10" s="163" t="n">
        <v>1</v>
      </c>
      <c r="B10" s="164" t="s">
        <v>213</v>
      </c>
      <c r="C10" s="161" t="n">
        <f aca="false">C138</f>
        <v>106342661</v>
      </c>
      <c r="D10" s="161" t="n">
        <f aca="false">D138</f>
        <v>102563077</v>
      </c>
      <c r="E10" s="165" t="n">
        <f aca="false">E138</f>
        <v>3.68513124854863</v>
      </c>
      <c r="F10" s="161" t="n">
        <f aca="false">F138</f>
        <v>14463904</v>
      </c>
      <c r="G10" s="166" t="n">
        <f aca="false">G138</f>
        <v>15866252</v>
      </c>
      <c r="H10" s="167" t="n">
        <f aca="false">H138</f>
        <v>-8.83855872199685</v>
      </c>
      <c r="I10" s="166" t="n">
        <f aca="false">I138</f>
        <v>97224625</v>
      </c>
      <c r="J10" s="166" t="n">
        <f aca="false">J138</f>
        <v>93825548</v>
      </c>
      <c r="K10" s="167" t="n">
        <f aca="false">K138</f>
        <v>3.62276274687999</v>
      </c>
      <c r="L10" s="161" t="n">
        <f aca="false">L138</f>
        <v>64203762</v>
      </c>
      <c r="M10" s="161" t="n">
        <f aca="false">M138</f>
        <v>58490049</v>
      </c>
      <c r="N10" s="165" t="n">
        <f aca="false">N138</f>
        <v>9.76869244886424</v>
      </c>
      <c r="O10" s="161" t="n">
        <f aca="false">O138</f>
        <v>5981</v>
      </c>
      <c r="P10" s="165" t="n">
        <f aca="false">P138</f>
        <v>175.801705400435</v>
      </c>
      <c r="Q10" s="161" t="n">
        <f aca="false">Q138</f>
        <v>5979</v>
      </c>
      <c r="R10" s="161" t="n">
        <f aca="false">R138</f>
        <v>1051470</v>
      </c>
    </row>
    <row r="11" customFormat="false" ht="21" hidden="false" customHeight="true" outlineLevel="0" collapsed="false">
      <c r="A11" s="163"/>
      <c r="B11" s="164" t="s">
        <v>15</v>
      </c>
      <c r="C11" s="161" t="n">
        <f aca="false">C148</f>
        <v>93746709</v>
      </c>
      <c r="D11" s="161" t="n">
        <f aca="false">D148</f>
        <v>91785399</v>
      </c>
      <c r="E11" s="165" t="n">
        <f aca="false">E148</f>
        <v>2.13684313776312</v>
      </c>
      <c r="F11" s="161" t="n">
        <f aca="false">F148</f>
        <v>11544238</v>
      </c>
      <c r="G11" s="161" t="n">
        <f aca="false">G148</f>
        <v>13322186</v>
      </c>
      <c r="H11" s="165" t="n">
        <f aca="false">H148</f>
        <v>-13.3457677291099</v>
      </c>
      <c r="I11" s="161" t="n">
        <f aca="false">I148</f>
        <v>92257084</v>
      </c>
      <c r="J11" s="161" t="n">
        <f aca="false">J148</f>
        <v>90023979</v>
      </c>
      <c r="K11" s="165" t="n">
        <f aca="false">K148</f>
        <v>2.48056687207749</v>
      </c>
      <c r="L11" s="161" t="n">
        <f aca="false">L148</f>
        <v>89188891</v>
      </c>
      <c r="M11" s="161" t="n">
        <f aca="false">M148</f>
        <v>87547765</v>
      </c>
      <c r="N11" s="165" t="n">
        <f aca="false">N148</f>
        <v>1.87454928175495</v>
      </c>
      <c r="O11" s="161" t="n">
        <f aca="false">O148</f>
        <v>3644</v>
      </c>
      <c r="P11" s="161" t="n">
        <f aca="false">P148</f>
        <v>132.099615806806</v>
      </c>
      <c r="Q11" s="161" t="n">
        <f aca="false">Q148</f>
        <v>3642</v>
      </c>
      <c r="R11" s="168" t="n">
        <f aca="false">O11*P11</f>
        <v>481371</v>
      </c>
    </row>
    <row r="12" customFormat="false" ht="22.5" hidden="false" customHeight="true" outlineLevel="0" collapsed="false">
      <c r="A12" s="163" t="n">
        <v>2</v>
      </c>
      <c r="B12" s="164" t="s">
        <v>16</v>
      </c>
      <c r="C12" s="161" t="n">
        <f aca="false">C159</f>
        <v>9047388</v>
      </c>
      <c r="D12" s="161" t="n">
        <f aca="false">D159</f>
        <v>7464274</v>
      </c>
      <c r="E12" s="165" t="n">
        <f aca="false">E159</f>
        <v>21.2092160603965</v>
      </c>
      <c r="F12" s="161" t="n">
        <f aca="false">F159</f>
        <v>1519670</v>
      </c>
      <c r="G12" s="166" t="n">
        <f aca="false">G159</f>
        <v>1258501</v>
      </c>
      <c r="H12" s="167" t="n">
        <f aca="false">H159</f>
        <v>20.7523871653658</v>
      </c>
      <c r="I12" s="166" t="n">
        <f aca="false">I159</f>
        <v>7885320</v>
      </c>
      <c r="J12" s="166" t="n">
        <f aca="false">J159</f>
        <v>6900441</v>
      </c>
      <c r="K12" s="167" t="n">
        <f aca="false">K159</f>
        <v>14.2726964841812</v>
      </c>
      <c r="L12" s="161" t="n">
        <f aca="false">L159</f>
        <v>3465730</v>
      </c>
      <c r="M12" s="161" t="n">
        <f aca="false">M159</f>
        <v>1323491</v>
      </c>
      <c r="N12" s="165" t="n">
        <f aca="false">N159</f>
        <v>161.862755394634</v>
      </c>
      <c r="O12" s="161" t="n">
        <f aca="false">O159</f>
        <v>1264</v>
      </c>
      <c r="P12" s="165" t="n">
        <f aca="false">P159</f>
        <v>90.4588607594937</v>
      </c>
      <c r="Q12" s="161" t="n">
        <f aca="false">Q159</f>
        <v>1256</v>
      </c>
      <c r="R12" s="168" t="n">
        <f aca="false">O12*P12</f>
        <v>114340</v>
      </c>
    </row>
    <row r="13" customFormat="false" ht="32.25" hidden="false" customHeight="true" outlineLevel="0" collapsed="false">
      <c r="A13" s="163" t="n">
        <v>3</v>
      </c>
      <c r="B13" s="164" t="s">
        <v>17</v>
      </c>
      <c r="C13" s="161" t="n">
        <f aca="false">C196</f>
        <v>7396565.9160695</v>
      </c>
      <c r="D13" s="161" t="n">
        <f aca="false">D196</f>
        <v>5695643.4981406</v>
      </c>
      <c r="E13" s="165" t="n">
        <f aca="false">E196</f>
        <v>29.8635688572184</v>
      </c>
      <c r="F13" s="161" t="n">
        <f aca="false">F196</f>
        <v>1620740.0837697</v>
      </c>
      <c r="G13" s="161" t="n">
        <f aca="false">G196</f>
        <v>2157768.5124984</v>
      </c>
      <c r="H13" s="161" t="n">
        <f aca="false">H196</f>
        <v>-24.8881390945359</v>
      </c>
      <c r="I13" s="161" t="n">
        <f aca="false">I196</f>
        <v>8133934.9160695</v>
      </c>
      <c r="J13" s="161" t="n">
        <f aca="false">J196</f>
        <v>6527637.4981406</v>
      </c>
      <c r="K13" s="165" t="n">
        <f aca="false">K196</f>
        <v>24.6076381904855</v>
      </c>
      <c r="L13" s="161" t="n">
        <f aca="false">L196</f>
        <v>8100655.9160695</v>
      </c>
      <c r="M13" s="161" t="n">
        <f aca="false">M196</f>
        <v>6493446.4981406</v>
      </c>
      <c r="N13" s="165" t="n">
        <f aca="false">N196</f>
        <v>24.7512537200256</v>
      </c>
      <c r="O13" s="161" t="n">
        <f aca="false">O196</f>
        <v>416</v>
      </c>
      <c r="P13" s="161" t="n">
        <f aca="false">P196</f>
        <v>135.225961538462</v>
      </c>
      <c r="Q13" s="161" t="n">
        <f aca="false">Q196</f>
        <v>454</v>
      </c>
      <c r="R13" s="161" t="n">
        <f aca="false">R196</f>
        <v>56254</v>
      </c>
    </row>
    <row r="14" customFormat="false" ht="31.5" hidden="false" customHeight="true" outlineLevel="0" collapsed="false">
      <c r="A14" s="163" t="n">
        <v>4</v>
      </c>
      <c r="B14" s="164" t="s">
        <v>18</v>
      </c>
      <c r="C14" s="161" t="n">
        <f aca="false">C54</f>
        <v>1478872</v>
      </c>
      <c r="D14" s="166" t="n">
        <f aca="false">D54</f>
        <v>2357133</v>
      </c>
      <c r="E14" s="167" t="n">
        <f aca="false">E54</f>
        <v>-37.2597133891045</v>
      </c>
      <c r="F14" s="166" t="n">
        <f aca="false">F54</f>
        <v>248075</v>
      </c>
      <c r="G14" s="166" t="n">
        <f aca="false">G54</f>
        <v>352071</v>
      </c>
      <c r="H14" s="167" t="n">
        <f aca="false">H54</f>
        <v>-29.5383601603086</v>
      </c>
      <c r="I14" s="166" t="n">
        <f aca="false">I54</f>
        <v>1454330</v>
      </c>
      <c r="J14" s="166" t="n">
        <f aca="false">J54</f>
        <v>1769986</v>
      </c>
      <c r="K14" s="167" t="n">
        <f aca="false">K54</f>
        <v>-17.8338133747951</v>
      </c>
      <c r="L14" s="166" t="n">
        <f aca="false">L54</f>
        <v>625648</v>
      </c>
      <c r="M14" s="166" t="n">
        <f aca="false">M54</f>
        <v>1024830</v>
      </c>
      <c r="N14" s="167" t="n">
        <f aca="false">N54</f>
        <v>-38.9510455392602</v>
      </c>
      <c r="O14" s="166" t="n">
        <f aca="false">O54</f>
        <v>847</v>
      </c>
      <c r="P14" s="167" t="n">
        <f aca="false">P54</f>
        <v>108.877213695396</v>
      </c>
      <c r="Q14" s="166" t="n">
        <f aca="false">Q54</f>
        <v>861</v>
      </c>
      <c r="R14" s="168" t="n">
        <f aca="false">O14*P14</f>
        <v>92219</v>
      </c>
    </row>
    <row r="15" customFormat="false" ht="30" hidden="false" customHeight="true" outlineLevel="0" collapsed="false">
      <c r="A15" s="163" t="n">
        <v>5</v>
      </c>
      <c r="B15" s="164" t="s">
        <v>19</v>
      </c>
      <c r="C15" s="161" t="n">
        <f aca="false">C66</f>
        <v>873920</v>
      </c>
      <c r="D15" s="166" t="n">
        <f aca="false">D66</f>
        <v>955882</v>
      </c>
      <c r="E15" s="167" t="n">
        <f aca="false">E66</f>
        <v>-8.57448931981143</v>
      </c>
      <c r="F15" s="166" t="n">
        <f aca="false">F66</f>
        <v>126711</v>
      </c>
      <c r="G15" s="166" t="n">
        <f aca="false">G66</f>
        <v>119324</v>
      </c>
      <c r="H15" s="167" t="n">
        <f aca="false">H66</f>
        <v>6.19070765311254</v>
      </c>
      <c r="I15" s="166" t="n">
        <f aca="false">I66</f>
        <v>912251</v>
      </c>
      <c r="J15" s="166" t="n">
        <f aca="false">J66</f>
        <v>1002720</v>
      </c>
      <c r="K15" s="167" t="n">
        <f aca="false">K66</f>
        <v>-9.02235918302218</v>
      </c>
      <c r="L15" s="166" t="n">
        <f aca="false">L66</f>
        <v>554697</v>
      </c>
      <c r="M15" s="166" t="n">
        <f aca="false">M66</f>
        <v>681862</v>
      </c>
      <c r="N15" s="167" t="n">
        <f aca="false">N66</f>
        <v>-18.6496681146625</v>
      </c>
      <c r="O15" s="166" t="n">
        <f aca="false">O66</f>
        <v>547</v>
      </c>
      <c r="P15" s="167" t="n">
        <f aca="false">P66</f>
        <v>84.4680073126143</v>
      </c>
      <c r="Q15" s="166" t="n">
        <f aca="false">Q66</f>
        <v>545</v>
      </c>
      <c r="R15" s="168" t="n">
        <f aca="false">O15*P15</f>
        <v>46204</v>
      </c>
    </row>
    <row r="16" customFormat="false" ht="28.5" hidden="false" customHeight="true" outlineLevel="0" collapsed="false">
      <c r="A16" s="163" t="n">
        <v>6</v>
      </c>
      <c r="B16" s="164" t="s">
        <v>20</v>
      </c>
      <c r="C16" s="161" t="n">
        <f aca="false">C77</f>
        <v>913215</v>
      </c>
      <c r="D16" s="166" t="n">
        <f aca="false">D77</f>
        <v>947886</v>
      </c>
      <c r="E16" s="167" t="n">
        <f aca="false">E77</f>
        <v>-3.65771833321729</v>
      </c>
      <c r="F16" s="166" t="n">
        <f aca="false">F77</f>
        <v>148392</v>
      </c>
      <c r="G16" s="166" t="n">
        <f aca="false">G77</f>
        <v>215015</v>
      </c>
      <c r="H16" s="167" t="n">
        <f aca="false">H77</f>
        <v>-30.9852800967374</v>
      </c>
      <c r="I16" s="166" t="n">
        <f aca="false">I77</f>
        <v>974913</v>
      </c>
      <c r="J16" s="166" t="n">
        <f aca="false">J77</f>
        <v>960955</v>
      </c>
      <c r="K16" s="167" t="n">
        <f aca="false">K77</f>
        <v>1.45251338512209</v>
      </c>
      <c r="L16" s="166" t="n">
        <f aca="false">L77</f>
        <v>556858</v>
      </c>
      <c r="M16" s="166" t="n">
        <f aca="false">M77</f>
        <v>470573</v>
      </c>
      <c r="N16" s="167" t="n">
        <f aca="false">N77</f>
        <v>18.3361561330548</v>
      </c>
      <c r="O16" s="166" t="n">
        <f aca="false">O77</f>
        <v>556</v>
      </c>
      <c r="P16" s="167" t="n">
        <f aca="false">P77</f>
        <v>100.311151079137</v>
      </c>
      <c r="Q16" s="166" t="n">
        <f aca="false">Q77</f>
        <v>552</v>
      </c>
      <c r="R16" s="168" t="n">
        <f aca="false">O16*P16</f>
        <v>55773</v>
      </c>
    </row>
    <row r="17" customFormat="false" ht="37.5" hidden="false" customHeight="true" outlineLevel="0" collapsed="false">
      <c r="A17" s="163" t="n">
        <v>7</v>
      </c>
      <c r="B17" s="164" t="s">
        <v>21</v>
      </c>
      <c r="C17" s="161" t="n">
        <f aca="false">C91</f>
        <v>3344366</v>
      </c>
      <c r="D17" s="166" t="n">
        <f aca="false">D91</f>
        <v>2844872</v>
      </c>
      <c r="E17" s="167" t="n">
        <f aca="false">E91</f>
        <v>17.5576967962003</v>
      </c>
      <c r="F17" s="166" t="n">
        <f aca="false">F91</f>
        <v>647964</v>
      </c>
      <c r="G17" s="166" t="n">
        <f aca="false">G91</f>
        <v>559270</v>
      </c>
      <c r="H17" s="167" t="n">
        <f aca="false">H91</f>
        <v>15.85888747832</v>
      </c>
      <c r="I17" s="166" t="n">
        <f aca="false">I91</f>
        <v>5522629</v>
      </c>
      <c r="J17" s="166" t="n">
        <f aca="false">J91</f>
        <v>5324179</v>
      </c>
      <c r="K17" s="167" t="n">
        <f aca="false">K91</f>
        <v>3.72733523797754</v>
      </c>
      <c r="L17" s="166" t="n">
        <f aca="false">L91</f>
        <v>1799778</v>
      </c>
      <c r="M17" s="166" t="n">
        <f aca="false">M91</f>
        <v>1494768</v>
      </c>
      <c r="N17" s="167" t="n">
        <f aca="false">N91</f>
        <v>20.405173244276</v>
      </c>
      <c r="O17" s="166" t="n">
        <f aca="false">O91</f>
        <v>3849</v>
      </c>
      <c r="P17" s="167" t="n">
        <f aca="false">P91</f>
        <v>117.431800467654</v>
      </c>
      <c r="Q17" s="166" t="n">
        <f aca="false">Q91</f>
        <v>3832</v>
      </c>
      <c r="R17" s="168" t="n">
        <f aca="false">O17*P17</f>
        <v>451995</v>
      </c>
    </row>
    <row r="18" customFormat="false" ht="45" hidden="false" customHeight="true" outlineLevel="0" collapsed="false">
      <c r="A18" s="163" t="n">
        <v>8</v>
      </c>
      <c r="B18" s="164" t="s">
        <v>22</v>
      </c>
      <c r="C18" s="161" t="n">
        <f aca="false">C178</f>
        <v>25893711</v>
      </c>
      <c r="D18" s="161" t="n">
        <f aca="false">D178</f>
        <v>19314629</v>
      </c>
      <c r="E18" s="165" t="n">
        <f aca="false">E178</f>
        <v>34.0626889597517</v>
      </c>
      <c r="F18" s="161" t="n">
        <f aca="false">F178</f>
        <v>4706301</v>
      </c>
      <c r="G18" s="161" t="n">
        <f aca="false">G178</f>
        <v>3307409</v>
      </c>
      <c r="H18" s="165" t="n">
        <f aca="false">H178</f>
        <v>42.2957063973642</v>
      </c>
      <c r="I18" s="161" t="n">
        <f aca="false">I178</f>
        <v>23323818</v>
      </c>
      <c r="J18" s="161" t="n">
        <f aca="false">J178</f>
        <v>18243885</v>
      </c>
      <c r="K18" s="165" t="n">
        <f aca="false">K178</f>
        <v>27.8445791562488</v>
      </c>
      <c r="L18" s="161" t="n">
        <f aca="false">L178</f>
        <v>14024266</v>
      </c>
      <c r="M18" s="161" t="n">
        <f aca="false">M178</f>
        <v>9661734</v>
      </c>
      <c r="N18" s="165" t="n">
        <f aca="false">N178</f>
        <v>45.152681702891</v>
      </c>
      <c r="O18" s="161" t="n">
        <f aca="false">O178</f>
        <v>2549</v>
      </c>
      <c r="P18" s="165" t="n">
        <f aca="false">P178</f>
        <v>70.5555119654767</v>
      </c>
      <c r="Q18" s="161" t="n">
        <f aca="false">Q178</f>
        <v>3349</v>
      </c>
      <c r="R18" s="161" t="n">
        <f aca="false">R178</f>
        <v>179846</v>
      </c>
    </row>
    <row r="19" customFormat="false" ht="32.25" hidden="false" customHeight="true" outlineLevel="0" collapsed="false">
      <c r="A19" s="163" t="n">
        <v>9</v>
      </c>
      <c r="B19" s="164" t="s">
        <v>23</v>
      </c>
      <c r="C19" s="161" t="n">
        <f aca="false">C119</f>
        <v>2084287</v>
      </c>
      <c r="D19" s="166" t="n">
        <f aca="false">D119</f>
        <v>2004889</v>
      </c>
      <c r="E19" s="167" t="n">
        <f aca="false">E119</f>
        <v>3.9602192440579</v>
      </c>
      <c r="F19" s="166" t="n">
        <f aca="false">F119</f>
        <v>328502</v>
      </c>
      <c r="G19" s="166" t="n">
        <f aca="false">G119</f>
        <v>340793</v>
      </c>
      <c r="H19" s="167" t="n">
        <f aca="false">H119</f>
        <v>-3.60658816348928</v>
      </c>
      <c r="I19" s="166" t="n">
        <f aca="false">I119</f>
        <v>2026642</v>
      </c>
      <c r="J19" s="166" t="n">
        <f aca="false">J119</f>
        <v>2027425</v>
      </c>
      <c r="K19" s="167" t="n">
        <f aca="false">K119</f>
        <v>-0.0386204175246974</v>
      </c>
      <c r="L19" s="166" t="n">
        <f aca="false">L119</f>
        <v>1152921</v>
      </c>
      <c r="M19" s="166" t="n">
        <f aca="false">M119</f>
        <v>962829</v>
      </c>
      <c r="N19" s="167" t="n">
        <f aca="false">N119</f>
        <v>19.7430696416498</v>
      </c>
      <c r="O19" s="166" t="n">
        <f aca="false">O119</f>
        <v>1984</v>
      </c>
      <c r="P19" s="167" t="n">
        <f aca="false">P119</f>
        <v>75.2439516129032</v>
      </c>
      <c r="Q19" s="166" t="n">
        <f aca="false">Q119</f>
        <v>1872</v>
      </c>
      <c r="R19" s="168" t="n">
        <f aca="false">O19*P19</f>
        <v>149284</v>
      </c>
    </row>
    <row r="20" customFormat="false" ht="27.75" hidden="false" customHeight="true" outlineLevel="0" collapsed="false">
      <c r="A20" s="163" t="n">
        <v>10</v>
      </c>
      <c r="B20" s="164" t="s">
        <v>24</v>
      </c>
      <c r="C20" s="161" t="n">
        <f aca="false">C130</f>
        <v>108727</v>
      </c>
      <c r="D20" s="166" t="n">
        <f aca="false">D130</f>
        <v>182014</v>
      </c>
      <c r="E20" s="167" t="n">
        <f aca="false">E130</f>
        <v>-40.264485149494</v>
      </c>
      <c r="F20" s="166" t="n">
        <f aca="false">F130</f>
        <v>17315</v>
      </c>
      <c r="G20" s="166" t="n">
        <f aca="false">G130</f>
        <v>23331</v>
      </c>
      <c r="H20" s="167" t="n">
        <f aca="false">H130</f>
        <v>-25.7854356864258</v>
      </c>
      <c r="I20" s="166" t="n">
        <f aca="false">I130</f>
        <v>69003</v>
      </c>
      <c r="J20" s="166" t="n">
        <f aca="false">J130</f>
        <v>193244</v>
      </c>
      <c r="K20" s="167" t="n">
        <f aca="false">K130</f>
        <v>-64.2922936805283</v>
      </c>
      <c r="L20" s="166" t="n">
        <f aca="false">L130</f>
        <v>0</v>
      </c>
      <c r="M20" s="166" t="n">
        <f aca="false">M130</f>
        <v>0</v>
      </c>
      <c r="N20" s="167" t="n">
        <f aca="false">N130</f>
        <v>0</v>
      </c>
      <c r="O20" s="166" t="n">
        <f aca="false">O130</f>
        <v>107</v>
      </c>
      <c r="P20" s="167" t="n">
        <f aca="false">P130</f>
        <v>83.7383177570093</v>
      </c>
      <c r="Q20" s="166" t="n">
        <f aca="false">Q130</f>
        <v>96</v>
      </c>
      <c r="R20" s="168" t="n">
        <f aca="false">O20*P20</f>
        <v>8960</v>
      </c>
    </row>
    <row r="21" customFormat="false" ht="45" hidden="false" customHeight="true" outlineLevel="0" collapsed="false">
      <c r="A21" s="163" t="n">
        <v>11</v>
      </c>
      <c r="B21" s="164" t="s">
        <v>25</v>
      </c>
      <c r="C21" s="161" t="n">
        <f aca="false">C209</f>
        <v>564769.1</v>
      </c>
      <c r="D21" s="166" t="n">
        <f aca="false">D209</f>
        <v>733090.7</v>
      </c>
      <c r="E21" s="167" t="n">
        <f aca="false">E209</f>
        <v>-22.9605422630515</v>
      </c>
      <c r="F21" s="166" t="n">
        <f aca="false">F209</f>
        <v>86618.8</v>
      </c>
      <c r="G21" s="166" t="n">
        <f aca="false">G209</f>
        <v>114541.6</v>
      </c>
      <c r="H21" s="167" t="n">
        <f aca="false">H209</f>
        <v>-24.3778679536518</v>
      </c>
      <c r="I21" s="166" t="n">
        <f aca="false">I209</f>
        <v>255631.2</v>
      </c>
      <c r="J21" s="166" t="n">
        <f aca="false">J209</f>
        <v>525356.3</v>
      </c>
      <c r="K21" s="167" t="n">
        <f aca="false">K209</f>
        <v>-51.3413658501859</v>
      </c>
      <c r="L21" s="166" t="n">
        <f aca="false">L209</f>
        <v>3595</v>
      </c>
      <c r="M21" s="166" t="n">
        <f aca="false">M209</f>
        <v>87546</v>
      </c>
      <c r="N21" s="167" t="n">
        <f aca="false">N209</f>
        <v>-95.8935873712106</v>
      </c>
      <c r="O21" s="166" t="n">
        <f aca="false">O209</f>
        <v>550</v>
      </c>
      <c r="P21" s="167" t="n">
        <f aca="false">P209</f>
        <v>197.000181818182</v>
      </c>
      <c r="Q21" s="166" t="n">
        <f aca="false">Q209</f>
        <v>533</v>
      </c>
      <c r="R21" s="168" t="n">
        <f aca="false">O21*P21</f>
        <v>108350.1</v>
      </c>
    </row>
    <row r="22" customFormat="false" ht="31.5" hidden="false" customHeight="true" outlineLevel="0" collapsed="false">
      <c r="A22" s="163" t="n">
        <v>12</v>
      </c>
      <c r="B22" s="164" t="s">
        <v>26</v>
      </c>
      <c r="C22" s="161" t="n">
        <f aca="false">C214</f>
        <v>123394</v>
      </c>
      <c r="D22" s="166" t="n">
        <f aca="false">D214</f>
        <v>162075</v>
      </c>
      <c r="E22" s="167" t="n">
        <f aca="false">E214</f>
        <v>-23.8661113681937</v>
      </c>
      <c r="F22" s="166" t="n">
        <f aca="false">F214</f>
        <v>42453</v>
      </c>
      <c r="G22" s="166" t="n">
        <f aca="false">G214</f>
        <v>28579</v>
      </c>
      <c r="H22" s="167" t="n">
        <f aca="false">H214</f>
        <v>48.5461352741523</v>
      </c>
      <c r="I22" s="166" t="n">
        <f aca="false">I214</f>
        <v>113847</v>
      </c>
      <c r="J22" s="166" t="n">
        <f aca="false">J214</f>
        <v>72062</v>
      </c>
      <c r="K22" s="167" t="n">
        <f aca="false">K214</f>
        <v>57.9847908745247</v>
      </c>
      <c r="L22" s="166" t="n">
        <f aca="false">L214</f>
        <v>63861</v>
      </c>
      <c r="M22" s="166" t="n">
        <f aca="false">M214</f>
        <v>48396</v>
      </c>
      <c r="N22" s="167" t="n">
        <f aca="false">N214</f>
        <v>31.9551202578725</v>
      </c>
      <c r="O22" s="166" t="n">
        <f aca="false">O214</f>
        <v>225</v>
      </c>
      <c r="P22" s="167" t="n">
        <f aca="false">P214</f>
        <v>155.382222222222</v>
      </c>
      <c r="Q22" s="166" t="n">
        <f aca="false">Q214</f>
        <v>224</v>
      </c>
      <c r="R22" s="168" t="n">
        <f aca="false">O22*P22</f>
        <v>34961</v>
      </c>
    </row>
    <row r="23" customFormat="false" ht="15" hidden="false" customHeight="false" outlineLevel="0" collapsed="false">
      <c r="A23" s="307"/>
      <c r="B23" s="308" t="s">
        <v>27</v>
      </c>
      <c r="C23" s="309" t="n">
        <f aca="false">SUM(C10:C22)</f>
        <v>251918585.016069</v>
      </c>
      <c r="D23" s="309" t="n">
        <f aca="false">SUM(D10:D22)</f>
        <v>237010864.198141</v>
      </c>
      <c r="E23" s="310" t="n">
        <f aca="false">C23/D23*100-100</f>
        <v>6.2898892286499</v>
      </c>
      <c r="F23" s="309" t="n">
        <f aca="false">SUM(F10:F22)</f>
        <v>35500883.8837697</v>
      </c>
      <c r="G23" s="309" t="n">
        <f aca="false">SUM(G10:G22)</f>
        <v>37665041.1124984</v>
      </c>
      <c r="H23" s="310" t="n">
        <f aca="false">F23/G23*100-100</f>
        <v>-5.74579813218516</v>
      </c>
      <c r="I23" s="309" t="n">
        <f aca="false">SUM(I10:I22)</f>
        <v>240154028.116069</v>
      </c>
      <c r="J23" s="309" t="n">
        <f aca="false">SUM(J10:J22)</f>
        <v>227397417.798141</v>
      </c>
      <c r="K23" s="310" t="n">
        <f aca="false">I23/J23*100-100</f>
        <v>5.60983077180448</v>
      </c>
      <c r="L23" s="309" t="n">
        <f aca="false">SUM(L10:L22)</f>
        <v>183740662.91607</v>
      </c>
      <c r="M23" s="309" t="n">
        <f aca="false">SUM(M10:M22)</f>
        <v>168287289.498141</v>
      </c>
      <c r="N23" s="310" t="n">
        <f aca="false">L23/M23*100-100</f>
        <v>9.18273356473523</v>
      </c>
      <c r="O23" s="309" t="n">
        <f aca="false">SUM(O10:O22)</f>
        <v>22519</v>
      </c>
      <c r="P23" s="311" t="n">
        <f aca="false">R23/O23</f>
        <v>125.717265420312</v>
      </c>
      <c r="Q23" s="309" t="n">
        <f aca="false">SUM(Q10:Q22)</f>
        <v>23195</v>
      </c>
      <c r="R23" s="312" t="n">
        <f aca="false">SUM(R10:R22)</f>
        <v>2831027.1</v>
      </c>
    </row>
    <row r="24" customFormat="false" ht="15" hidden="false" customHeight="fals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15" hidden="false" customHeight="fals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5" hidden="false" customHeight="fals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15" hidden="false" customHeight="fals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fals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30.75" hidden="fals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32.25" hidden="false" customHeight="true" outlineLevel="0" collapsed="false">
      <c r="A30" s="178" t="s">
        <v>214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</row>
    <row r="31" customFormat="false" ht="9.75" hidden="false" customHeight="true" outlineLevel="0" collapsed="false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9"/>
    </row>
    <row r="32" customFormat="false" ht="3.75" hidden="true" customHeight="true" outlineLevel="0" collapsed="false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80"/>
    </row>
    <row r="33" customFormat="false" ht="1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65.25" hidden="false" customHeight="true" outlineLevel="0" collapsed="false">
      <c r="A34" s="181"/>
      <c r="B34" s="182"/>
      <c r="C34" s="186" t="s">
        <v>9</v>
      </c>
      <c r="D34" s="186" t="s">
        <v>33</v>
      </c>
      <c r="E34" s="188" t="s">
        <v>189</v>
      </c>
      <c r="F34" s="186" t="s">
        <v>12</v>
      </c>
      <c r="G34" s="186" t="s">
        <v>35</v>
      </c>
      <c r="H34" s="188" t="s">
        <v>189</v>
      </c>
      <c r="I34" s="186" t="s">
        <v>13</v>
      </c>
      <c r="J34" s="186" t="s">
        <v>33</v>
      </c>
      <c r="K34" s="188" t="s">
        <v>189</v>
      </c>
      <c r="L34" s="186" t="s">
        <v>13</v>
      </c>
      <c r="M34" s="186" t="s">
        <v>33</v>
      </c>
      <c r="N34" s="188" t="s">
        <v>189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79530</v>
      </c>
      <c r="D37" s="200" t="n">
        <v>107378</v>
      </c>
      <c r="E37" s="201" t="n">
        <f aca="false">C37/D37*100-100</f>
        <v>-25.9345489765129</v>
      </c>
      <c r="F37" s="200" t="n">
        <v>16202</v>
      </c>
      <c r="G37" s="200" t="n">
        <v>18245</v>
      </c>
      <c r="H37" s="201" t="n">
        <f aca="false">F37/G37*100-100</f>
        <v>-11.1975883803782</v>
      </c>
      <c r="I37" s="200" t="n">
        <v>79530</v>
      </c>
      <c r="J37" s="200" t="n">
        <v>90545</v>
      </c>
      <c r="K37" s="201" t="n">
        <f aca="false">I37/J37*100-100</f>
        <v>-12.1652217129604</v>
      </c>
      <c r="L37" s="200" t="n">
        <v>1672</v>
      </c>
      <c r="M37" s="200" t="n">
        <v>5501</v>
      </c>
      <c r="N37" s="201" t="n">
        <f aca="false">L37/M37*100-100</f>
        <v>-69.6055262679513</v>
      </c>
      <c r="O37" s="200" t="n">
        <v>81</v>
      </c>
      <c r="P37" s="200" t="n">
        <v>119</v>
      </c>
      <c r="Q37" s="200" t="n">
        <v>82</v>
      </c>
      <c r="R37" s="202" t="n">
        <f aca="false">O37*P37</f>
        <v>9639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174780</v>
      </c>
      <c r="D38" s="200" t="n">
        <v>181967</v>
      </c>
      <c r="E38" s="201" t="n">
        <f aca="false">C38/D38*100-100</f>
        <v>-3.94961723829046</v>
      </c>
      <c r="F38" s="200" t="n">
        <v>64255</v>
      </c>
      <c r="G38" s="200" t="n">
        <v>18797</v>
      </c>
      <c r="H38" s="201" t="n">
        <v>0</v>
      </c>
      <c r="I38" s="200" t="n">
        <v>174780</v>
      </c>
      <c r="J38" s="200" t="n">
        <v>181967</v>
      </c>
      <c r="K38" s="201" t="n">
        <f aca="false">I38/J38*100-100</f>
        <v>-3.94961723829046</v>
      </c>
      <c r="L38" s="200" t="n">
        <v>66497</v>
      </c>
      <c r="M38" s="200" t="n">
        <v>129347</v>
      </c>
      <c r="N38" s="201" t="n">
        <v>0</v>
      </c>
      <c r="O38" s="203" t="n">
        <v>95</v>
      </c>
      <c r="P38" s="204" t="n">
        <v>177</v>
      </c>
      <c r="Q38" s="203" t="n">
        <v>96</v>
      </c>
      <c r="R38" s="202" t="n">
        <f aca="false">O38*P38</f>
        <v>16815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40673</v>
      </c>
      <c r="D39" s="200" t="n">
        <v>46345</v>
      </c>
      <c r="E39" s="201" t="n">
        <f aca="false">C39/D39*100-100</f>
        <v>-12.2386449455173</v>
      </c>
      <c r="F39" s="200" t="n">
        <v>7482</v>
      </c>
      <c r="G39" s="200" t="n">
        <v>9234</v>
      </c>
      <c r="H39" s="201" t="n">
        <f aca="false">F39/G39*100-100</f>
        <v>-18.9733593242365</v>
      </c>
      <c r="I39" s="200" t="n">
        <v>84423</v>
      </c>
      <c r="J39" s="200" t="n">
        <v>82025</v>
      </c>
      <c r="K39" s="201" t="n">
        <f aca="false">I39/J39*100-100</f>
        <v>2.92349893325206</v>
      </c>
      <c r="L39" s="200" t="n">
        <v>0</v>
      </c>
      <c r="M39" s="200" t="n">
        <v>0</v>
      </c>
      <c r="N39" s="201" t="n">
        <v>0</v>
      </c>
      <c r="O39" s="203" t="n">
        <v>31</v>
      </c>
      <c r="P39" s="204" t="n">
        <v>90</v>
      </c>
      <c r="Q39" s="203" t="n">
        <v>29</v>
      </c>
      <c r="R39" s="202" t="n">
        <f aca="false">O39*P39</f>
        <v>2790</v>
      </c>
    </row>
    <row r="40" customFormat="false" ht="15" hidden="false" customHeight="false" outlineLevel="0" collapsed="false">
      <c r="A40" s="198" t="n">
        <v>4</v>
      </c>
      <c r="B40" s="199" t="s">
        <v>215</v>
      </c>
      <c r="C40" s="200" t="n">
        <v>11630</v>
      </c>
      <c r="D40" s="200" t="n">
        <v>8200</v>
      </c>
      <c r="E40" s="201" t="n">
        <f aca="false">C40/D40*100-100</f>
        <v>41.8292682926829</v>
      </c>
      <c r="F40" s="200" t="n">
        <v>3000</v>
      </c>
      <c r="G40" s="200" t="n">
        <v>1500</v>
      </c>
      <c r="H40" s="201" t="n">
        <f aca="false">F40/G40*100-100</f>
        <v>100</v>
      </c>
      <c r="I40" s="200" t="n">
        <v>14036</v>
      </c>
      <c r="J40" s="200" t="n">
        <v>13452</v>
      </c>
      <c r="K40" s="201" t="n">
        <f aca="false">I40/J40*100-100</f>
        <v>4.34136187927446</v>
      </c>
      <c r="L40" s="200" t="n">
        <v>14036</v>
      </c>
      <c r="M40" s="200" t="n">
        <v>13452</v>
      </c>
      <c r="N40" s="201" t="n">
        <v>0</v>
      </c>
      <c r="O40" s="203" t="n">
        <v>15</v>
      </c>
      <c r="P40" s="204" t="n">
        <v>60</v>
      </c>
      <c r="Q40" s="203" t="n">
        <v>15</v>
      </c>
      <c r="R40" s="202" t="n">
        <f aca="false">O40*P40</f>
        <v>900</v>
      </c>
    </row>
    <row r="41" customFormat="false" ht="15" hidden="false" customHeight="false" outlineLevel="0" collapsed="false">
      <c r="A41" s="198" t="n">
        <v>5</v>
      </c>
      <c r="B41" s="199" t="s">
        <v>42</v>
      </c>
      <c r="C41" s="206" t="n">
        <v>25307</v>
      </c>
      <c r="D41" s="206" t="n">
        <v>34704</v>
      </c>
      <c r="E41" s="201" t="n">
        <f aca="false">C41/D41*100-100</f>
        <v>-27.0775703088981</v>
      </c>
      <c r="F41" s="206" t="n">
        <v>3980</v>
      </c>
      <c r="G41" s="206" t="n">
        <v>4419</v>
      </c>
      <c r="H41" s="201" t="n">
        <f aca="false">F41/G41*100-100</f>
        <v>-9.93437429282643</v>
      </c>
      <c r="I41" s="206" t="n">
        <v>35190</v>
      </c>
      <c r="J41" s="206" t="n">
        <v>40085</v>
      </c>
      <c r="K41" s="201" t="n">
        <f aca="false">I41/J41*100-100</f>
        <v>-12.2115504552825</v>
      </c>
      <c r="L41" s="206" t="n">
        <v>5045</v>
      </c>
      <c r="M41" s="206" t="n">
        <v>3310</v>
      </c>
      <c r="N41" s="201" t="n">
        <f aca="false">L41/M41*100-100</f>
        <v>52.416918429003</v>
      </c>
      <c r="O41" s="203" t="n">
        <v>56</v>
      </c>
      <c r="P41" s="204" t="n">
        <v>75</v>
      </c>
      <c r="Q41" s="203" t="n">
        <v>56</v>
      </c>
      <c r="R41" s="202" t="n">
        <f aca="false">O41*P41</f>
        <v>4200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82328</v>
      </c>
      <c r="D42" s="200" t="n">
        <v>50011</v>
      </c>
      <c r="E42" s="201" t="n">
        <f aca="false">C42/D42*100-100</f>
        <v>64.6197836475975</v>
      </c>
      <c r="F42" s="200" t="n">
        <v>12502</v>
      </c>
      <c r="G42" s="200" t="n">
        <v>9530</v>
      </c>
      <c r="H42" s="201" t="n">
        <f aca="false">F42/G42*100-100</f>
        <v>31.1857292759706</v>
      </c>
      <c r="I42" s="200" t="n">
        <v>76416</v>
      </c>
      <c r="J42" s="200" t="n">
        <v>49618</v>
      </c>
      <c r="K42" s="201" t="n">
        <f aca="false">I42/J42*100-100</f>
        <v>54.0086259018904</v>
      </c>
      <c r="L42" s="200" t="n">
        <v>0</v>
      </c>
      <c r="M42" s="200" t="n">
        <v>878</v>
      </c>
      <c r="N42" s="201" t="n">
        <v>0</v>
      </c>
      <c r="O42" s="203" t="n">
        <v>64</v>
      </c>
      <c r="P42" s="204" t="n">
        <v>100</v>
      </c>
      <c r="Q42" s="203" t="n">
        <v>64</v>
      </c>
      <c r="R42" s="202" t="n">
        <f aca="false">O42*P42</f>
        <v>6400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0</v>
      </c>
      <c r="D43" s="200" t="n">
        <v>0</v>
      </c>
      <c r="E43" s="201" t="n">
        <v>0</v>
      </c>
      <c r="F43" s="200" t="n">
        <v>0</v>
      </c>
      <c r="G43" s="200" t="n">
        <v>0</v>
      </c>
      <c r="H43" s="201" t="n">
        <v>0</v>
      </c>
      <c r="I43" s="200" t="n">
        <v>0</v>
      </c>
      <c r="J43" s="200" t="n">
        <v>0</v>
      </c>
      <c r="K43" s="201" t="n">
        <v>0</v>
      </c>
      <c r="L43" s="200" t="n">
        <v>0</v>
      </c>
      <c r="M43" s="200" t="n">
        <v>0</v>
      </c>
      <c r="N43" s="201" t="n">
        <v>0</v>
      </c>
      <c r="O43" s="203" t="n">
        <v>0</v>
      </c>
      <c r="P43" s="204" t="n">
        <v>0</v>
      </c>
      <c r="Q43" s="203" t="n">
        <v>0</v>
      </c>
      <c r="R43" s="202" t="n">
        <f aca="false">O43*P43</f>
        <v>0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6" t="n">
        <v>76332</v>
      </c>
      <c r="D44" s="206" t="n">
        <v>53872</v>
      </c>
      <c r="E44" s="201" t="n">
        <f aca="false">C44/D44*100-100</f>
        <v>41.6914166914167</v>
      </c>
      <c r="F44" s="206" t="n">
        <v>10867</v>
      </c>
      <c r="G44" s="206" t="n">
        <v>10834</v>
      </c>
      <c r="H44" s="201" t="n">
        <f aca="false">F44/G44*100-100</f>
        <v>0.304596640206768</v>
      </c>
      <c r="I44" s="206" t="n">
        <v>76229</v>
      </c>
      <c r="J44" s="206" t="n">
        <v>51391</v>
      </c>
      <c r="K44" s="201" t="n">
        <f aca="false">I44/J44*100-100</f>
        <v>48.3314198984258</v>
      </c>
      <c r="L44" s="200" t="n">
        <v>0</v>
      </c>
      <c r="M44" s="200" t="n">
        <v>0</v>
      </c>
      <c r="N44" s="201" t="n">
        <v>0</v>
      </c>
      <c r="O44" s="203" t="n">
        <v>47</v>
      </c>
      <c r="P44" s="204" t="n">
        <v>82</v>
      </c>
      <c r="Q44" s="203" t="n">
        <v>47</v>
      </c>
      <c r="R44" s="202" t="n">
        <f aca="false">O44*P44</f>
        <v>3854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164779</v>
      </c>
      <c r="D45" s="200" t="n">
        <v>143200</v>
      </c>
      <c r="E45" s="201" t="n">
        <f aca="false">C45/D45*100-100</f>
        <v>15.0691340782123</v>
      </c>
      <c r="F45" s="208" t="n">
        <v>38163</v>
      </c>
      <c r="G45" s="200" t="n">
        <v>28157</v>
      </c>
      <c r="H45" s="201" t="n">
        <f aca="false">F45/G45*100-100</f>
        <v>35.5364562986113</v>
      </c>
      <c r="I45" s="200" t="n">
        <v>143442</v>
      </c>
      <c r="J45" s="200" t="n">
        <v>113232</v>
      </c>
      <c r="K45" s="201" t="n">
        <f aca="false">I45/J45*100-100</f>
        <v>26.6797371767698</v>
      </c>
      <c r="L45" s="200" t="n">
        <v>0</v>
      </c>
      <c r="M45" s="200" t="n">
        <v>0</v>
      </c>
      <c r="N45" s="201" t="n">
        <v>0</v>
      </c>
      <c r="O45" s="203" t="n">
        <v>74</v>
      </c>
      <c r="P45" s="204" t="n">
        <v>144</v>
      </c>
      <c r="Q45" s="203" t="n">
        <v>76</v>
      </c>
      <c r="R45" s="202" t="n">
        <f aca="false">O45*P45</f>
        <v>10656</v>
      </c>
    </row>
    <row r="46" customFormat="false" ht="15" hidden="false" customHeight="false" outlineLevel="0" collapsed="false">
      <c r="A46" s="210" t="n">
        <v>10</v>
      </c>
      <c r="B46" s="199" t="s">
        <v>47</v>
      </c>
      <c r="C46" s="208" t="n">
        <v>424492</v>
      </c>
      <c r="D46" s="200" t="n">
        <v>633538</v>
      </c>
      <c r="E46" s="201" t="n">
        <f aca="false">C46/D46*100-100</f>
        <v>-32.9966000460904</v>
      </c>
      <c r="F46" s="208" t="n">
        <v>7430</v>
      </c>
      <c r="G46" s="200" t="n">
        <v>0</v>
      </c>
      <c r="H46" s="201" t="n">
        <v>0</v>
      </c>
      <c r="I46" s="200" t="n">
        <v>409148</v>
      </c>
      <c r="J46" s="200" t="n">
        <v>509303</v>
      </c>
      <c r="K46" s="201" t="n">
        <f aca="false">I46/J46*100-100</f>
        <v>-19.6651109457435</v>
      </c>
      <c r="L46" s="200" t="n">
        <v>406570</v>
      </c>
      <c r="M46" s="200" t="n">
        <v>506162</v>
      </c>
      <c r="N46" s="201" t="n">
        <f aca="false">L46/M46*100-100</f>
        <v>-19.6759140354274</v>
      </c>
      <c r="O46" s="203" t="n">
        <v>192</v>
      </c>
      <c r="P46" s="204" t="n">
        <v>84</v>
      </c>
      <c r="Q46" s="203" t="n">
        <v>192</v>
      </c>
      <c r="R46" s="202" t="n">
        <f aca="false">O46*P46</f>
        <v>16128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1270</v>
      </c>
      <c r="D47" s="200" t="n">
        <v>16216</v>
      </c>
      <c r="E47" s="201" t="n">
        <v>0</v>
      </c>
      <c r="F47" s="200" t="n">
        <v>0</v>
      </c>
      <c r="G47" s="200" t="n">
        <v>0</v>
      </c>
      <c r="H47" s="201" t="n">
        <v>0</v>
      </c>
      <c r="I47" s="200" t="n">
        <v>2036</v>
      </c>
      <c r="J47" s="200" t="n">
        <v>22905</v>
      </c>
      <c r="K47" s="201" t="n">
        <v>0</v>
      </c>
      <c r="L47" s="200" t="n">
        <v>2036</v>
      </c>
      <c r="M47" s="200" t="n">
        <v>22905</v>
      </c>
      <c r="N47" s="201" t="n">
        <v>0</v>
      </c>
      <c r="O47" s="203" t="n">
        <v>26</v>
      </c>
      <c r="P47" s="204" t="n">
        <v>90</v>
      </c>
      <c r="Q47" s="203" t="n">
        <v>26</v>
      </c>
      <c r="R47" s="202" t="n">
        <f aca="false">O47*P47</f>
        <v>2340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48863</v>
      </c>
      <c r="D48" s="200" t="n">
        <v>47012</v>
      </c>
      <c r="E48" s="201" t="n">
        <f aca="false">C48/D48*100-100</f>
        <v>3.9372926061431</v>
      </c>
      <c r="F48" s="212" t="n">
        <v>6162</v>
      </c>
      <c r="G48" s="212" t="n">
        <v>8256</v>
      </c>
      <c r="H48" s="201" t="n">
        <f aca="false">F48/G48*100-100</f>
        <v>-25.3633720930232</v>
      </c>
      <c r="I48" s="212" t="n">
        <v>51752</v>
      </c>
      <c r="J48" s="212" t="n">
        <v>46356</v>
      </c>
      <c r="K48" s="201" t="n">
        <f aca="false">I48/J48*100-100</f>
        <v>11.6403486064371</v>
      </c>
      <c r="L48" s="213" t="n">
        <v>43343</v>
      </c>
      <c r="M48" s="212" t="n">
        <v>45016</v>
      </c>
      <c r="N48" s="201" t="n">
        <f aca="false">L48/M48*100-100</f>
        <v>-3.71645637106806</v>
      </c>
      <c r="O48" s="203" t="n">
        <v>15</v>
      </c>
      <c r="P48" s="204" t="n">
        <v>138</v>
      </c>
      <c r="Q48" s="203" t="n">
        <v>27</v>
      </c>
      <c r="R48" s="202" t="n">
        <f aca="false">O48*P48</f>
        <v>2070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190464</v>
      </c>
      <c r="D49" s="207" t="n">
        <v>229746</v>
      </c>
      <c r="E49" s="201" t="n">
        <f aca="false">C49/D49*100-100</f>
        <v>-17.0980125878144</v>
      </c>
      <c r="F49" s="207" t="n">
        <v>29978</v>
      </c>
      <c r="G49" s="207" t="n">
        <v>39194</v>
      </c>
      <c r="H49" s="201" t="n">
        <f aca="false">F49/G49*100-100</f>
        <v>-23.5138031331326</v>
      </c>
      <c r="I49" s="200" t="n">
        <v>186220</v>
      </c>
      <c r="J49" s="200" t="n">
        <v>218657</v>
      </c>
      <c r="K49" s="201" t="n">
        <f aca="false">I49/J49*100-100</f>
        <v>-14.8346497025021</v>
      </c>
      <c r="L49" s="207" t="n">
        <v>0</v>
      </c>
      <c r="M49" s="207" t="n">
        <v>3429</v>
      </c>
      <c r="N49" s="201" t="n">
        <v>0</v>
      </c>
      <c r="O49" s="203" t="n">
        <v>72</v>
      </c>
      <c r="P49" s="204" t="n">
        <v>115</v>
      </c>
      <c r="Q49" s="203" t="n">
        <v>72</v>
      </c>
      <c r="R49" s="202" t="n">
        <f aca="false">O49*P49</f>
        <v>8280</v>
      </c>
    </row>
    <row r="50" customFormat="false" ht="15" hidden="false" customHeight="false" outlineLevel="0" collapsed="false">
      <c r="A50" s="198" t="n">
        <v>14</v>
      </c>
      <c r="B50" s="199" t="s">
        <v>216</v>
      </c>
      <c r="C50" s="203" t="n">
        <v>12606</v>
      </c>
      <c r="D50" s="203" t="n">
        <v>11972</v>
      </c>
      <c r="E50" s="201" t="n">
        <f aca="false">C50/D50*100-100</f>
        <v>5.2956899432008</v>
      </c>
      <c r="F50" s="203" t="n">
        <v>2009</v>
      </c>
      <c r="G50" s="203" t="n">
        <v>1973</v>
      </c>
      <c r="H50" s="201" t="n">
        <f aca="false">F50/G50*100-100</f>
        <v>1.82463253928029</v>
      </c>
      <c r="I50" s="203" t="n">
        <v>11026</v>
      </c>
      <c r="J50" s="203" t="n">
        <v>14148</v>
      </c>
      <c r="K50" s="201" t="n">
        <f aca="false">I50/J50*100-100</f>
        <v>-22.0667232117614</v>
      </c>
      <c r="L50" s="203" t="n">
        <v>1576</v>
      </c>
      <c r="M50" s="203" t="n">
        <v>0</v>
      </c>
      <c r="N50" s="201" t="n">
        <v>0</v>
      </c>
      <c r="O50" s="203" t="n">
        <v>14</v>
      </c>
      <c r="P50" s="204" t="n">
        <v>80</v>
      </c>
      <c r="Q50" s="203" t="n">
        <v>14</v>
      </c>
      <c r="R50" s="202" t="n">
        <f aca="false">O50*P50</f>
        <v>1120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126668</v>
      </c>
      <c r="D51" s="203" t="n">
        <v>169163</v>
      </c>
      <c r="E51" s="203" t="n">
        <f aca="false">C51/D51*100-100</f>
        <v>-25.120741533314</v>
      </c>
      <c r="F51" s="203" t="n">
        <v>44000</v>
      </c>
      <c r="G51" s="203" t="n">
        <v>51712</v>
      </c>
      <c r="H51" s="203" t="n">
        <f aca="false">F51/G51*100-100</f>
        <v>-14.9133663366337</v>
      </c>
      <c r="I51" s="203" t="n">
        <v>91156</v>
      </c>
      <c r="J51" s="203" t="n">
        <v>299280</v>
      </c>
      <c r="K51" s="203" t="n">
        <f aca="false">I51/J51*100-100</f>
        <v>-69.5415664260893</v>
      </c>
      <c r="L51" s="203" t="n">
        <v>84873</v>
      </c>
      <c r="M51" s="203" t="n">
        <v>294830</v>
      </c>
      <c r="N51" s="201" t="n">
        <f aca="false">L51/M51*100-100</f>
        <v>-71.2129023505071</v>
      </c>
      <c r="O51" s="203" t="n">
        <v>58</v>
      </c>
      <c r="P51" s="204" t="n">
        <v>114</v>
      </c>
      <c r="Q51" s="203" t="n">
        <v>58</v>
      </c>
      <c r="R51" s="202" t="n">
        <f aca="false">O51*P51</f>
        <v>6612</v>
      </c>
    </row>
    <row r="52" customFormat="false" ht="15" hidden="false" customHeight="false" outlineLevel="0" collapsed="false">
      <c r="A52" s="198" t="n">
        <v>16</v>
      </c>
      <c r="B52" s="199" t="s">
        <v>53</v>
      </c>
      <c r="C52" s="200" t="n">
        <v>2229</v>
      </c>
      <c r="D52" s="209" t="n">
        <v>1922</v>
      </c>
      <c r="E52" s="201" t="n">
        <f aca="false">C52/D52*100-100</f>
        <v>15.9729448491155</v>
      </c>
      <c r="F52" s="200" t="n">
        <v>250</v>
      </c>
      <c r="G52" s="200" t="n">
        <v>220</v>
      </c>
      <c r="H52" s="201" t="n">
        <f aca="false">F52/G52*100-100</f>
        <v>13.6363636363636</v>
      </c>
      <c r="I52" s="200" t="n">
        <v>2025</v>
      </c>
      <c r="J52" s="200" t="n">
        <v>1922</v>
      </c>
      <c r="K52" s="201" t="n">
        <f aca="false">I52/J52*100-100</f>
        <v>5.35900104058274</v>
      </c>
      <c r="L52" s="200" t="n">
        <v>0</v>
      </c>
      <c r="M52" s="200" t="n">
        <v>0</v>
      </c>
      <c r="N52" s="201" t="n">
        <v>0</v>
      </c>
      <c r="O52" s="203" t="n">
        <v>3</v>
      </c>
      <c r="P52" s="204" t="n">
        <v>45</v>
      </c>
      <c r="Q52" s="203" t="n">
        <v>3</v>
      </c>
      <c r="R52" s="202" t="n">
        <f aca="false">O52*P52</f>
        <v>135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16921</v>
      </c>
      <c r="D53" s="203" t="n">
        <v>621887</v>
      </c>
      <c r="E53" s="201" t="n">
        <f aca="false">C53/D53*100-100</f>
        <v>-97.2790876799161</v>
      </c>
      <c r="F53" s="203" t="n">
        <v>1795</v>
      </c>
      <c r="G53" s="203" t="n">
        <v>150000</v>
      </c>
      <c r="H53" s="201" t="n">
        <f aca="false">F53/G53*100-100</f>
        <v>-98.8033333333333</v>
      </c>
      <c r="I53" s="203" t="n">
        <v>16921</v>
      </c>
      <c r="J53" s="203" t="n">
        <v>35100</v>
      </c>
      <c r="K53" s="223" t="n">
        <f aca="false">I53/J53*100-100</f>
        <v>-51.7920227920228</v>
      </c>
      <c r="L53" s="203" t="n">
        <v>0</v>
      </c>
      <c r="M53" s="203" t="n">
        <v>0</v>
      </c>
      <c r="N53" s="201" t="n">
        <v>0</v>
      </c>
      <c r="O53" s="203" t="n">
        <v>4</v>
      </c>
      <c r="P53" s="204" t="n">
        <v>70</v>
      </c>
      <c r="Q53" s="203" t="n">
        <v>4</v>
      </c>
      <c r="R53" s="202" t="n">
        <f aca="false">O53*P53</f>
        <v>280</v>
      </c>
    </row>
    <row r="54" customFormat="false" ht="15" hidden="false" customHeight="false" outlineLevel="0" collapsed="false">
      <c r="A54" s="215" t="s">
        <v>55</v>
      </c>
      <c r="B54" s="215"/>
      <c r="C54" s="216" t="n">
        <f aca="false">SUM(C37:C53)</f>
        <v>1478872</v>
      </c>
      <c r="D54" s="216" t="n">
        <f aca="false">SUM(D37:D53)</f>
        <v>2357133</v>
      </c>
      <c r="E54" s="313" t="n">
        <f aca="false">C54/D54*100-100</f>
        <v>-37.2597133891045</v>
      </c>
      <c r="F54" s="216" t="n">
        <f aca="false">SUM(F37:F53)</f>
        <v>248075</v>
      </c>
      <c r="G54" s="216" t="n">
        <f aca="false">SUM(G37:G53)</f>
        <v>352071</v>
      </c>
      <c r="H54" s="313" t="n">
        <f aca="false">F54/G54*100-100</f>
        <v>-29.5383601603086</v>
      </c>
      <c r="I54" s="216" t="n">
        <f aca="false">SUM(I37:I53)</f>
        <v>1454330</v>
      </c>
      <c r="J54" s="216" t="n">
        <f aca="false">SUM(J37:J53)</f>
        <v>1769986</v>
      </c>
      <c r="K54" s="313" t="n">
        <f aca="false">I54/J54*100-100</f>
        <v>-17.8338133747951</v>
      </c>
      <c r="L54" s="216" t="n">
        <f aca="false">SUM(L37:L53)</f>
        <v>625648</v>
      </c>
      <c r="M54" s="216" t="n">
        <f aca="false">SUM(M37:M53)</f>
        <v>1024830</v>
      </c>
      <c r="N54" s="313" t="n">
        <f aca="false">L54/M54*100-100</f>
        <v>-38.9510455392602</v>
      </c>
      <c r="O54" s="216" t="n">
        <f aca="false">SUM(O37:O53)</f>
        <v>847</v>
      </c>
      <c r="P54" s="217" t="n">
        <f aca="false">R54/O54</f>
        <v>108.877213695396</v>
      </c>
      <c r="Q54" s="216" t="n">
        <f aca="false">SUM(Q37:Q53)</f>
        <v>861</v>
      </c>
      <c r="R54" s="216" t="n">
        <f aca="false">SUM(R37:R53)</f>
        <v>92219</v>
      </c>
    </row>
    <row r="55" customFormat="false" ht="15" hidden="false" customHeight="false" outlineLevel="0" collapsed="false">
      <c r="A55" s="203"/>
      <c r="B55" s="218"/>
      <c r="C55" s="203"/>
      <c r="D55" s="203"/>
      <c r="E55" s="203"/>
      <c r="F55" s="203"/>
      <c r="G55" s="203"/>
      <c r="H55" s="203"/>
      <c r="I55" s="203"/>
      <c r="J55" s="203"/>
      <c r="K55" s="192"/>
      <c r="L55" s="203"/>
      <c r="M55" s="203"/>
      <c r="N55" s="203"/>
      <c r="O55" s="203"/>
      <c r="P55" s="219"/>
      <c r="Q55" s="203"/>
      <c r="R55" s="197"/>
    </row>
    <row r="56" customFormat="false" ht="15" hidden="false" customHeight="false" outlineLevel="0" collapsed="false">
      <c r="A56" s="195" t="s">
        <v>56</v>
      </c>
      <c r="B56" s="195"/>
      <c r="C56" s="195" t="n">
        <v>3</v>
      </c>
      <c r="D56" s="195" t="n">
        <v>4</v>
      </c>
      <c r="E56" s="196" t="n">
        <v>5</v>
      </c>
      <c r="F56" s="195" t="n">
        <v>6</v>
      </c>
      <c r="G56" s="195" t="n">
        <v>7</v>
      </c>
      <c r="H56" s="195" t="n">
        <v>8</v>
      </c>
      <c r="I56" s="195" t="n">
        <v>9</v>
      </c>
      <c r="J56" s="195" t="n">
        <v>10</v>
      </c>
      <c r="K56" s="195" t="n">
        <v>11</v>
      </c>
      <c r="L56" s="195" t="n">
        <v>12</v>
      </c>
      <c r="M56" s="195" t="n">
        <v>13</v>
      </c>
      <c r="N56" s="195" t="n">
        <v>14</v>
      </c>
      <c r="O56" s="195" t="n">
        <v>15</v>
      </c>
      <c r="P56" s="196" t="n">
        <v>16</v>
      </c>
      <c r="Q56" s="195" t="n">
        <v>15</v>
      </c>
      <c r="R56" s="197"/>
    </row>
    <row r="57" customFormat="false" ht="15" hidden="false" customHeight="false" outlineLevel="0" collapsed="false">
      <c r="A57" s="204" t="n">
        <v>1</v>
      </c>
      <c r="B57" s="220" t="s">
        <v>57</v>
      </c>
      <c r="C57" s="221" t="n">
        <v>275022</v>
      </c>
      <c r="D57" s="222" t="n">
        <v>344350</v>
      </c>
      <c r="E57" s="201" t="n">
        <f aca="false">C57/D57*100-100</f>
        <v>-20.133004210832</v>
      </c>
      <c r="F57" s="222" t="n">
        <v>33775</v>
      </c>
      <c r="G57" s="223" t="n">
        <v>57767</v>
      </c>
      <c r="H57" s="223" t="n">
        <f aca="false">F57/G57*100-100</f>
        <v>-41.5323627676701</v>
      </c>
      <c r="I57" s="222" t="n">
        <v>283773</v>
      </c>
      <c r="J57" s="222" t="n">
        <v>296711</v>
      </c>
      <c r="K57" s="201" t="n">
        <f aca="false">I57/J57*100-100</f>
        <v>-4.36047197441282</v>
      </c>
      <c r="L57" s="222" t="n">
        <v>281513</v>
      </c>
      <c r="M57" s="222" t="n">
        <v>296537</v>
      </c>
      <c r="N57" s="201" t="n">
        <f aca="false">L57/M57*100-100</f>
        <v>-5.06648411496711</v>
      </c>
      <c r="O57" s="223" t="n">
        <v>158</v>
      </c>
      <c r="P57" s="222" t="n">
        <v>92</v>
      </c>
      <c r="Q57" s="223" t="n">
        <v>158</v>
      </c>
      <c r="R57" s="202" t="n">
        <f aca="false">O57*P57</f>
        <v>14536</v>
      </c>
    </row>
    <row r="58" customFormat="false" ht="15" hidden="false" customHeight="false" outlineLevel="0" collapsed="false">
      <c r="A58" s="224" t="n">
        <v>2</v>
      </c>
      <c r="B58" s="220" t="s">
        <v>58</v>
      </c>
      <c r="C58" s="200" t="n">
        <v>58056</v>
      </c>
      <c r="D58" s="200" t="n">
        <v>89726</v>
      </c>
      <c r="E58" s="201" t="n">
        <f aca="false">C58/D58*100-100</f>
        <v>-35.296346655373</v>
      </c>
      <c r="F58" s="223" t="n">
        <v>2510</v>
      </c>
      <c r="G58" s="223" t="n">
        <v>5598</v>
      </c>
      <c r="H58" s="223" t="n">
        <f aca="false">F58/G58*100-100</f>
        <v>-55.1625580564487</v>
      </c>
      <c r="I58" s="223" t="n">
        <v>42065</v>
      </c>
      <c r="J58" s="223" t="n">
        <v>101303</v>
      </c>
      <c r="K58" s="201" t="n">
        <f aca="false">I58/J58*100-100</f>
        <v>-58.4760569775821</v>
      </c>
      <c r="L58" s="223" t="n">
        <v>0</v>
      </c>
      <c r="M58" s="223" t="n">
        <v>0</v>
      </c>
      <c r="N58" s="201" t="n">
        <v>0</v>
      </c>
      <c r="O58" s="223" t="n">
        <v>101</v>
      </c>
      <c r="P58" s="223" t="n">
        <v>105</v>
      </c>
      <c r="Q58" s="223" t="n">
        <v>101</v>
      </c>
      <c r="R58" s="202" t="n">
        <f aca="false">O58*P58</f>
        <v>10605</v>
      </c>
    </row>
    <row r="59" customFormat="false" ht="15" hidden="false" customHeight="false" outlineLevel="0" collapsed="false">
      <c r="A59" s="224" t="n">
        <v>3</v>
      </c>
      <c r="B59" s="220" t="s">
        <v>59</v>
      </c>
      <c r="C59" s="223" t="n">
        <v>182880</v>
      </c>
      <c r="D59" s="223" t="n">
        <v>134090</v>
      </c>
      <c r="E59" s="201" t="n">
        <f aca="false">C59/D59*100-100</f>
        <v>36.3860093966739</v>
      </c>
      <c r="F59" s="223" t="n">
        <v>51535</v>
      </c>
      <c r="G59" s="223" t="n">
        <v>31307</v>
      </c>
      <c r="H59" s="201" t="n">
        <f aca="false">F59/G59*100-100</f>
        <v>64.6117481713355</v>
      </c>
      <c r="I59" s="223" t="n">
        <v>182880</v>
      </c>
      <c r="J59" s="223" t="n">
        <v>134090</v>
      </c>
      <c r="K59" s="201" t="n">
        <f aca="false">I59/J59*100-100</f>
        <v>36.3860093966739</v>
      </c>
      <c r="L59" s="223" t="n">
        <v>0</v>
      </c>
      <c r="M59" s="223" t="n">
        <v>0</v>
      </c>
      <c r="N59" s="201" t="n">
        <v>0</v>
      </c>
      <c r="O59" s="223" t="n">
        <v>105</v>
      </c>
      <c r="P59" s="223" t="n">
        <v>50</v>
      </c>
      <c r="Q59" s="223" t="n">
        <v>102</v>
      </c>
      <c r="R59" s="202" t="n">
        <f aca="false">O59*P59</f>
        <v>5250</v>
      </c>
    </row>
    <row r="60" customFormat="false" ht="15" hidden="false" customHeight="false" outlineLevel="0" collapsed="false">
      <c r="A60" s="204" t="n">
        <v>4</v>
      </c>
      <c r="B60" s="220" t="s">
        <v>60</v>
      </c>
      <c r="C60" s="223" t="n">
        <v>185099</v>
      </c>
      <c r="D60" s="223" t="n">
        <v>171105</v>
      </c>
      <c r="E60" s="201" t="n">
        <f aca="false">C60/D60*100-100</f>
        <v>8.17860378130388</v>
      </c>
      <c r="F60" s="223" t="n">
        <v>19383</v>
      </c>
      <c r="G60" s="223" t="n">
        <v>7824</v>
      </c>
      <c r="H60" s="201" t="n">
        <f aca="false">F60/G60*100-100</f>
        <v>147.73773006135</v>
      </c>
      <c r="I60" s="206" t="n">
        <v>184828</v>
      </c>
      <c r="J60" s="206" t="n">
        <v>184461</v>
      </c>
      <c r="K60" s="201" t="n">
        <f aca="false">I60/J60*100-100</f>
        <v>0.198958045332077</v>
      </c>
      <c r="L60" s="223" t="n">
        <v>54505</v>
      </c>
      <c r="M60" s="223" t="n">
        <v>99364</v>
      </c>
      <c r="N60" s="201" t="n">
        <v>0</v>
      </c>
      <c r="O60" s="223" t="n">
        <v>70</v>
      </c>
      <c r="P60" s="223" t="n">
        <v>124</v>
      </c>
      <c r="Q60" s="223" t="n">
        <v>71</v>
      </c>
      <c r="R60" s="202" t="n">
        <f aca="false">O60*P60</f>
        <v>8680</v>
      </c>
    </row>
    <row r="61" customFormat="false" ht="15" hidden="false" customHeight="false" outlineLevel="0" collapsed="false">
      <c r="A61" s="224" t="n">
        <v>5</v>
      </c>
      <c r="B61" s="220" t="s">
        <v>61</v>
      </c>
      <c r="C61" s="200" t="n">
        <v>0</v>
      </c>
      <c r="D61" s="200" t="n">
        <v>0</v>
      </c>
      <c r="E61" s="201" t="n">
        <v>0</v>
      </c>
      <c r="F61" s="200" t="n">
        <v>0</v>
      </c>
      <c r="G61" s="200" t="n">
        <v>0</v>
      </c>
      <c r="H61" s="201" t="n">
        <v>0</v>
      </c>
      <c r="I61" s="200" t="n">
        <v>0</v>
      </c>
      <c r="J61" s="200" t="n">
        <v>0</v>
      </c>
      <c r="K61" s="201" t="n">
        <v>0</v>
      </c>
      <c r="L61" s="200" t="n">
        <v>0</v>
      </c>
      <c r="M61" s="200" t="n">
        <v>0</v>
      </c>
      <c r="N61" s="201" t="n">
        <v>0</v>
      </c>
      <c r="O61" s="203" t="n">
        <v>0</v>
      </c>
      <c r="P61" s="204" t="n">
        <v>0</v>
      </c>
      <c r="Q61" s="203" t="n">
        <v>0</v>
      </c>
      <c r="R61" s="202" t="n">
        <f aca="false">O61*P61</f>
        <v>0</v>
      </c>
    </row>
    <row r="62" customFormat="false" ht="15" hidden="false" customHeight="false" outlineLevel="0" collapsed="false">
      <c r="A62" s="224" t="n">
        <v>6</v>
      </c>
      <c r="B62" s="220" t="s">
        <v>217</v>
      </c>
      <c r="C62" s="223" t="n">
        <v>33142</v>
      </c>
      <c r="D62" s="223" t="n">
        <v>31339</v>
      </c>
      <c r="E62" s="201" t="n">
        <f aca="false">C62/D62*100-100</f>
        <v>5.75321484412395</v>
      </c>
      <c r="F62" s="223" t="n">
        <v>4005</v>
      </c>
      <c r="G62" s="223" t="n">
        <v>3312</v>
      </c>
      <c r="H62" s="201" t="n">
        <f aca="false">F62/G62*100-100</f>
        <v>20.9239130434783</v>
      </c>
      <c r="I62" s="223" t="n">
        <v>32738</v>
      </c>
      <c r="J62" s="223" t="n">
        <v>31960</v>
      </c>
      <c r="K62" s="201" t="n">
        <f aca="false">I62/J62*100-100</f>
        <v>2.43429286608261</v>
      </c>
      <c r="L62" s="223" t="n">
        <v>32738</v>
      </c>
      <c r="M62" s="223" t="n">
        <v>31825</v>
      </c>
      <c r="N62" s="201" t="n">
        <f aca="false">L62/M62*100-100</f>
        <v>2.8688138256088</v>
      </c>
      <c r="O62" s="223" t="n">
        <v>43</v>
      </c>
      <c r="P62" s="223" t="n">
        <v>56</v>
      </c>
      <c r="Q62" s="223" t="n">
        <v>43</v>
      </c>
      <c r="R62" s="202" t="n">
        <f aca="false">O62*P62</f>
        <v>2408</v>
      </c>
    </row>
    <row r="63" customFormat="false" ht="15" hidden="false" customHeight="false" outlineLevel="0" collapsed="false">
      <c r="A63" s="204" t="n">
        <v>7</v>
      </c>
      <c r="B63" s="220" t="s">
        <v>63</v>
      </c>
      <c r="C63" s="200" t="n">
        <v>21921</v>
      </c>
      <c r="D63" s="200" t="n">
        <v>32172</v>
      </c>
      <c r="E63" s="201" t="n">
        <f aca="false">C63/D63*100-100</f>
        <v>-31.8631107795599</v>
      </c>
      <c r="F63" s="200" t="n">
        <v>3903</v>
      </c>
      <c r="G63" s="200" t="n">
        <v>13516</v>
      </c>
      <c r="H63" s="201" t="n">
        <v>0</v>
      </c>
      <c r="I63" s="200" t="n">
        <v>42488</v>
      </c>
      <c r="J63" s="200" t="n">
        <v>38468</v>
      </c>
      <c r="K63" s="201" t="n">
        <f aca="false">I63/J63*100-100</f>
        <v>10.4502443589477</v>
      </c>
      <c r="L63" s="225" t="n">
        <v>42462</v>
      </c>
      <c r="M63" s="200" t="n">
        <v>38409</v>
      </c>
      <c r="N63" s="201" t="n">
        <f aca="false">L63/M63*100-100</f>
        <v>10.5522143247676</v>
      </c>
      <c r="O63" s="223" t="n">
        <v>35</v>
      </c>
      <c r="P63" s="223" t="n">
        <v>50</v>
      </c>
      <c r="Q63" s="223" t="n">
        <v>35</v>
      </c>
      <c r="R63" s="202" t="n">
        <f aca="false">O63*P63</f>
        <v>1750</v>
      </c>
    </row>
    <row r="64" customFormat="false" ht="15" hidden="false" customHeight="false" outlineLevel="0" collapsed="false">
      <c r="A64" s="224" t="n">
        <v>8</v>
      </c>
      <c r="B64" s="220" t="s">
        <v>64</v>
      </c>
      <c r="C64" s="226" t="n">
        <v>117800</v>
      </c>
      <c r="D64" s="200" t="n">
        <v>153100</v>
      </c>
      <c r="E64" s="201" t="n">
        <f aca="false">C64/D64*100-100</f>
        <v>-23.0568256041803</v>
      </c>
      <c r="F64" s="200" t="n">
        <v>11600</v>
      </c>
      <c r="G64" s="227" t="n">
        <v>0</v>
      </c>
      <c r="H64" s="201" t="n">
        <v>0</v>
      </c>
      <c r="I64" s="200" t="n">
        <v>143479</v>
      </c>
      <c r="J64" s="227" t="n">
        <v>215727</v>
      </c>
      <c r="K64" s="201" t="n">
        <f aca="false">I64/J64*100-100</f>
        <v>-33.49047638914</v>
      </c>
      <c r="L64" s="200" t="n">
        <v>143479</v>
      </c>
      <c r="M64" s="227" t="n">
        <v>215727</v>
      </c>
      <c r="N64" s="201" t="n">
        <f aca="false">L64/M64*100-100</f>
        <v>-33.49047638914</v>
      </c>
      <c r="O64" s="223" t="n">
        <v>35</v>
      </c>
      <c r="P64" s="222" t="n">
        <v>85</v>
      </c>
      <c r="Q64" s="223" t="n">
        <v>35</v>
      </c>
      <c r="R64" s="202" t="n">
        <f aca="false">O64*P64</f>
        <v>2975</v>
      </c>
    </row>
    <row r="65" customFormat="false" ht="15" hidden="false" customHeight="false" outlineLevel="0" collapsed="false">
      <c r="A65" s="224" t="n">
        <v>9</v>
      </c>
      <c r="B65" s="220" t="s">
        <v>65</v>
      </c>
      <c r="C65" s="200" t="n">
        <v>0</v>
      </c>
      <c r="D65" s="200" t="n">
        <v>0</v>
      </c>
      <c r="E65" s="201" t="n">
        <v>0</v>
      </c>
      <c r="F65" s="200" t="n">
        <v>0</v>
      </c>
      <c r="G65" s="200" t="n">
        <v>0</v>
      </c>
      <c r="H65" s="201" t="n">
        <v>0</v>
      </c>
      <c r="I65" s="200" t="n">
        <v>0</v>
      </c>
      <c r="J65" s="200" t="n">
        <v>0</v>
      </c>
      <c r="K65" s="201" t="n">
        <v>0</v>
      </c>
      <c r="L65" s="200" t="n">
        <v>0</v>
      </c>
      <c r="M65" s="200" t="n">
        <v>0</v>
      </c>
      <c r="N65" s="201" t="n">
        <v>0</v>
      </c>
      <c r="O65" s="203" t="n">
        <v>0</v>
      </c>
      <c r="P65" s="204" t="n">
        <v>0</v>
      </c>
      <c r="Q65" s="203" t="n">
        <v>0</v>
      </c>
      <c r="R65" s="202" t="n">
        <f aca="false">O65*P65</f>
        <v>0</v>
      </c>
    </row>
    <row r="66" customFormat="false" ht="15" hidden="false" customHeight="false" outlineLevel="0" collapsed="false">
      <c r="A66" s="228" t="s">
        <v>66</v>
      </c>
      <c r="B66" s="228"/>
      <c r="C66" s="229" t="n">
        <f aca="false">SUM(C57:C65)</f>
        <v>873920</v>
      </c>
      <c r="D66" s="229" t="n">
        <f aca="false">SUM(D57:D65)</f>
        <v>955882</v>
      </c>
      <c r="E66" s="313" t="n">
        <f aca="false">C66/D66*100-100</f>
        <v>-8.57448931981143</v>
      </c>
      <c r="F66" s="229" t="n">
        <f aca="false">SUM(F57:F65)</f>
        <v>126711</v>
      </c>
      <c r="G66" s="229" t="n">
        <f aca="false">SUM(G57:G65)</f>
        <v>119324</v>
      </c>
      <c r="H66" s="313" t="n">
        <f aca="false">F66/G66*100-100</f>
        <v>6.19070765311254</v>
      </c>
      <c r="I66" s="231" t="n">
        <f aca="false">SUM(I57:I65)</f>
        <v>912251</v>
      </c>
      <c r="J66" s="229" t="n">
        <f aca="false">SUM(J57:J65)</f>
        <v>1002720</v>
      </c>
      <c r="K66" s="313" t="n">
        <f aca="false">I66/J66*100-100</f>
        <v>-9.02235918302218</v>
      </c>
      <c r="L66" s="229" t="n">
        <f aca="false">SUM(L57:L65)</f>
        <v>554697</v>
      </c>
      <c r="M66" s="229" t="n">
        <f aca="false">SUM(M57:M65)</f>
        <v>681862</v>
      </c>
      <c r="N66" s="313" t="n">
        <f aca="false">L66/M66*100-100</f>
        <v>-18.6496681146625</v>
      </c>
      <c r="O66" s="231" t="n">
        <f aca="false">SUM(O57:O65)</f>
        <v>547</v>
      </c>
      <c r="P66" s="230" t="n">
        <f aca="false">R66/O66</f>
        <v>84.4680073126143</v>
      </c>
      <c r="Q66" s="231" t="n">
        <f aca="false">SUM(Q57:Q65)</f>
        <v>545</v>
      </c>
      <c r="R66" s="232" t="n">
        <f aca="false">SUM(R57:R65)</f>
        <v>46204</v>
      </c>
    </row>
    <row r="67" customFormat="false" ht="15" hidden="false" customHeight="false" outlineLevel="0" collapsed="false">
      <c r="A67" s="197"/>
      <c r="B67" s="233"/>
      <c r="C67" s="197"/>
      <c r="D67" s="197"/>
      <c r="E67" s="197"/>
      <c r="F67" s="197"/>
      <c r="G67" s="197"/>
      <c r="H67" s="197"/>
      <c r="I67" s="197"/>
      <c r="J67" s="197"/>
      <c r="K67" s="234"/>
      <c r="L67" s="197"/>
      <c r="M67" s="197"/>
      <c r="N67" s="197"/>
      <c r="O67" s="197"/>
      <c r="P67" s="235"/>
      <c r="Q67" s="197"/>
      <c r="R67" s="197"/>
    </row>
    <row r="68" customFormat="false" ht="15" hidden="false" customHeight="false" outlineLevel="0" collapsed="false">
      <c r="A68" s="195" t="s">
        <v>67</v>
      </c>
      <c r="B68" s="195"/>
      <c r="C68" s="195" t="n">
        <v>3</v>
      </c>
      <c r="D68" s="195" t="n">
        <v>4</v>
      </c>
      <c r="E68" s="196" t="n">
        <v>5</v>
      </c>
      <c r="F68" s="195" t="n">
        <v>6</v>
      </c>
      <c r="G68" s="195" t="n">
        <v>7</v>
      </c>
      <c r="H68" s="195" t="n">
        <v>8</v>
      </c>
      <c r="I68" s="195" t="n">
        <v>9</v>
      </c>
      <c r="J68" s="195" t="n">
        <v>10</v>
      </c>
      <c r="K68" s="195" t="n">
        <v>11</v>
      </c>
      <c r="L68" s="195" t="n">
        <v>12</v>
      </c>
      <c r="M68" s="195" t="n">
        <v>13</v>
      </c>
      <c r="N68" s="195" t="n">
        <v>14</v>
      </c>
      <c r="O68" s="195" t="n">
        <v>15</v>
      </c>
      <c r="P68" s="196" t="n">
        <v>16</v>
      </c>
      <c r="Q68" s="195" t="n">
        <v>15</v>
      </c>
      <c r="R68" s="197"/>
    </row>
    <row r="69" customFormat="false" ht="15" hidden="false" customHeight="false" outlineLevel="0" collapsed="false">
      <c r="A69" s="198" t="n">
        <v>1</v>
      </c>
      <c r="B69" s="199" t="s">
        <v>68</v>
      </c>
      <c r="C69" s="203" t="n">
        <v>8387</v>
      </c>
      <c r="D69" s="203" t="n">
        <v>49439</v>
      </c>
      <c r="E69" s="201" t="n">
        <f aca="false">C69/D69*100-100</f>
        <v>-83.0356601063937</v>
      </c>
      <c r="F69" s="203" t="n">
        <v>902</v>
      </c>
      <c r="G69" s="203" t="n">
        <v>19</v>
      </c>
      <c r="H69" s="223" t="n">
        <f aca="false">F69/G69*100-100</f>
        <v>4647.36842105263</v>
      </c>
      <c r="I69" s="203" t="n">
        <v>16482</v>
      </c>
      <c r="J69" s="203" t="n">
        <v>122819</v>
      </c>
      <c r="K69" s="214" t="n">
        <f aca="false">I69/J69*100</f>
        <v>13.4197477588972</v>
      </c>
      <c r="L69" s="203" t="n">
        <v>14671</v>
      </c>
      <c r="M69" s="203" t="n">
        <v>53172</v>
      </c>
      <c r="N69" s="201" t="n">
        <f aca="false">L69/M69*100-100</f>
        <v>-72.4084104415858</v>
      </c>
      <c r="O69" s="203" t="n">
        <v>148</v>
      </c>
      <c r="P69" s="219" t="n">
        <v>55</v>
      </c>
      <c r="Q69" s="203" t="n">
        <v>149</v>
      </c>
      <c r="R69" s="202" t="n">
        <f aca="false">O69*P69</f>
        <v>8140</v>
      </c>
    </row>
    <row r="70" customFormat="false" ht="15" hidden="false" customHeight="false" outlineLevel="0" collapsed="false">
      <c r="A70" s="198" t="n">
        <v>2</v>
      </c>
      <c r="B70" s="199" t="s">
        <v>69</v>
      </c>
      <c r="C70" s="208" t="n">
        <v>345296</v>
      </c>
      <c r="D70" s="208" t="n">
        <v>304634</v>
      </c>
      <c r="E70" s="201" t="n">
        <f aca="false">C70/D70*100-100</f>
        <v>13.3478206634847</v>
      </c>
      <c r="F70" s="208" t="n">
        <v>33581</v>
      </c>
      <c r="G70" s="208" t="n">
        <v>33484</v>
      </c>
      <c r="H70" s="201" t="n">
        <f aca="false">F70/G70*100-100</f>
        <v>0.289690598494801</v>
      </c>
      <c r="I70" s="208" t="n">
        <v>345500</v>
      </c>
      <c r="J70" s="208" t="n">
        <v>304339</v>
      </c>
      <c r="K70" s="201" t="n">
        <f aca="false">I70/J70*100-100</f>
        <v>13.5247207883314</v>
      </c>
      <c r="L70" s="208" t="n">
        <v>345500</v>
      </c>
      <c r="M70" s="208" t="n">
        <v>304339</v>
      </c>
      <c r="N70" s="201" t="n">
        <f aca="false">L70/M70*100-100</f>
        <v>13.5247207883314</v>
      </c>
      <c r="O70" s="203" t="n">
        <v>23</v>
      </c>
      <c r="P70" s="204" t="n">
        <v>91</v>
      </c>
      <c r="Q70" s="203" t="n">
        <v>23</v>
      </c>
      <c r="R70" s="202" t="n">
        <f aca="false">O70*P70</f>
        <v>2093</v>
      </c>
    </row>
    <row r="71" customFormat="false" ht="15" hidden="false" customHeight="false" outlineLevel="0" collapsed="false">
      <c r="A71" s="198" t="n">
        <v>3</v>
      </c>
      <c r="B71" s="199" t="s">
        <v>70</v>
      </c>
      <c r="C71" s="203" t="n">
        <v>18023</v>
      </c>
      <c r="D71" s="203" t="n">
        <v>27699</v>
      </c>
      <c r="E71" s="201" t="n">
        <f aca="false">C71/D71*100-100</f>
        <v>-34.9326690494242</v>
      </c>
      <c r="F71" s="203" t="n">
        <v>1987</v>
      </c>
      <c r="G71" s="203" t="n">
        <v>1681</v>
      </c>
      <c r="H71" s="201" t="n">
        <f aca="false">F71/G71*100-100</f>
        <v>18.2034503271862</v>
      </c>
      <c r="I71" s="203" t="n">
        <v>17545</v>
      </c>
      <c r="J71" s="203" t="n">
        <v>26653</v>
      </c>
      <c r="K71" s="201" t="n">
        <f aca="false">I71/J71*100-100</f>
        <v>-34.1725134131242</v>
      </c>
      <c r="L71" s="203" t="n">
        <v>7659</v>
      </c>
      <c r="M71" s="203" t="n">
        <v>4160</v>
      </c>
      <c r="N71" s="201" t="n">
        <f aca="false">L71/M71*100-100</f>
        <v>84.1105769230769</v>
      </c>
      <c r="O71" s="203" t="n">
        <v>52</v>
      </c>
      <c r="P71" s="219" t="n">
        <v>52</v>
      </c>
      <c r="Q71" s="203" t="n">
        <v>44</v>
      </c>
      <c r="R71" s="202" t="n">
        <f aca="false">O71*P71</f>
        <v>2704</v>
      </c>
    </row>
    <row r="72" customFormat="false" ht="15" hidden="false" customHeight="false" outlineLevel="0" collapsed="false">
      <c r="A72" s="198" t="n">
        <v>4</v>
      </c>
      <c r="B72" s="199" t="s">
        <v>218</v>
      </c>
      <c r="C72" s="203" t="n">
        <v>35595</v>
      </c>
      <c r="D72" s="203" t="n">
        <v>23538</v>
      </c>
      <c r="E72" s="201" t="n">
        <f aca="false">C72/D72*100-100</f>
        <v>51.2235534030079</v>
      </c>
      <c r="F72" s="203" t="n">
        <v>1618</v>
      </c>
      <c r="G72" s="203" t="n">
        <v>10739</v>
      </c>
      <c r="H72" s="201" t="n">
        <f aca="false">F72/G72*100-100</f>
        <v>-84.9334202439706</v>
      </c>
      <c r="I72" s="203" t="n">
        <v>43546</v>
      </c>
      <c r="J72" s="203" t="n">
        <v>15522</v>
      </c>
      <c r="K72" s="201" t="n">
        <f aca="false">I72/J72*100-100</f>
        <v>180.54374436284</v>
      </c>
      <c r="L72" s="203" t="n">
        <v>34491</v>
      </c>
      <c r="M72" s="203" t="n">
        <v>3325</v>
      </c>
      <c r="N72" s="201" t="n">
        <f aca="false">L72/M72*100-100</f>
        <v>937.323308270677</v>
      </c>
      <c r="O72" s="203" t="n">
        <v>74</v>
      </c>
      <c r="P72" s="236" t="n">
        <v>50</v>
      </c>
      <c r="Q72" s="203" t="n">
        <v>74</v>
      </c>
      <c r="R72" s="202" t="n">
        <f aca="false">O72*P72</f>
        <v>3700</v>
      </c>
    </row>
    <row r="73" customFormat="false" ht="15" hidden="false" customHeight="false" outlineLevel="0" collapsed="false">
      <c r="A73" s="198" t="n">
        <v>5</v>
      </c>
      <c r="B73" s="199" t="s">
        <v>72</v>
      </c>
      <c r="C73" s="203" t="n">
        <v>57385</v>
      </c>
      <c r="D73" s="203" t="n">
        <v>55372</v>
      </c>
      <c r="E73" s="201" t="n">
        <f aca="false">C73/D73*100-100</f>
        <v>3.63541139926315</v>
      </c>
      <c r="F73" s="203" t="n">
        <v>52217</v>
      </c>
      <c r="G73" s="203" t="n">
        <v>44190</v>
      </c>
      <c r="H73" s="201" t="n">
        <f aca="false">F73/G73*100-100</f>
        <v>18.1647431545598</v>
      </c>
      <c r="I73" s="203" t="n">
        <v>57385</v>
      </c>
      <c r="J73" s="203" t="n">
        <v>56084</v>
      </c>
      <c r="K73" s="201" t="n">
        <f aca="false">I73/J73*100-100</f>
        <v>2.31973468368875</v>
      </c>
      <c r="L73" s="203" t="n">
        <v>47792</v>
      </c>
      <c r="M73" s="203" t="n">
        <v>43968</v>
      </c>
      <c r="N73" s="201" t="n">
        <f aca="false">L73/M73*100-100</f>
        <v>8.69723435225617</v>
      </c>
      <c r="O73" s="203" t="n">
        <v>80</v>
      </c>
      <c r="P73" s="219" t="n">
        <v>120</v>
      </c>
      <c r="Q73" s="203" t="n">
        <v>82</v>
      </c>
      <c r="R73" s="202" t="n">
        <f aca="false">O73*P73</f>
        <v>9600</v>
      </c>
    </row>
    <row r="74" customFormat="false" ht="15" hidden="false" customHeight="false" outlineLevel="0" collapsed="false">
      <c r="A74" s="210" t="n">
        <v>6</v>
      </c>
      <c r="B74" s="199" t="s">
        <v>219</v>
      </c>
      <c r="C74" s="203" t="n">
        <v>36003</v>
      </c>
      <c r="D74" s="203" t="n">
        <v>2056</v>
      </c>
      <c r="E74" s="223" t="n">
        <f aca="false">C74/D74*100-100</f>
        <v>1651.1186770428</v>
      </c>
      <c r="F74" s="203" t="n">
        <v>168</v>
      </c>
      <c r="G74" s="203" t="n">
        <v>448</v>
      </c>
      <c r="H74" s="201" t="n">
        <v>0</v>
      </c>
      <c r="I74" s="203" t="n">
        <v>55111</v>
      </c>
      <c r="J74" s="203" t="n">
        <v>2053</v>
      </c>
      <c r="K74" s="223" t="n">
        <f aca="false">I74/J74*100-100</f>
        <v>2584.41305406722</v>
      </c>
      <c r="L74" s="203" t="n">
        <v>33961</v>
      </c>
      <c r="M74" s="203" t="n">
        <v>22</v>
      </c>
      <c r="N74" s="223" t="n">
        <f aca="false">L74/M74*100-100</f>
        <v>154268.181818182</v>
      </c>
      <c r="O74" s="203" t="n">
        <v>8</v>
      </c>
      <c r="P74" s="219" t="n">
        <v>57</v>
      </c>
      <c r="Q74" s="203" t="n">
        <v>8</v>
      </c>
      <c r="R74" s="202" t="n">
        <f aca="false">O74*P74</f>
        <v>456</v>
      </c>
    </row>
    <row r="75" customFormat="false" ht="15" hidden="false" customHeight="false" outlineLevel="0" collapsed="false">
      <c r="A75" s="198" t="n">
        <v>7</v>
      </c>
      <c r="B75" s="199" t="s">
        <v>74</v>
      </c>
      <c r="C75" s="203" t="n">
        <v>349723</v>
      </c>
      <c r="D75" s="203" t="n">
        <v>482432</v>
      </c>
      <c r="E75" s="201" t="n">
        <f aca="false">C75/D75*100-100</f>
        <v>-27.5083327805784</v>
      </c>
      <c r="F75" s="203" t="n">
        <v>43192</v>
      </c>
      <c r="G75" s="203" t="n">
        <v>124454</v>
      </c>
      <c r="H75" s="201" t="n">
        <f aca="false">F75/G75*100-100</f>
        <v>-65.2948077201215</v>
      </c>
      <c r="I75" s="203" t="n">
        <v>376541</v>
      </c>
      <c r="J75" s="203" t="n">
        <v>430504</v>
      </c>
      <c r="K75" s="201" t="n">
        <f aca="false">I75/J75*100-100</f>
        <v>-12.5348428818315</v>
      </c>
      <c r="L75" s="203" t="n">
        <v>71739</v>
      </c>
      <c r="M75" s="203" t="n">
        <v>61587</v>
      </c>
      <c r="N75" s="201" t="n">
        <f aca="false">L75/M75*100-100</f>
        <v>16.4839982463832</v>
      </c>
      <c r="O75" s="203" t="n">
        <v>139</v>
      </c>
      <c r="P75" s="204" t="n">
        <v>200</v>
      </c>
      <c r="Q75" s="203" t="n">
        <v>139</v>
      </c>
      <c r="R75" s="202" t="n">
        <f aca="false">O75*P75</f>
        <v>27800</v>
      </c>
    </row>
    <row r="76" customFormat="false" ht="15" hidden="false" customHeight="false" outlineLevel="0" collapsed="false">
      <c r="A76" s="198" t="n">
        <v>8</v>
      </c>
      <c r="B76" s="199" t="s">
        <v>75</v>
      </c>
      <c r="C76" s="203" t="n">
        <v>62803</v>
      </c>
      <c r="D76" s="203" t="n">
        <v>2716</v>
      </c>
      <c r="E76" s="223" t="n">
        <f aca="false">C76/D76*100-100</f>
        <v>2212.33431516937</v>
      </c>
      <c r="F76" s="203" t="n">
        <v>14727</v>
      </c>
      <c r="G76" s="203" t="n">
        <v>0</v>
      </c>
      <c r="H76" s="201" t="n">
        <v>0</v>
      </c>
      <c r="I76" s="203" t="n">
        <v>62803</v>
      </c>
      <c r="J76" s="203" t="n">
        <v>2981</v>
      </c>
      <c r="K76" s="223" t="n">
        <f aca="false">I76/J76*100-100</f>
        <v>2006.77624958068</v>
      </c>
      <c r="L76" s="203" t="n">
        <v>1045</v>
      </c>
      <c r="M76" s="203" t="n">
        <v>0</v>
      </c>
      <c r="N76" s="201" t="n">
        <v>0</v>
      </c>
      <c r="O76" s="203" t="n">
        <v>32</v>
      </c>
      <c r="P76" s="219" t="n">
        <v>40</v>
      </c>
      <c r="Q76" s="203" t="n">
        <v>33</v>
      </c>
      <c r="R76" s="202" t="n">
        <f aca="false">O76*P76</f>
        <v>1280</v>
      </c>
    </row>
    <row r="77" customFormat="false" ht="15" hidden="false" customHeight="false" outlineLevel="0" collapsed="false">
      <c r="A77" s="215" t="s">
        <v>76</v>
      </c>
      <c r="B77" s="215" t="s">
        <v>77</v>
      </c>
      <c r="C77" s="216" t="n">
        <f aca="false">SUM(C69:C76)</f>
        <v>913215</v>
      </c>
      <c r="D77" s="216" t="n">
        <f aca="false">SUM(D69:D76)</f>
        <v>947886</v>
      </c>
      <c r="E77" s="313" t="n">
        <f aca="false">C77/D77*100-100</f>
        <v>-3.65771833321729</v>
      </c>
      <c r="F77" s="216" t="n">
        <f aca="false">SUM(F69:F76)</f>
        <v>148392</v>
      </c>
      <c r="G77" s="216" t="n">
        <f aca="false">SUM(G69:G76)</f>
        <v>215015</v>
      </c>
      <c r="H77" s="313" t="n">
        <f aca="false">F77/G77*100-100</f>
        <v>-30.9852800967374</v>
      </c>
      <c r="I77" s="216" t="n">
        <f aca="false">SUM(I69:I76)</f>
        <v>974913</v>
      </c>
      <c r="J77" s="216" t="n">
        <f aca="false">SUM(J69:J76)</f>
        <v>960955</v>
      </c>
      <c r="K77" s="313" t="n">
        <f aca="false">I77/J77*100-100</f>
        <v>1.45251338512209</v>
      </c>
      <c r="L77" s="216" t="n">
        <f aca="false">SUM(L69:L76)</f>
        <v>556858</v>
      </c>
      <c r="M77" s="216" t="n">
        <f aca="false">SUM(M69:M76)</f>
        <v>470573</v>
      </c>
      <c r="N77" s="313" t="n">
        <f aca="false">L77/M77*100-100</f>
        <v>18.3361561330548</v>
      </c>
      <c r="O77" s="216" t="n">
        <f aca="false">SUM(O69:O76)</f>
        <v>556</v>
      </c>
      <c r="P77" s="217" t="n">
        <f aca="false">R77/O77</f>
        <v>100.311151079137</v>
      </c>
      <c r="Q77" s="216" t="n">
        <f aca="false">SUM(Q69:Q76)</f>
        <v>552</v>
      </c>
      <c r="R77" s="232" t="n">
        <f aca="false">SUM(R69:R76)</f>
        <v>55773</v>
      </c>
    </row>
    <row r="78" customFormat="false" ht="15" hidden="false" customHeight="false" outlineLevel="0" collapsed="false">
      <c r="A78" s="314" t="s">
        <v>78</v>
      </c>
      <c r="B78" s="314" t="s">
        <v>78</v>
      </c>
      <c r="C78" s="315" t="n">
        <f aca="false">C54+C66+C77</f>
        <v>3266007</v>
      </c>
      <c r="D78" s="315" t="n">
        <f aca="false">D54+D66+D77</f>
        <v>4260901</v>
      </c>
      <c r="E78" s="316" t="n">
        <f aca="false">C78/D78*100-100</f>
        <v>-23.3493807999763</v>
      </c>
      <c r="F78" s="315" t="n">
        <f aca="false">F54+F66+F77</f>
        <v>523178</v>
      </c>
      <c r="G78" s="315" t="n">
        <f aca="false">G54+G66+G77</f>
        <v>686410</v>
      </c>
      <c r="H78" s="316" t="n">
        <f aca="false">F78/G78*100-100</f>
        <v>-23.780539327807</v>
      </c>
      <c r="I78" s="315" t="n">
        <f aca="false">I54+I66+I77</f>
        <v>3341494</v>
      </c>
      <c r="J78" s="315" t="n">
        <f aca="false">J54+J66+J77</f>
        <v>3733661</v>
      </c>
      <c r="K78" s="316" t="n">
        <f aca="false">I78/J78*100-100</f>
        <v>-10.5035513400922</v>
      </c>
      <c r="L78" s="315" t="n">
        <f aca="false">L54+L66+L77</f>
        <v>1737203</v>
      </c>
      <c r="M78" s="315" t="n">
        <f aca="false">M54+M66+M77</f>
        <v>2177265</v>
      </c>
      <c r="N78" s="316" t="n">
        <f aca="false">L78/M78*100-100</f>
        <v>-20.2116875988913</v>
      </c>
      <c r="O78" s="315" t="n">
        <f aca="false">O54+O66+O77</f>
        <v>1950</v>
      </c>
      <c r="P78" s="317" t="n">
        <f aca="false">R78/O78</f>
        <v>99.5876923076923</v>
      </c>
      <c r="Q78" s="315" t="n">
        <f aca="false">Q54+Q66+Q77</f>
        <v>1958</v>
      </c>
      <c r="R78" s="318" t="n">
        <f aca="false">R54+R66+R77</f>
        <v>194196</v>
      </c>
    </row>
    <row r="79" customFormat="false" ht="15" hidden="false" customHeight="false" outlineLevel="0" collapsed="false">
      <c r="A79" s="203"/>
      <c r="B79" s="218"/>
      <c r="C79" s="203"/>
      <c r="D79" s="203"/>
      <c r="E79" s="203"/>
      <c r="F79" s="203"/>
      <c r="G79" s="203"/>
      <c r="H79" s="203"/>
      <c r="I79" s="203"/>
      <c r="J79" s="203"/>
      <c r="K79" s="192"/>
      <c r="L79" s="203"/>
      <c r="M79" s="203"/>
      <c r="N79" s="203"/>
      <c r="O79" s="203"/>
      <c r="P79" s="219"/>
      <c r="Q79" s="203"/>
      <c r="R79" s="197"/>
    </row>
    <row r="80" customFormat="false" ht="15" hidden="false" customHeight="false" outlineLevel="0" collapsed="false">
      <c r="A80" s="190" t="s">
        <v>79</v>
      </c>
      <c r="B80" s="190"/>
      <c r="C80" s="195" t="n">
        <v>3</v>
      </c>
      <c r="D80" s="195" t="n">
        <v>4</v>
      </c>
      <c r="E80" s="196" t="n">
        <v>5</v>
      </c>
      <c r="F80" s="195" t="n">
        <v>6</v>
      </c>
      <c r="G80" s="195" t="n">
        <v>7</v>
      </c>
      <c r="H80" s="195" t="n">
        <v>8</v>
      </c>
      <c r="I80" s="195" t="n">
        <v>9</v>
      </c>
      <c r="J80" s="195" t="n">
        <v>10</v>
      </c>
      <c r="K80" s="195" t="n">
        <v>11</v>
      </c>
      <c r="L80" s="195" t="n">
        <v>12</v>
      </c>
      <c r="M80" s="195" t="n">
        <v>13</v>
      </c>
      <c r="N80" s="195" t="n">
        <v>14</v>
      </c>
      <c r="O80" s="195" t="n">
        <v>15</v>
      </c>
      <c r="P80" s="196" t="n">
        <v>16</v>
      </c>
      <c r="Q80" s="195" t="n">
        <v>15</v>
      </c>
      <c r="R80" s="197"/>
    </row>
    <row r="81" customFormat="false" ht="15" hidden="false" customHeight="false" outlineLevel="0" collapsed="false">
      <c r="A81" s="242" t="n">
        <v>1</v>
      </c>
      <c r="B81" s="243" t="s">
        <v>80</v>
      </c>
      <c r="C81" s="208" t="n">
        <v>2894</v>
      </c>
      <c r="D81" s="208" t="n">
        <v>10925</v>
      </c>
      <c r="E81" s="201" t="n">
        <f aca="false">C81/D81*100-100</f>
        <v>-73.5102974828375</v>
      </c>
      <c r="F81" s="208" t="n">
        <v>384</v>
      </c>
      <c r="G81" s="208" t="n">
        <v>168</v>
      </c>
      <c r="H81" s="201" t="n">
        <f aca="false">F81/G81*100-100</f>
        <v>128.571428571429</v>
      </c>
      <c r="I81" s="208" t="n">
        <v>2894</v>
      </c>
      <c r="J81" s="208" t="n">
        <v>8352</v>
      </c>
      <c r="K81" s="201" t="n">
        <f aca="false">I81/J81*100-100</f>
        <v>-65.3496168582375</v>
      </c>
      <c r="L81" s="203"/>
      <c r="M81" s="208"/>
      <c r="N81" s="201" t="n">
        <v>0</v>
      </c>
      <c r="O81" s="203" t="n">
        <v>2560</v>
      </c>
      <c r="P81" s="208" t="n">
        <v>113</v>
      </c>
      <c r="Q81" s="203" t="n">
        <v>2504</v>
      </c>
      <c r="R81" s="202" t="n">
        <f aca="false">O81*P81</f>
        <v>289280</v>
      </c>
    </row>
    <row r="82" customFormat="false" ht="15" hidden="false" customHeight="false" outlineLevel="0" collapsed="false">
      <c r="A82" s="244" t="n">
        <v>2</v>
      </c>
      <c r="B82" s="243" t="s">
        <v>81</v>
      </c>
      <c r="C82" s="208" t="n">
        <v>321849</v>
      </c>
      <c r="D82" s="208" t="n">
        <v>335609</v>
      </c>
      <c r="E82" s="201" t="n">
        <f aca="false">C82/D82*100-100</f>
        <v>-4.10000923693941</v>
      </c>
      <c r="F82" s="208" t="n">
        <v>1987</v>
      </c>
      <c r="G82" s="208" t="n">
        <v>61836</v>
      </c>
      <c r="H82" s="201" t="n">
        <f aca="false">F82/G82*100-100</f>
        <v>-96.7866614916877</v>
      </c>
      <c r="I82" s="208" t="n">
        <v>372177</v>
      </c>
      <c r="J82" s="208" t="n">
        <v>374973</v>
      </c>
      <c r="K82" s="201" t="n">
        <f aca="false">I82/J82*100-100</f>
        <v>-0.74565368706547</v>
      </c>
      <c r="L82" s="208" t="n">
        <v>361548</v>
      </c>
      <c r="M82" s="208" t="n">
        <v>370262</v>
      </c>
      <c r="N82" s="201" t="n">
        <f aca="false">L82/M82*100-100</f>
        <v>-2.35346862491966</v>
      </c>
      <c r="O82" s="203" t="n">
        <v>761</v>
      </c>
      <c r="P82" s="208" t="n">
        <v>124</v>
      </c>
      <c r="Q82" s="203" t="n">
        <v>797</v>
      </c>
      <c r="R82" s="202" t="n">
        <f aca="false">O82*P82</f>
        <v>94364</v>
      </c>
    </row>
    <row r="83" customFormat="false" ht="15" hidden="false" customHeight="false" outlineLevel="0" collapsed="false">
      <c r="A83" s="242" t="n">
        <v>3</v>
      </c>
      <c r="B83" s="243" t="s">
        <v>82</v>
      </c>
      <c r="C83" s="208" t="n">
        <v>735460</v>
      </c>
      <c r="D83" s="208" t="n">
        <v>411639</v>
      </c>
      <c r="E83" s="201" t="n">
        <f aca="false">C83/D83*100-100</f>
        <v>78.6662585420721</v>
      </c>
      <c r="F83" s="208" t="n">
        <v>246433</v>
      </c>
      <c r="G83" s="208" t="n">
        <v>166594</v>
      </c>
      <c r="H83" s="201" t="n">
        <f aca="false">F83/G83*100-100</f>
        <v>47.9242949926168</v>
      </c>
      <c r="I83" s="208" t="n">
        <v>745331</v>
      </c>
      <c r="J83" s="208" t="n">
        <v>1058745</v>
      </c>
      <c r="K83" s="201" t="n">
        <f aca="false">I83/J83*100-100</f>
        <v>-29.6024066229356</v>
      </c>
      <c r="L83" s="208" t="n">
        <v>200658</v>
      </c>
      <c r="M83" s="208" t="n">
        <v>245357</v>
      </c>
      <c r="N83" s="201" t="n">
        <f aca="false">L83/M83*100-100</f>
        <v>-18.2179436494577</v>
      </c>
      <c r="O83" s="203" t="n">
        <v>28</v>
      </c>
      <c r="P83" s="208" t="n">
        <v>306</v>
      </c>
      <c r="Q83" s="203" t="n">
        <v>29</v>
      </c>
      <c r="R83" s="202" t="n">
        <f aca="false">O83*P83</f>
        <v>8568</v>
      </c>
    </row>
    <row r="84" customFormat="false" ht="15" hidden="false" customHeight="false" outlineLevel="0" collapsed="false">
      <c r="A84" s="244" t="n">
        <v>4</v>
      </c>
      <c r="B84" s="243" t="s">
        <v>83</v>
      </c>
      <c r="C84" s="208" t="n">
        <v>578851</v>
      </c>
      <c r="D84" s="208" t="n">
        <v>483378</v>
      </c>
      <c r="E84" s="201" t="n">
        <f aca="false">C84/D84*100-100</f>
        <v>19.7512091985982</v>
      </c>
      <c r="F84" s="208" t="n">
        <v>88535</v>
      </c>
      <c r="G84" s="208" t="n">
        <v>77928</v>
      </c>
      <c r="H84" s="201" t="n">
        <f aca="false">F84/G84*100-100</f>
        <v>13.6112822092188</v>
      </c>
      <c r="I84" s="208" t="n">
        <v>556759</v>
      </c>
      <c r="J84" s="208" t="n">
        <v>451128</v>
      </c>
      <c r="K84" s="201" t="n">
        <f aca="false">I84/J84*100-100</f>
        <v>23.4148623007217</v>
      </c>
      <c r="L84" s="203" t="n">
        <v>382636</v>
      </c>
      <c r="M84" s="208" t="n">
        <v>300159</v>
      </c>
      <c r="N84" s="201" t="n">
        <f aca="false">L84/M84*100-100</f>
        <v>27.4777701151723</v>
      </c>
      <c r="O84" s="203" t="n">
        <v>180</v>
      </c>
      <c r="P84" s="208" t="n">
        <v>40</v>
      </c>
      <c r="Q84" s="203" t="n">
        <v>180</v>
      </c>
      <c r="R84" s="202" t="n">
        <f aca="false">O84*P84</f>
        <v>7200</v>
      </c>
    </row>
    <row r="85" customFormat="false" ht="15" hidden="false" customHeight="false" outlineLevel="0" collapsed="false">
      <c r="A85" s="242" t="n">
        <v>5</v>
      </c>
      <c r="B85" s="243" t="s">
        <v>84</v>
      </c>
      <c r="C85" s="219" t="n">
        <v>208417</v>
      </c>
      <c r="D85" s="219" t="n">
        <v>181725</v>
      </c>
      <c r="E85" s="201" t="n">
        <f aca="false">C85/D85*100-100</f>
        <v>14.6881276654285</v>
      </c>
      <c r="F85" s="219" t="n">
        <v>28589</v>
      </c>
      <c r="G85" s="219" t="n">
        <v>29338</v>
      </c>
      <c r="H85" s="201" t="n">
        <f aca="false">F85/G85*100-100</f>
        <v>-2.55300293135183</v>
      </c>
      <c r="I85" s="219" t="n">
        <v>212691</v>
      </c>
      <c r="J85" s="219" t="n">
        <v>180888</v>
      </c>
      <c r="K85" s="201" t="n">
        <f aca="false">I85/J85*100-100</f>
        <v>17.5815974525673</v>
      </c>
      <c r="L85" s="203" t="n">
        <v>117067</v>
      </c>
      <c r="M85" s="219" t="n">
        <v>78599</v>
      </c>
      <c r="N85" s="201" t="n">
        <f aca="false">L85/M85*100-100</f>
        <v>48.9420984999809</v>
      </c>
      <c r="O85" s="203" t="n">
        <v>93</v>
      </c>
      <c r="P85" s="219" t="n">
        <v>61</v>
      </c>
      <c r="Q85" s="203" t="n">
        <v>94</v>
      </c>
      <c r="R85" s="202" t="n">
        <f aca="false">O85*P85</f>
        <v>5673</v>
      </c>
    </row>
    <row r="86" customFormat="false" ht="15" hidden="false" customHeight="false" outlineLevel="0" collapsed="false">
      <c r="A86" s="244" t="n">
        <v>6</v>
      </c>
      <c r="B86" s="243" t="s">
        <v>85</v>
      </c>
      <c r="C86" s="200" t="n">
        <v>0</v>
      </c>
      <c r="D86" s="200" t="n">
        <v>0</v>
      </c>
      <c r="E86" s="201" t="n">
        <v>0</v>
      </c>
      <c r="F86" s="200" t="n">
        <v>0</v>
      </c>
      <c r="G86" s="200" t="n">
        <v>0</v>
      </c>
      <c r="H86" s="201" t="n">
        <v>0</v>
      </c>
      <c r="I86" s="200" t="n">
        <v>0</v>
      </c>
      <c r="J86" s="200" t="n">
        <v>0</v>
      </c>
      <c r="K86" s="201" t="n">
        <v>0</v>
      </c>
      <c r="L86" s="200" t="n">
        <v>0</v>
      </c>
      <c r="M86" s="200" t="n">
        <v>0</v>
      </c>
      <c r="N86" s="201" t="n">
        <v>0</v>
      </c>
      <c r="O86" s="203" t="n">
        <v>0</v>
      </c>
      <c r="P86" s="204" t="n">
        <v>0</v>
      </c>
      <c r="Q86" s="203" t="n">
        <v>0</v>
      </c>
      <c r="R86" s="202" t="n">
        <f aca="false">O86*P86</f>
        <v>0</v>
      </c>
    </row>
    <row r="87" customFormat="false" ht="15" hidden="false" customHeight="false" outlineLevel="0" collapsed="false">
      <c r="A87" s="242" t="n">
        <v>7</v>
      </c>
      <c r="B87" s="243" t="s">
        <v>86</v>
      </c>
      <c r="C87" s="208" t="n">
        <v>300</v>
      </c>
      <c r="D87" s="219" t="n">
        <v>406</v>
      </c>
      <c r="E87" s="201" t="n">
        <f aca="false">C87/D87*100-100</f>
        <v>-26.1083743842365</v>
      </c>
      <c r="F87" s="208" t="n">
        <v>250</v>
      </c>
      <c r="G87" s="219" t="n">
        <v>101</v>
      </c>
      <c r="H87" s="201" t="n">
        <v>0</v>
      </c>
      <c r="I87" s="208" t="n">
        <v>300</v>
      </c>
      <c r="J87" s="219" t="n">
        <v>406</v>
      </c>
      <c r="K87" s="201" t="n">
        <f aca="false">I87/J87*100-100</f>
        <v>-26.1083743842365</v>
      </c>
      <c r="L87" s="203" t="n">
        <v>0</v>
      </c>
      <c r="M87" s="219" t="n">
        <v>0</v>
      </c>
      <c r="N87" s="201" t="n">
        <v>0</v>
      </c>
      <c r="O87" s="203" t="n">
        <v>8</v>
      </c>
      <c r="P87" s="208" t="n">
        <v>75</v>
      </c>
      <c r="Q87" s="203" t="n">
        <v>8</v>
      </c>
      <c r="R87" s="202" t="n">
        <f aca="false">O87*P87</f>
        <v>600</v>
      </c>
    </row>
    <row r="88" customFormat="false" ht="15" hidden="false" customHeight="false" outlineLevel="0" collapsed="false">
      <c r="A88" s="244" t="n">
        <v>8</v>
      </c>
      <c r="B88" s="245" t="s">
        <v>87</v>
      </c>
      <c r="C88" s="219" t="n">
        <v>348569</v>
      </c>
      <c r="D88" s="219" t="n">
        <v>528754</v>
      </c>
      <c r="E88" s="201" t="n">
        <f aca="false">C88/D88*100-100</f>
        <v>-34.0772835761053</v>
      </c>
      <c r="F88" s="219" t="n">
        <v>62508</v>
      </c>
      <c r="G88" s="219" t="n">
        <v>132406</v>
      </c>
      <c r="H88" s="201" t="n">
        <f aca="false">F88/G88*100-100</f>
        <v>-52.7906590335785</v>
      </c>
      <c r="I88" s="219" t="n">
        <v>643417</v>
      </c>
      <c r="J88" s="219" t="n">
        <v>596663</v>
      </c>
      <c r="K88" s="201" t="n">
        <f aca="false">I88/J88*100-100</f>
        <v>7.83591407544964</v>
      </c>
      <c r="L88" s="203" t="n">
        <v>180125</v>
      </c>
      <c r="M88" s="219" t="n">
        <v>125193</v>
      </c>
      <c r="N88" s="201" t="n">
        <f aca="false">L88/M88*100-100</f>
        <v>43.8778525955924</v>
      </c>
      <c r="O88" s="203" t="n">
        <v>65</v>
      </c>
      <c r="P88" s="208" t="n">
        <v>128</v>
      </c>
      <c r="Q88" s="203" t="n">
        <v>65</v>
      </c>
      <c r="R88" s="202" t="n">
        <f aca="false">O88*P88</f>
        <v>8320</v>
      </c>
    </row>
    <row r="89" customFormat="false" ht="15" hidden="false" customHeight="false" outlineLevel="0" collapsed="false">
      <c r="A89" s="242" t="n">
        <v>9</v>
      </c>
      <c r="B89" s="243" t="s">
        <v>89</v>
      </c>
      <c r="C89" s="208" t="n">
        <v>940570</v>
      </c>
      <c r="D89" s="208" t="n">
        <v>730185</v>
      </c>
      <c r="E89" s="201" t="n">
        <f aca="false">C89/D89*100-100</f>
        <v>28.8125612002438</v>
      </c>
      <c r="F89" s="208" t="n">
        <v>179828</v>
      </c>
      <c r="G89" s="208" t="n">
        <v>64256</v>
      </c>
      <c r="H89" s="201" t="n">
        <f aca="false">F89/G89*100-100</f>
        <v>179.861802788845</v>
      </c>
      <c r="I89" s="208" t="n">
        <v>942390</v>
      </c>
      <c r="J89" s="208" t="n">
        <v>732205</v>
      </c>
      <c r="K89" s="201" t="n">
        <f aca="false">I89/J89*100-100</f>
        <v>28.7057586331697</v>
      </c>
      <c r="L89" s="203" t="n">
        <v>530831</v>
      </c>
      <c r="M89" s="208" t="n">
        <v>356767</v>
      </c>
      <c r="N89" s="201" t="n">
        <f aca="false">L89/M89*100-100</f>
        <v>48.7892658233525</v>
      </c>
      <c r="O89" s="203" t="n">
        <v>102</v>
      </c>
      <c r="P89" s="208" t="n">
        <v>245</v>
      </c>
      <c r="Q89" s="203" t="n">
        <v>102</v>
      </c>
      <c r="R89" s="202" t="n">
        <f aca="false">O89*P89</f>
        <v>24990</v>
      </c>
    </row>
    <row r="90" customFormat="false" ht="15" hidden="false" customHeight="false" outlineLevel="0" collapsed="false">
      <c r="A90" s="244" t="n">
        <v>10</v>
      </c>
      <c r="B90" s="243" t="s">
        <v>90</v>
      </c>
      <c r="C90" s="242" t="n">
        <v>207456</v>
      </c>
      <c r="D90" s="246" t="n">
        <v>162251</v>
      </c>
      <c r="E90" s="201" t="n">
        <f aca="false">C90/D90*100-100</f>
        <v>27.8611533981301</v>
      </c>
      <c r="F90" s="208" t="n">
        <v>39450</v>
      </c>
      <c r="G90" s="208" t="n">
        <v>26643</v>
      </c>
      <c r="H90" s="201" t="n">
        <f aca="false">F90/G90*100-100</f>
        <v>48.0689111586533</v>
      </c>
      <c r="I90" s="247" t="n">
        <v>2046670</v>
      </c>
      <c r="J90" s="248" t="n">
        <v>1920819</v>
      </c>
      <c r="K90" s="201" t="n">
        <f aca="false">I90/J90*100-100</f>
        <v>6.55194476939265</v>
      </c>
      <c r="L90" s="247" t="n">
        <v>26913</v>
      </c>
      <c r="M90" s="248" t="n">
        <v>18431</v>
      </c>
      <c r="N90" s="201" t="n">
        <f aca="false">L90/M90*100-100</f>
        <v>46.0202918995171</v>
      </c>
      <c r="O90" s="203" t="n">
        <v>52</v>
      </c>
      <c r="P90" s="208" t="n">
        <v>250</v>
      </c>
      <c r="Q90" s="203" t="n">
        <v>53</v>
      </c>
      <c r="R90" s="202" t="n">
        <f aca="false">O90*P90</f>
        <v>13000</v>
      </c>
    </row>
    <row r="91" customFormat="false" ht="15" hidden="false" customHeight="false" outlineLevel="0" collapsed="false">
      <c r="A91" s="215" t="s">
        <v>91</v>
      </c>
      <c r="B91" s="215" t="s">
        <v>92</v>
      </c>
      <c r="C91" s="237" t="n">
        <f aca="false">SUM(C81:C90)</f>
        <v>3344366</v>
      </c>
      <c r="D91" s="237" t="n">
        <f aca="false">SUM(D81:D90)</f>
        <v>2844872</v>
      </c>
      <c r="E91" s="313" t="n">
        <f aca="false">C91/D91*100-100</f>
        <v>17.5576967962003</v>
      </c>
      <c r="F91" s="237" t="n">
        <f aca="false">SUM(F81:F90)</f>
        <v>647964</v>
      </c>
      <c r="G91" s="237" t="n">
        <f aca="false">SUM(G81:G90)</f>
        <v>559270</v>
      </c>
      <c r="H91" s="313" t="n">
        <f aca="false">F91/G91*100-100</f>
        <v>15.85888747832</v>
      </c>
      <c r="I91" s="237" t="n">
        <f aca="false">SUM(I81:I90)</f>
        <v>5522629</v>
      </c>
      <c r="J91" s="237" t="n">
        <f aca="false">SUM(J81:J90)</f>
        <v>5324179</v>
      </c>
      <c r="K91" s="313" t="n">
        <f aca="false">I91/J91*100-100</f>
        <v>3.72733523797754</v>
      </c>
      <c r="L91" s="237" t="n">
        <f aca="false">SUM(L81:L90)</f>
        <v>1799778</v>
      </c>
      <c r="M91" s="237" t="n">
        <f aca="false">SUM(M81:M90)</f>
        <v>1494768</v>
      </c>
      <c r="N91" s="313" t="n">
        <f aca="false">L91/M91*100-100</f>
        <v>20.405173244276</v>
      </c>
      <c r="O91" s="216" t="n">
        <f aca="false">SUM(O81:O90)</f>
        <v>3849</v>
      </c>
      <c r="P91" s="217" t="n">
        <f aca="false">R91/O91</f>
        <v>117.431800467654</v>
      </c>
      <c r="Q91" s="216" t="n">
        <f aca="false">SUM(Q81:Q90)</f>
        <v>3832</v>
      </c>
      <c r="R91" s="232" t="n">
        <f aca="false">SUM(R81:R90)</f>
        <v>451995</v>
      </c>
    </row>
    <row r="92" customFormat="false" ht="15" hidden="false" customHeight="false" outlineLevel="0" collapsed="false">
      <c r="A92" s="203"/>
      <c r="B92" s="203"/>
      <c r="C92" s="203"/>
      <c r="D92" s="203"/>
      <c r="E92" s="203"/>
      <c r="F92" s="203"/>
      <c r="G92" s="203"/>
      <c r="H92" s="203"/>
      <c r="I92" s="203"/>
      <c r="J92" s="203"/>
      <c r="K92" s="192"/>
      <c r="L92" s="203"/>
      <c r="M92" s="203"/>
      <c r="N92" s="203"/>
      <c r="O92" s="203"/>
      <c r="P92" s="219"/>
      <c r="Q92" s="203"/>
      <c r="R92" s="197"/>
    </row>
    <row r="93" customFormat="false" ht="15" hidden="false" customHeight="false" outlineLevel="0" collapsed="false">
      <c r="A93" s="190" t="s">
        <v>93</v>
      </c>
      <c r="B93" s="190"/>
      <c r="C93" s="195" t="n">
        <v>3</v>
      </c>
      <c r="D93" s="195" t="n">
        <v>4</v>
      </c>
      <c r="E93" s="196" t="n">
        <v>5</v>
      </c>
      <c r="F93" s="195" t="n">
        <v>6</v>
      </c>
      <c r="G93" s="195" t="n">
        <v>7</v>
      </c>
      <c r="H93" s="195" t="n">
        <v>8</v>
      </c>
      <c r="I93" s="195" t="n">
        <v>9</v>
      </c>
      <c r="J93" s="195" t="n">
        <v>10</v>
      </c>
      <c r="K93" s="195" t="n">
        <v>11</v>
      </c>
      <c r="L93" s="195" t="n">
        <v>12</v>
      </c>
      <c r="M93" s="195" t="n">
        <v>13</v>
      </c>
      <c r="N93" s="195" t="n">
        <v>14</v>
      </c>
      <c r="O93" s="195" t="n">
        <v>15</v>
      </c>
      <c r="P93" s="196" t="n">
        <v>16</v>
      </c>
      <c r="Q93" s="195" t="n">
        <v>15</v>
      </c>
      <c r="R93" s="197"/>
    </row>
    <row r="94" customFormat="false" ht="15" hidden="false" customHeight="false" outlineLevel="0" collapsed="false">
      <c r="A94" s="249" t="n">
        <v>1</v>
      </c>
      <c r="B94" s="245" t="s">
        <v>94</v>
      </c>
      <c r="C94" s="250" t="n">
        <v>196454</v>
      </c>
      <c r="D94" s="250" t="n">
        <v>170648</v>
      </c>
      <c r="E94" s="201" t="n">
        <f aca="false">C94/D94*100-100</f>
        <v>15.1223571328114</v>
      </c>
      <c r="F94" s="250" t="n">
        <v>46662</v>
      </c>
      <c r="G94" s="250" t="n">
        <v>31715</v>
      </c>
      <c r="H94" s="201" t="n">
        <f aca="false">F94/G94*100-100</f>
        <v>47.1291187135425</v>
      </c>
      <c r="I94" s="250" t="n">
        <v>183511</v>
      </c>
      <c r="J94" s="251" t="n">
        <v>159788</v>
      </c>
      <c r="K94" s="201" t="n">
        <f aca="false">I94/J94*100-100</f>
        <v>14.8465466743435</v>
      </c>
      <c r="L94" s="250" t="n">
        <v>183491</v>
      </c>
      <c r="M94" s="250" t="n">
        <v>159743</v>
      </c>
      <c r="N94" s="201" t="n">
        <f aca="false">L94/M94*100-100</f>
        <v>14.8663791214639</v>
      </c>
      <c r="O94" s="250" t="n">
        <v>311</v>
      </c>
      <c r="P94" s="250" t="n">
        <v>89</v>
      </c>
      <c r="Q94" s="250" t="n">
        <v>250</v>
      </c>
      <c r="R94" s="202" t="n">
        <f aca="false">O94*P94</f>
        <v>27679</v>
      </c>
    </row>
    <row r="95" customFormat="false" ht="15" hidden="false" customHeight="false" outlineLevel="0" collapsed="false">
      <c r="A95" s="249" t="n">
        <v>2</v>
      </c>
      <c r="B95" s="245" t="s">
        <v>95</v>
      </c>
      <c r="C95" s="200" t="n">
        <v>0</v>
      </c>
      <c r="D95" s="200" t="n">
        <v>0</v>
      </c>
      <c r="E95" s="201" t="n">
        <v>0</v>
      </c>
      <c r="F95" s="200" t="n">
        <v>0</v>
      </c>
      <c r="G95" s="200" t="n">
        <v>0</v>
      </c>
      <c r="H95" s="201" t="n">
        <v>0</v>
      </c>
      <c r="I95" s="200" t="n">
        <v>0</v>
      </c>
      <c r="J95" s="200" t="n">
        <v>0</v>
      </c>
      <c r="K95" s="201" t="n">
        <v>0</v>
      </c>
      <c r="L95" s="200" t="n">
        <v>0</v>
      </c>
      <c r="M95" s="200" t="n">
        <v>0</v>
      </c>
      <c r="N95" s="201" t="n">
        <v>0</v>
      </c>
      <c r="O95" s="250" t="n">
        <v>0</v>
      </c>
      <c r="P95" s="250" t="n">
        <v>0</v>
      </c>
      <c r="Q95" s="250" t="n">
        <v>0</v>
      </c>
      <c r="R95" s="202" t="n">
        <f aca="false">O95*P95</f>
        <v>0</v>
      </c>
    </row>
    <row r="96" customFormat="false" ht="15" hidden="false" customHeight="false" outlineLevel="0" collapsed="false">
      <c r="A96" s="249" t="n">
        <v>3</v>
      </c>
      <c r="B96" s="243" t="s">
        <v>96</v>
      </c>
      <c r="C96" s="200" t="n">
        <v>0</v>
      </c>
      <c r="D96" s="200" t="n">
        <v>0</v>
      </c>
      <c r="E96" s="201" t="n">
        <v>0</v>
      </c>
      <c r="F96" s="200" t="n">
        <v>0</v>
      </c>
      <c r="G96" s="200" t="n">
        <v>0</v>
      </c>
      <c r="H96" s="201" t="n">
        <v>0</v>
      </c>
      <c r="I96" s="200" t="n">
        <v>0</v>
      </c>
      <c r="J96" s="200" t="n">
        <v>0</v>
      </c>
      <c r="K96" s="201" t="n">
        <v>0</v>
      </c>
      <c r="L96" s="200" t="n">
        <v>0</v>
      </c>
      <c r="M96" s="200" t="n">
        <v>0</v>
      </c>
      <c r="N96" s="201" t="n">
        <v>0</v>
      </c>
      <c r="O96" s="250" t="n">
        <v>0</v>
      </c>
      <c r="P96" s="250" t="n">
        <v>0</v>
      </c>
      <c r="Q96" s="250" t="n">
        <v>0</v>
      </c>
      <c r="R96" s="202" t="n">
        <v>0</v>
      </c>
      <c r="S96" s="347"/>
    </row>
    <row r="97" customFormat="false" ht="15" hidden="false" customHeight="false" outlineLevel="0" collapsed="false">
      <c r="A97" s="249" t="n">
        <v>4</v>
      </c>
      <c r="B97" s="243" t="s">
        <v>97</v>
      </c>
      <c r="C97" s="200" t="n">
        <v>20625</v>
      </c>
      <c r="D97" s="200" t="n">
        <v>0</v>
      </c>
      <c r="E97" s="201" t="n">
        <v>0</v>
      </c>
      <c r="F97" s="200" t="n">
        <v>4400</v>
      </c>
      <c r="G97" s="200"/>
      <c r="H97" s="201" t="n">
        <v>0</v>
      </c>
      <c r="I97" s="200" t="n">
        <v>10503</v>
      </c>
      <c r="J97" s="200" t="n">
        <v>0</v>
      </c>
      <c r="K97" s="201" t="n">
        <v>0</v>
      </c>
      <c r="L97" s="200" t="n">
        <v>0</v>
      </c>
      <c r="M97" s="200" t="n">
        <v>0</v>
      </c>
      <c r="N97" s="201" t="n">
        <v>0</v>
      </c>
      <c r="O97" s="250" t="n">
        <v>34</v>
      </c>
      <c r="P97" s="250" t="n">
        <v>160</v>
      </c>
      <c r="Q97" s="250" t="n">
        <v>34</v>
      </c>
      <c r="R97" s="202" t="n">
        <f aca="false">O97*P97</f>
        <v>5440</v>
      </c>
    </row>
    <row r="98" customFormat="false" ht="15" hidden="false" customHeight="false" outlineLevel="0" collapsed="false">
      <c r="A98" s="249" t="n">
        <v>5</v>
      </c>
      <c r="B98" s="245" t="s">
        <v>98</v>
      </c>
      <c r="C98" s="250" t="n">
        <v>376332</v>
      </c>
      <c r="D98" s="250" t="n">
        <v>322620</v>
      </c>
      <c r="E98" s="201" t="n">
        <f aca="false">C98/D98*100-100</f>
        <v>16.6486888599591</v>
      </c>
      <c r="F98" s="250" t="n">
        <v>43028</v>
      </c>
      <c r="G98" s="250" t="n">
        <v>44328</v>
      </c>
      <c r="H98" s="201" t="n">
        <v>0</v>
      </c>
      <c r="I98" s="250" t="n">
        <v>371503</v>
      </c>
      <c r="J98" s="250" t="n">
        <v>388243</v>
      </c>
      <c r="K98" s="201" t="n">
        <f aca="false">I98/J98*100-100</f>
        <v>-4.311732600459</v>
      </c>
      <c r="L98" s="250" t="n">
        <v>371503</v>
      </c>
      <c r="M98" s="250" t="n">
        <v>388243</v>
      </c>
      <c r="N98" s="201" t="n">
        <f aca="false">L98/M98*100-100</f>
        <v>-4.311732600459</v>
      </c>
      <c r="O98" s="250" t="n">
        <v>408</v>
      </c>
      <c r="P98" s="250" t="n">
        <v>52</v>
      </c>
      <c r="Q98" s="250" t="n">
        <v>408</v>
      </c>
      <c r="R98" s="202" t="n">
        <f aca="false">O98*P98</f>
        <v>21216</v>
      </c>
    </row>
    <row r="99" customFormat="false" ht="15" hidden="false" customHeight="false" outlineLevel="0" collapsed="false">
      <c r="A99" s="249" t="n">
        <v>6</v>
      </c>
      <c r="B99" s="245" t="s">
        <v>99</v>
      </c>
      <c r="C99" s="200" t="n">
        <v>0</v>
      </c>
      <c r="D99" s="200" t="n">
        <v>0</v>
      </c>
      <c r="E99" s="201" t="n">
        <v>0</v>
      </c>
      <c r="F99" s="200" t="n">
        <v>0</v>
      </c>
      <c r="G99" s="200" t="n">
        <v>0</v>
      </c>
      <c r="H99" s="201" t="n">
        <v>0</v>
      </c>
      <c r="I99" s="200" t="n">
        <v>0</v>
      </c>
      <c r="J99" s="200" t="n">
        <v>0</v>
      </c>
      <c r="K99" s="201" t="n">
        <v>0</v>
      </c>
      <c r="L99" s="200" t="n">
        <v>0</v>
      </c>
      <c r="M99" s="200" t="n">
        <v>0</v>
      </c>
      <c r="N99" s="201" t="n">
        <v>0</v>
      </c>
      <c r="O99" s="250" t="n">
        <v>0</v>
      </c>
      <c r="P99" s="250" t="n">
        <v>0</v>
      </c>
      <c r="Q99" s="250" t="n">
        <v>0</v>
      </c>
      <c r="R99" s="202" t="n">
        <f aca="false">O99*P99</f>
        <v>0</v>
      </c>
    </row>
    <row r="100" customFormat="false" ht="15" hidden="false" customHeight="false" outlineLevel="0" collapsed="false">
      <c r="A100" s="249" t="n">
        <v>7</v>
      </c>
      <c r="B100" s="243" t="s">
        <v>100</v>
      </c>
      <c r="C100" s="200" t="n">
        <v>0</v>
      </c>
      <c r="D100" s="200" t="n">
        <v>0</v>
      </c>
      <c r="E100" s="201" t="n">
        <v>0</v>
      </c>
      <c r="F100" s="200" t="n">
        <v>0</v>
      </c>
      <c r="G100" s="200" t="n">
        <v>0</v>
      </c>
      <c r="H100" s="201" t="n">
        <v>0</v>
      </c>
      <c r="I100" s="200" t="n">
        <v>0</v>
      </c>
      <c r="J100" s="200" t="n">
        <v>0</v>
      </c>
      <c r="K100" s="201" t="n">
        <v>0</v>
      </c>
      <c r="L100" s="200" t="n">
        <v>0</v>
      </c>
      <c r="M100" s="200" t="n">
        <v>0</v>
      </c>
      <c r="N100" s="201" t="n">
        <v>0</v>
      </c>
      <c r="O100" s="250" t="n">
        <v>0</v>
      </c>
      <c r="P100" s="250" t="n">
        <v>0</v>
      </c>
      <c r="Q100" s="250" t="n">
        <v>0</v>
      </c>
      <c r="R100" s="202" t="n">
        <f aca="false">O100*P100</f>
        <v>0</v>
      </c>
    </row>
    <row r="101" customFormat="false" ht="15" hidden="false" customHeight="false" outlineLevel="0" collapsed="false">
      <c r="A101" s="249" t="n">
        <v>8</v>
      </c>
      <c r="B101" s="245" t="s">
        <v>101</v>
      </c>
      <c r="C101" s="208" t="n">
        <v>252810</v>
      </c>
      <c r="D101" s="208" t="n">
        <v>179560</v>
      </c>
      <c r="E101" s="201" t="n">
        <f aca="false">C101/D101*100-100</f>
        <v>40.7941635108042</v>
      </c>
      <c r="F101" s="208" t="n">
        <v>40853</v>
      </c>
      <c r="G101" s="208" t="n">
        <v>37319</v>
      </c>
      <c r="H101" s="201" t="n">
        <f aca="false">F101/G101*100-100</f>
        <v>9.46970711969775</v>
      </c>
      <c r="I101" s="208" t="n">
        <v>238040</v>
      </c>
      <c r="J101" s="208" t="n">
        <v>107325</v>
      </c>
      <c r="K101" s="201" t="n">
        <f aca="false">I101/J101*100-100</f>
        <v>121.793617516888</v>
      </c>
      <c r="L101" s="208" t="n">
        <v>67551</v>
      </c>
      <c r="M101" s="208" t="n">
        <v>1971</v>
      </c>
      <c r="N101" s="223" t="n">
        <f aca="false">L101/M101*100-100</f>
        <v>3327.24505327245</v>
      </c>
      <c r="O101" s="250" t="n">
        <v>148</v>
      </c>
      <c r="P101" s="250" t="n">
        <v>146</v>
      </c>
      <c r="Q101" s="250" t="n">
        <v>148</v>
      </c>
      <c r="R101" s="202" t="n">
        <f aca="false">O101*P101</f>
        <v>21608</v>
      </c>
    </row>
    <row r="102" customFormat="false" ht="15" hidden="false" customHeight="false" outlineLevel="0" collapsed="false">
      <c r="A102" s="249" t="n">
        <v>9</v>
      </c>
      <c r="B102" s="245" t="s">
        <v>102</v>
      </c>
      <c r="C102" s="200" t="n">
        <v>0</v>
      </c>
      <c r="D102" s="200" t="n">
        <v>0</v>
      </c>
      <c r="E102" s="201" t="n">
        <v>0</v>
      </c>
      <c r="F102" s="200" t="n">
        <v>0</v>
      </c>
      <c r="G102" s="200" t="n">
        <v>0</v>
      </c>
      <c r="H102" s="201" t="n">
        <v>0</v>
      </c>
      <c r="I102" s="200" t="n">
        <v>0</v>
      </c>
      <c r="J102" s="200" t="n">
        <v>0</v>
      </c>
      <c r="K102" s="201" t="n">
        <v>0</v>
      </c>
      <c r="L102" s="200" t="n">
        <v>0</v>
      </c>
      <c r="M102" s="200" t="n">
        <v>0</v>
      </c>
      <c r="N102" s="201" t="n">
        <v>0</v>
      </c>
      <c r="O102" s="250" t="n">
        <v>0</v>
      </c>
      <c r="P102" s="250" t="n">
        <v>0</v>
      </c>
      <c r="Q102" s="250" t="n">
        <v>0</v>
      </c>
      <c r="R102" s="202" t="n">
        <f aca="false">O102*P102</f>
        <v>0</v>
      </c>
    </row>
    <row r="103" customFormat="false" ht="15" hidden="false" customHeight="false" outlineLevel="0" collapsed="false">
      <c r="A103" s="249" t="n">
        <v>10</v>
      </c>
      <c r="B103" s="243" t="s">
        <v>220</v>
      </c>
      <c r="C103" s="203" t="n">
        <v>105063</v>
      </c>
      <c r="D103" s="203" t="n">
        <v>54269</v>
      </c>
      <c r="E103" s="201" t="n">
        <f aca="false">C103/D103*100-100</f>
        <v>93.5967126720596</v>
      </c>
      <c r="F103" s="203" t="n">
        <v>28830</v>
      </c>
      <c r="G103" s="203" t="n">
        <v>0</v>
      </c>
      <c r="H103" s="201" t="n">
        <v>0</v>
      </c>
      <c r="I103" s="203" t="n">
        <v>105063</v>
      </c>
      <c r="J103" s="203" t="n">
        <v>54269</v>
      </c>
      <c r="K103" s="201" t="n">
        <f aca="false">I103/J103*100-100</f>
        <v>93.5967126720596</v>
      </c>
      <c r="L103" s="203" t="n">
        <v>105063</v>
      </c>
      <c r="M103" s="203" t="n">
        <v>54269</v>
      </c>
      <c r="N103" s="201" t="n">
        <f aca="false">L103/M103*100-100</f>
        <v>93.5967126720596</v>
      </c>
      <c r="O103" s="250" t="n">
        <v>86</v>
      </c>
      <c r="P103" s="250" t="n">
        <v>63</v>
      </c>
      <c r="Q103" s="250" t="n">
        <v>85</v>
      </c>
      <c r="R103" s="202" t="n">
        <f aca="false">O103*P103</f>
        <v>5418</v>
      </c>
    </row>
    <row r="104" customFormat="false" ht="15" hidden="false" customHeight="false" outlineLevel="0" collapsed="false">
      <c r="A104" s="249" t="n">
        <v>11</v>
      </c>
      <c r="B104" s="245" t="s">
        <v>104</v>
      </c>
      <c r="C104" s="200" t="n">
        <v>0</v>
      </c>
      <c r="D104" s="200" t="n">
        <v>0</v>
      </c>
      <c r="E104" s="201" t="n">
        <v>0</v>
      </c>
      <c r="F104" s="200" t="n">
        <v>0</v>
      </c>
      <c r="G104" s="200" t="n">
        <v>0</v>
      </c>
      <c r="H104" s="201" t="n">
        <v>0</v>
      </c>
      <c r="I104" s="200" t="n">
        <v>0</v>
      </c>
      <c r="J104" s="200" t="n">
        <v>0</v>
      </c>
      <c r="K104" s="201" t="n">
        <v>0</v>
      </c>
      <c r="L104" s="200" t="n">
        <v>0</v>
      </c>
      <c r="M104" s="200" t="n">
        <v>0</v>
      </c>
      <c r="N104" s="201" t="n">
        <v>0</v>
      </c>
      <c r="O104" s="250" t="n">
        <v>0</v>
      </c>
      <c r="P104" s="250" t="n">
        <v>0</v>
      </c>
      <c r="Q104" s="250" t="n">
        <v>0</v>
      </c>
      <c r="R104" s="202" t="n">
        <f aca="false">O104*P104</f>
        <v>0</v>
      </c>
    </row>
    <row r="105" customFormat="false" ht="15" hidden="false" customHeight="false" outlineLevel="0" collapsed="false">
      <c r="A105" s="249" t="n">
        <v>12</v>
      </c>
      <c r="B105" s="245" t="s">
        <v>221</v>
      </c>
      <c r="C105" s="251" t="n">
        <v>46730</v>
      </c>
      <c r="D105" s="250" t="n">
        <v>52447</v>
      </c>
      <c r="E105" s="201" t="n">
        <f aca="false">C105/D105*100-100</f>
        <v>-10.9005281522299</v>
      </c>
      <c r="F105" s="251" t="n">
        <v>8500</v>
      </c>
      <c r="G105" s="250" t="n">
        <v>8031</v>
      </c>
      <c r="H105" s="201" t="n">
        <f aca="false">F105/G105*100-100</f>
        <v>5.83987050180551</v>
      </c>
      <c r="I105" s="251" t="n">
        <v>42100</v>
      </c>
      <c r="J105" s="251" t="n">
        <v>42700</v>
      </c>
      <c r="K105" s="201" t="n">
        <f aca="false">I105/J105*100-100</f>
        <v>-1.40515222482436</v>
      </c>
      <c r="L105" s="250" t="n">
        <v>0</v>
      </c>
      <c r="M105" s="250" t="n">
        <v>0</v>
      </c>
      <c r="N105" s="201" t="n">
        <v>0</v>
      </c>
      <c r="O105" s="250" t="n">
        <v>15</v>
      </c>
      <c r="P105" s="250" t="n">
        <v>58</v>
      </c>
      <c r="Q105" s="250" t="n">
        <v>15</v>
      </c>
      <c r="R105" s="202" t="n">
        <f aca="false">O105*P105</f>
        <v>870</v>
      </c>
    </row>
    <row r="106" customFormat="false" ht="15" hidden="false" customHeight="false" outlineLevel="0" collapsed="false">
      <c r="A106" s="249" t="n">
        <v>13</v>
      </c>
      <c r="B106" s="245" t="s">
        <v>222</v>
      </c>
      <c r="C106" s="251" t="n">
        <v>12601</v>
      </c>
      <c r="D106" s="250" t="n">
        <v>39798</v>
      </c>
      <c r="E106" s="201" t="n">
        <f aca="false">C106/D106*100-100</f>
        <v>-68.3376049047691</v>
      </c>
      <c r="F106" s="251" t="n">
        <v>2342</v>
      </c>
      <c r="G106" s="251" t="n">
        <v>2394</v>
      </c>
      <c r="H106" s="201" t="n">
        <f aca="false">F106/G106*100-100</f>
        <v>-2.17209690893901</v>
      </c>
      <c r="I106" s="251" t="n">
        <v>9730</v>
      </c>
      <c r="J106" s="251" t="n">
        <v>81113</v>
      </c>
      <c r="K106" s="201" t="n">
        <f aca="false">I106/J106*100-100</f>
        <v>-88.0043889388877</v>
      </c>
      <c r="L106" s="250" t="n">
        <v>1529</v>
      </c>
      <c r="M106" s="250" t="n">
        <v>70528</v>
      </c>
      <c r="N106" s="201" t="n">
        <f aca="false">L106/M106*100-100</f>
        <v>-97.8320666969147</v>
      </c>
      <c r="O106" s="250" t="n">
        <v>57</v>
      </c>
      <c r="P106" s="250" t="n">
        <v>69</v>
      </c>
      <c r="Q106" s="250" t="n">
        <v>58</v>
      </c>
      <c r="R106" s="202" t="n">
        <f aca="false">O106*P106</f>
        <v>3933</v>
      </c>
    </row>
    <row r="107" customFormat="false" ht="15" hidden="false" customHeight="false" outlineLevel="0" collapsed="false">
      <c r="A107" s="249" t="n">
        <v>14</v>
      </c>
      <c r="B107" s="245" t="s">
        <v>223</v>
      </c>
      <c r="C107" s="200" t="n">
        <v>0</v>
      </c>
      <c r="D107" s="200" t="n">
        <v>0</v>
      </c>
      <c r="E107" s="201" t="n">
        <v>0</v>
      </c>
      <c r="F107" s="200" t="n">
        <v>0</v>
      </c>
      <c r="G107" s="200" t="n">
        <v>0</v>
      </c>
      <c r="H107" s="201" t="n">
        <v>0</v>
      </c>
      <c r="I107" s="200" t="n">
        <v>0</v>
      </c>
      <c r="J107" s="200" t="n">
        <v>0</v>
      </c>
      <c r="K107" s="201" t="n">
        <v>0</v>
      </c>
      <c r="L107" s="200" t="n">
        <v>0</v>
      </c>
      <c r="M107" s="200" t="n">
        <v>0</v>
      </c>
      <c r="N107" s="201" t="n">
        <v>0</v>
      </c>
      <c r="O107" s="250" t="n">
        <v>0</v>
      </c>
      <c r="P107" s="250" t="n">
        <v>0</v>
      </c>
      <c r="Q107" s="250" t="n">
        <v>0</v>
      </c>
      <c r="R107" s="202" t="n">
        <f aca="false">O107*P107</f>
        <v>0</v>
      </c>
    </row>
    <row r="108" customFormat="false" ht="15" hidden="false" customHeight="false" outlineLevel="0" collapsed="false">
      <c r="A108" s="249" t="n">
        <v>15</v>
      </c>
      <c r="B108" s="245" t="s">
        <v>224</v>
      </c>
      <c r="C108" s="208" t="n">
        <v>87323</v>
      </c>
      <c r="D108" s="208" t="n">
        <v>26490</v>
      </c>
      <c r="E108" s="201" t="n">
        <f aca="false">C108/D108*100-100</f>
        <v>229.645149112873</v>
      </c>
      <c r="F108" s="208" t="n">
        <v>8680</v>
      </c>
      <c r="G108" s="208" t="n">
        <v>0</v>
      </c>
      <c r="H108" s="201" t="n">
        <v>0</v>
      </c>
      <c r="I108" s="208" t="n">
        <v>87323</v>
      </c>
      <c r="J108" s="208" t="n">
        <v>26490</v>
      </c>
      <c r="K108" s="201" t="n">
        <f aca="false">I108/J108*100-100</f>
        <v>229.645149112873</v>
      </c>
      <c r="L108" s="208" t="n">
        <v>87323</v>
      </c>
      <c r="M108" s="208" t="n">
        <v>26490</v>
      </c>
      <c r="N108" s="201" t="n">
        <f aca="false">L108/M108*100-100</f>
        <v>229.645149112873</v>
      </c>
      <c r="O108" s="250" t="n">
        <v>93</v>
      </c>
      <c r="P108" s="250" t="n">
        <v>80</v>
      </c>
      <c r="Q108" s="250" t="n">
        <v>93</v>
      </c>
      <c r="R108" s="202" t="n">
        <f aca="false">O108*P108</f>
        <v>7440</v>
      </c>
    </row>
    <row r="109" customFormat="false" ht="15" hidden="false" customHeight="false" outlineLevel="0" collapsed="false">
      <c r="A109" s="249" t="n">
        <v>16</v>
      </c>
      <c r="B109" s="245" t="s">
        <v>109</v>
      </c>
      <c r="C109" s="208" t="n">
        <v>149274</v>
      </c>
      <c r="D109" s="208" t="n">
        <v>279955</v>
      </c>
      <c r="E109" s="201" t="n">
        <f aca="false">C109/D109*100-100</f>
        <v>-46.6792877426729</v>
      </c>
      <c r="F109" s="208" t="n">
        <v>18256</v>
      </c>
      <c r="G109" s="208" t="n">
        <v>54714</v>
      </c>
      <c r="H109" s="201" t="n">
        <f aca="false">F109/G109*100-100</f>
        <v>-66.63376832255</v>
      </c>
      <c r="I109" s="208" t="n">
        <v>140418</v>
      </c>
      <c r="J109" s="208" t="n">
        <v>262329</v>
      </c>
      <c r="K109" s="201" t="n">
        <f aca="false">I109/J109*100-100</f>
        <v>-46.4725592671798</v>
      </c>
      <c r="L109" s="208" t="n">
        <v>0</v>
      </c>
      <c r="M109" s="208" t="n">
        <v>0</v>
      </c>
      <c r="N109" s="201" t="n">
        <v>0</v>
      </c>
      <c r="O109" s="250" t="n">
        <v>103</v>
      </c>
      <c r="P109" s="250" t="n">
        <v>50</v>
      </c>
      <c r="Q109" s="250" t="n">
        <v>71</v>
      </c>
      <c r="R109" s="202" t="n">
        <f aca="false">O109*P109</f>
        <v>5150</v>
      </c>
    </row>
    <row r="110" customFormat="false" ht="15" hidden="false" customHeight="false" outlineLevel="0" collapsed="false">
      <c r="A110" s="249" t="n">
        <v>17</v>
      </c>
      <c r="B110" s="245" t="s">
        <v>110</v>
      </c>
      <c r="C110" s="251" t="n">
        <v>347860</v>
      </c>
      <c r="D110" s="250" t="n">
        <v>500869</v>
      </c>
      <c r="E110" s="201" t="n">
        <f aca="false">C110/D110*100-100</f>
        <v>-30.5487063483665</v>
      </c>
      <c r="F110" s="251" t="n">
        <v>62920</v>
      </c>
      <c r="G110" s="251" t="n">
        <v>105788</v>
      </c>
      <c r="H110" s="201" t="n">
        <f aca="false">F110/G110*100-100</f>
        <v>-40.5225545430484</v>
      </c>
      <c r="I110" s="251" t="n">
        <v>287575</v>
      </c>
      <c r="J110" s="251" t="n">
        <v>437743</v>
      </c>
      <c r="K110" s="201" t="n">
        <f aca="false">I110/J110*100-100</f>
        <v>-34.3050602750929</v>
      </c>
      <c r="L110" s="250" t="n">
        <v>0</v>
      </c>
      <c r="M110" s="250" t="n">
        <v>0</v>
      </c>
      <c r="N110" s="251" t="n">
        <v>0</v>
      </c>
      <c r="O110" s="250" t="n">
        <v>171</v>
      </c>
      <c r="P110" s="250" t="n">
        <v>70</v>
      </c>
      <c r="Q110" s="250" t="n">
        <v>175</v>
      </c>
      <c r="R110" s="202" t="n">
        <f aca="false">O110*P110</f>
        <v>11970</v>
      </c>
    </row>
    <row r="111" customFormat="false" ht="15" hidden="false" customHeight="false" outlineLevel="0" collapsed="false">
      <c r="A111" s="249" t="n">
        <v>18</v>
      </c>
      <c r="B111" s="243" t="s">
        <v>111</v>
      </c>
      <c r="C111" s="208" t="n">
        <v>301769</v>
      </c>
      <c r="D111" s="208" t="n">
        <v>242389</v>
      </c>
      <c r="E111" s="201" t="n">
        <f aca="false">C111/D111*100-100</f>
        <v>24.4978113693278</v>
      </c>
      <c r="F111" s="208" t="n">
        <v>34807</v>
      </c>
      <c r="G111" s="208" t="n">
        <v>29184</v>
      </c>
      <c r="H111" s="201" t="n">
        <f aca="false">F111/G111*100-100</f>
        <v>19.2674067982456</v>
      </c>
      <c r="I111" s="208" t="n">
        <v>301763</v>
      </c>
      <c r="J111" s="208" t="n">
        <v>242380</v>
      </c>
      <c r="K111" s="201" t="n">
        <f aca="false">I111/J111*100-100</f>
        <v>24.4999587424705</v>
      </c>
      <c r="L111" s="208" t="n">
        <v>301763</v>
      </c>
      <c r="M111" s="208" t="n">
        <v>242380</v>
      </c>
      <c r="N111" s="201" t="n">
        <f aca="false">L111/M111*100-100</f>
        <v>24.4999587424705</v>
      </c>
      <c r="O111" s="250" t="n">
        <v>410</v>
      </c>
      <c r="P111" s="250" t="n">
        <v>72</v>
      </c>
      <c r="Q111" s="250" t="n">
        <v>400</v>
      </c>
      <c r="R111" s="202" t="n">
        <f aca="false">O111*P111</f>
        <v>29520</v>
      </c>
    </row>
    <row r="112" customFormat="false" ht="15" hidden="false" customHeight="false" outlineLevel="0" collapsed="false">
      <c r="A112" s="249" t="n">
        <v>19</v>
      </c>
      <c r="B112" s="245" t="s">
        <v>112</v>
      </c>
      <c r="C112" s="200" t="n">
        <v>0</v>
      </c>
      <c r="D112" s="200" t="n">
        <v>0</v>
      </c>
      <c r="E112" s="201" t="n">
        <v>0</v>
      </c>
      <c r="F112" s="200" t="n">
        <v>0</v>
      </c>
      <c r="G112" s="200" t="n">
        <v>0</v>
      </c>
      <c r="H112" s="201" t="n">
        <v>0</v>
      </c>
      <c r="I112" s="200" t="n">
        <v>0</v>
      </c>
      <c r="J112" s="200" t="n">
        <v>0</v>
      </c>
      <c r="K112" s="201" t="n">
        <v>0</v>
      </c>
      <c r="L112" s="200" t="n">
        <v>0</v>
      </c>
      <c r="M112" s="200" t="n">
        <v>0</v>
      </c>
      <c r="N112" s="201" t="n">
        <v>0</v>
      </c>
      <c r="O112" s="251" t="n">
        <v>0</v>
      </c>
      <c r="P112" s="251" t="n">
        <v>0</v>
      </c>
      <c r="Q112" s="251" t="n">
        <v>0</v>
      </c>
      <c r="R112" s="202" t="n">
        <f aca="false">O112*P112</f>
        <v>0</v>
      </c>
    </row>
    <row r="113" customFormat="false" ht="15" hidden="false" customHeight="false" outlineLevel="0" collapsed="false">
      <c r="A113" s="249" t="n">
        <v>20</v>
      </c>
      <c r="B113" s="245" t="s">
        <v>113</v>
      </c>
      <c r="C113" s="200" t="n">
        <v>0</v>
      </c>
      <c r="D113" s="200" t="n">
        <v>0</v>
      </c>
      <c r="E113" s="201" t="n">
        <v>0</v>
      </c>
      <c r="F113" s="200" t="n">
        <v>0</v>
      </c>
      <c r="G113" s="200" t="n">
        <v>0</v>
      </c>
      <c r="H113" s="201" t="n">
        <v>0</v>
      </c>
      <c r="I113" s="200" t="n">
        <v>0</v>
      </c>
      <c r="J113" s="200" t="n">
        <v>0</v>
      </c>
      <c r="K113" s="201" t="n">
        <v>0</v>
      </c>
      <c r="L113" s="200" t="n">
        <v>0</v>
      </c>
      <c r="M113" s="200" t="n">
        <v>0</v>
      </c>
      <c r="N113" s="201" t="n">
        <v>0</v>
      </c>
      <c r="O113" s="251" t="n">
        <v>0</v>
      </c>
      <c r="P113" s="251" t="n">
        <v>0</v>
      </c>
      <c r="Q113" s="251" t="n">
        <v>0</v>
      </c>
      <c r="R113" s="202" t="n">
        <f aca="false">O113*P113</f>
        <v>0</v>
      </c>
    </row>
    <row r="114" customFormat="false" ht="15" hidden="false" customHeight="false" outlineLevel="0" collapsed="false">
      <c r="A114" s="249" t="n">
        <v>21</v>
      </c>
      <c r="B114" s="245" t="s">
        <v>225</v>
      </c>
      <c r="C114" s="250" t="n">
        <v>39839</v>
      </c>
      <c r="D114" s="250" t="n">
        <v>19205</v>
      </c>
      <c r="E114" s="201" t="n">
        <f aca="false">C114/D114*100-100</f>
        <v>107.440770632648</v>
      </c>
      <c r="F114" s="250" t="n">
        <v>12338</v>
      </c>
      <c r="G114" s="250" t="n">
        <v>5397</v>
      </c>
      <c r="H114" s="201" t="n">
        <f aca="false">F114/G114*100-100</f>
        <v>128.608486196035</v>
      </c>
      <c r="I114" s="250" t="n">
        <v>39839</v>
      </c>
      <c r="J114" s="250" t="n">
        <v>19205</v>
      </c>
      <c r="K114" s="201" t="n">
        <f aca="false">I114/J114*100-100</f>
        <v>107.440770632648</v>
      </c>
      <c r="L114" s="250" t="n">
        <v>34698</v>
      </c>
      <c r="M114" s="250" t="n">
        <v>19205</v>
      </c>
      <c r="N114" s="201" t="n">
        <f aca="false">L114/M114*100-100</f>
        <v>80.6717000781047</v>
      </c>
      <c r="O114" s="251" t="n">
        <v>16</v>
      </c>
      <c r="P114" s="251" t="n">
        <v>58</v>
      </c>
      <c r="Q114" s="251" t="n">
        <v>13</v>
      </c>
      <c r="R114" s="202" t="n">
        <f aca="false">O114*P114</f>
        <v>928</v>
      </c>
    </row>
    <row r="115" customFormat="false" ht="15" hidden="false" customHeight="false" outlineLevel="0" collapsed="false">
      <c r="A115" s="249" t="n">
        <v>22</v>
      </c>
      <c r="B115" s="243" t="s">
        <v>115</v>
      </c>
      <c r="C115" s="251" t="n">
        <v>14570</v>
      </c>
      <c r="D115" s="251" t="n">
        <v>13020</v>
      </c>
      <c r="E115" s="201" t="n">
        <f aca="false">C115/D115*100-100</f>
        <v>11.9047619047619</v>
      </c>
      <c r="F115" s="251" t="n">
        <v>0</v>
      </c>
      <c r="G115" s="251" t="n">
        <v>2030</v>
      </c>
      <c r="H115" s="201" t="n">
        <f aca="false">F115/G115*100-100</f>
        <v>-100</v>
      </c>
      <c r="I115" s="251" t="n">
        <v>25372</v>
      </c>
      <c r="J115" s="251" t="n">
        <v>22466</v>
      </c>
      <c r="K115" s="201" t="n">
        <f aca="false">I115/J115*100-100</f>
        <v>12.9351019318081</v>
      </c>
      <c r="L115" s="250" t="n">
        <v>0</v>
      </c>
      <c r="M115" s="251" t="n">
        <v>0</v>
      </c>
      <c r="N115" s="201" t="n">
        <v>0</v>
      </c>
      <c r="O115" s="251" t="n">
        <v>13</v>
      </c>
      <c r="P115" s="251" t="n">
        <v>73</v>
      </c>
      <c r="Q115" s="251" t="n">
        <v>12</v>
      </c>
      <c r="R115" s="202" t="n">
        <f aca="false">O115*P115</f>
        <v>949</v>
      </c>
    </row>
    <row r="116" customFormat="false" ht="15" hidden="false" customHeight="false" outlineLevel="0" collapsed="false">
      <c r="A116" s="249" t="n">
        <v>23</v>
      </c>
      <c r="B116" s="243" t="s">
        <v>116</v>
      </c>
      <c r="C116" s="251" t="n">
        <v>75261</v>
      </c>
      <c r="D116" s="250" t="n">
        <v>64226</v>
      </c>
      <c r="E116" s="201" t="n">
        <f aca="false">C116/D116*100-100</f>
        <v>17.181515274188</v>
      </c>
      <c r="F116" s="251" t="n">
        <v>11014</v>
      </c>
      <c r="G116" s="251" t="n">
        <v>12280</v>
      </c>
      <c r="H116" s="201" t="n">
        <f aca="false">F116/G116*100-100</f>
        <v>-10.3094462540717</v>
      </c>
      <c r="I116" s="251" t="n">
        <v>75902</v>
      </c>
      <c r="J116" s="251" t="n">
        <v>66257</v>
      </c>
      <c r="K116" s="201" t="n">
        <v>0</v>
      </c>
      <c r="L116" s="250" t="n">
        <v>0</v>
      </c>
      <c r="M116" s="250" t="n">
        <v>0</v>
      </c>
      <c r="N116" s="201" t="n">
        <v>0</v>
      </c>
      <c r="O116" s="251" t="n">
        <v>42</v>
      </c>
      <c r="P116" s="251" t="n">
        <v>60</v>
      </c>
      <c r="Q116" s="251" t="n">
        <v>33</v>
      </c>
      <c r="R116" s="202" t="n">
        <f aca="false">O116*P116</f>
        <v>2520</v>
      </c>
    </row>
    <row r="117" customFormat="false" ht="15" hidden="false" customHeight="false" outlineLevel="0" collapsed="false">
      <c r="A117" s="249" t="n">
        <v>24</v>
      </c>
      <c r="B117" s="245" t="s">
        <v>117</v>
      </c>
      <c r="C117" s="250" t="n">
        <v>32654</v>
      </c>
      <c r="D117" s="250" t="n">
        <v>19121</v>
      </c>
      <c r="E117" s="201" t="n">
        <f aca="false">C117/D117*100-100</f>
        <v>70.7755870508865</v>
      </c>
      <c r="F117" s="250" t="n">
        <v>3434</v>
      </c>
      <c r="G117" s="251" t="n">
        <v>4841</v>
      </c>
      <c r="H117" s="201" t="n">
        <f aca="false">F117/G117*100-100</f>
        <v>-29.0642429250155</v>
      </c>
      <c r="I117" s="250" t="n">
        <v>82337</v>
      </c>
      <c r="J117" s="250" t="n">
        <v>97067</v>
      </c>
      <c r="K117" s="201" t="n">
        <f aca="false">I117/J117*100-100</f>
        <v>-15.1750852503941</v>
      </c>
      <c r="L117" s="254" t="n">
        <v>0</v>
      </c>
      <c r="M117" s="250" t="n">
        <v>0</v>
      </c>
      <c r="N117" s="201" t="n">
        <v>0</v>
      </c>
      <c r="O117" s="251" t="n">
        <v>54</v>
      </c>
      <c r="P117" s="251" t="n">
        <v>60</v>
      </c>
      <c r="Q117" s="251" t="n">
        <v>55</v>
      </c>
      <c r="R117" s="202" t="n">
        <f aca="false">O117*P117</f>
        <v>3240</v>
      </c>
    </row>
    <row r="118" customFormat="false" ht="15" hidden="false" customHeight="false" outlineLevel="0" collapsed="false">
      <c r="A118" s="249" t="n">
        <v>25</v>
      </c>
      <c r="B118" s="245" t="s">
        <v>118</v>
      </c>
      <c r="C118" s="250" t="n">
        <v>25122</v>
      </c>
      <c r="D118" s="250" t="n">
        <v>20272</v>
      </c>
      <c r="E118" s="201" t="n">
        <f aca="false">C118/D118*100-100</f>
        <v>23.9246250986583</v>
      </c>
      <c r="F118" s="250" t="n">
        <v>2438</v>
      </c>
      <c r="G118" s="250" t="n">
        <v>2772</v>
      </c>
      <c r="H118" s="201" t="n">
        <f aca="false">F118/G118*100-100</f>
        <v>-12.0490620490621</v>
      </c>
      <c r="I118" s="250" t="n">
        <v>25663</v>
      </c>
      <c r="J118" s="250" t="n">
        <v>20050</v>
      </c>
      <c r="K118" s="201" t="n">
        <f aca="false">I118/J118*100-100</f>
        <v>27.9950124688279</v>
      </c>
      <c r="L118" s="250" t="n">
        <v>0</v>
      </c>
      <c r="M118" s="250" t="n">
        <v>0</v>
      </c>
      <c r="N118" s="201" t="n">
        <v>0</v>
      </c>
      <c r="O118" s="251" t="n">
        <v>23</v>
      </c>
      <c r="P118" s="251" t="n">
        <v>61</v>
      </c>
      <c r="Q118" s="251" t="n">
        <v>22</v>
      </c>
      <c r="R118" s="202" t="n">
        <f aca="false">O118*P118</f>
        <v>1403</v>
      </c>
    </row>
    <row r="119" customFormat="false" ht="15" hidden="false" customHeight="false" outlineLevel="0" collapsed="false">
      <c r="A119" s="215" t="s">
        <v>119</v>
      </c>
      <c r="B119" s="215" t="s">
        <v>119</v>
      </c>
      <c r="C119" s="216" t="n">
        <f aca="false">SUM(C94:C118)</f>
        <v>2084287</v>
      </c>
      <c r="D119" s="216" t="n">
        <f aca="false">SUM(D94:D118)</f>
        <v>2004889</v>
      </c>
      <c r="E119" s="313" t="n">
        <f aca="false">C119/D119*100-100</f>
        <v>3.9602192440579</v>
      </c>
      <c r="F119" s="216" t="n">
        <f aca="false">SUM(F94:F118)</f>
        <v>328502</v>
      </c>
      <c r="G119" s="216" t="n">
        <f aca="false">SUM(G94:G118)</f>
        <v>340793</v>
      </c>
      <c r="H119" s="313" t="n">
        <f aca="false">F119/G119*100-100</f>
        <v>-3.60658816348928</v>
      </c>
      <c r="I119" s="216" t="n">
        <f aca="false">SUM(I94:I118)</f>
        <v>2026642</v>
      </c>
      <c r="J119" s="216" t="n">
        <f aca="false">SUM(J94:J118)</f>
        <v>2027425</v>
      </c>
      <c r="K119" s="313" t="n">
        <f aca="false">I119/J119*100-100</f>
        <v>-0.0386204175246974</v>
      </c>
      <c r="L119" s="216" t="n">
        <f aca="false">SUM(L94:L118)</f>
        <v>1152921</v>
      </c>
      <c r="M119" s="216" t="n">
        <f aca="false">SUM(M94:M118)</f>
        <v>962829</v>
      </c>
      <c r="N119" s="313" t="n">
        <f aca="false">L119/M119*100-100</f>
        <v>19.7430696416498</v>
      </c>
      <c r="O119" s="216" t="n">
        <f aca="false">SUM(O94:O118)</f>
        <v>1984</v>
      </c>
      <c r="P119" s="217" t="n">
        <f aca="false">R119/O119</f>
        <v>75.2439516129032</v>
      </c>
      <c r="Q119" s="216" t="n">
        <f aca="false">SUM(Q94:Q118)</f>
        <v>1872</v>
      </c>
      <c r="R119" s="232" t="n">
        <f aca="false">SUM(R94:R118)</f>
        <v>149284</v>
      </c>
    </row>
    <row r="120" customFormat="false" ht="15" hidden="false" customHeight="false" outlineLevel="0" collapsed="false">
      <c r="A120" s="249"/>
      <c r="B120" s="245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M120" s="203"/>
      <c r="N120" s="251"/>
      <c r="O120" s="203"/>
      <c r="P120" s="204"/>
      <c r="Q120" s="203"/>
      <c r="R120" s="202"/>
    </row>
    <row r="121" customFormat="false" ht="15" hidden="false" customHeight="false" outlineLevel="0" collapsed="false">
      <c r="A121" s="255"/>
      <c r="B121" s="255"/>
      <c r="C121" s="256"/>
      <c r="D121" s="256"/>
      <c r="E121" s="257"/>
      <c r="F121" s="256"/>
      <c r="G121" s="256"/>
      <c r="H121" s="257"/>
      <c r="I121" s="256"/>
      <c r="J121" s="256"/>
      <c r="K121" s="257"/>
      <c r="L121" s="256"/>
      <c r="M121" s="256"/>
      <c r="N121" s="257"/>
      <c r="O121" s="256"/>
      <c r="P121" s="257"/>
      <c r="Q121" s="256"/>
      <c r="R121" s="202" t="n">
        <f aca="false">O121*P121</f>
        <v>0</v>
      </c>
    </row>
    <row r="122" customFormat="false" ht="15" hidden="false" customHeight="false" outlineLevel="0" collapsed="false">
      <c r="A122" s="195"/>
      <c r="B122" s="195" t="s">
        <v>120</v>
      </c>
      <c r="C122" s="195" t="n">
        <v>3</v>
      </c>
      <c r="D122" s="195" t="n">
        <v>4</v>
      </c>
      <c r="E122" s="196" t="n">
        <v>5</v>
      </c>
      <c r="F122" s="195" t="n">
        <v>6</v>
      </c>
      <c r="G122" s="195" t="n">
        <v>7</v>
      </c>
      <c r="H122" s="195" t="n">
        <v>8</v>
      </c>
      <c r="I122" s="195" t="n">
        <v>9</v>
      </c>
      <c r="J122" s="195" t="n">
        <v>10</v>
      </c>
      <c r="K122" s="195" t="n">
        <v>11</v>
      </c>
      <c r="L122" s="195" t="n">
        <v>12</v>
      </c>
      <c r="M122" s="195" t="n">
        <v>13</v>
      </c>
      <c r="N122" s="195" t="n">
        <v>14</v>
      </c>
      <c r="O122" s="195" t="n">
        <v>15</v>
      </c>
      <c r="P122" s="196" t="n">
        <v>16</v>
      </c>
      <c r="Q122" s="195" t="n">
        <v>15</v>
      </c>
      <c r="R122" s="202" t="n">
        <f aca="false">O122*P122</f>
        <v>240</v>
      </c>
    </row>
    <row r="123" customFormat="false" ht="15" hidden="false" customHeight="false" outlineLevel="0" collapsed="false">
      <c r="A123" s="210"/>
      <c r="B123" s="258"/>
      <c r="C123" s="200"/>
      <c r="D123" s="200"/>
      <c r="E123" s="201"/>
      <c r="F123" s="200"/>
      <c r="G123" s="200"/>
      <c r="H123" s="201" t="n">
        <v>0</v>
      </c>
      <c r="I123" s="200"/>
      <c r="J123" s="200"/>
      <c r="K123" s="201"/>
      <c r="L123" s="200"/>
      <c r="M123" s="200"/>
      <c r="N123" s="201"/>
      <c r="O123" s="203"/>
      <c r="P123" s="204"/>
      <c r="Q123" s="203"/>
      <c r="R123" s="202" t="n">
        <f aca="false">O123*P123</f>
        <v>0</v>
      </c>
    </row>
    <row r="124" customFormat="false" ht="15" hidden="false" customHeight="false" outlineLevel="0" collapsed="false">
      <c r="A124" s="210" t="n">
        <v>1</v>
      </c>
      <c r="B124" s="258" t="s">
        <v>122</v>
      </c>
      <c r="C124" s="203" t="n">
        <v>86821</v>
      </c>
      <c r="D124" s="203" t="n">
        <v>168935</v>
      </c>
      <c r="E124" s="201" t="n">
        <f aca="false">C124/D124*100-100</f>
        <v>-48.6068606268683</v>
      </c>
      <c r="F124" s="203" t="n">
        <v>12487</v>
      </c>
      <c r="G124" s="203" t="n">
        <v>23331</v>
      </c>
      <c r="H124" s="201" t="n">
        <f aca="false">F124/G124*100-100</f>
        <v>-46.4789336076465</v>
      </c>
      <c r="I124" s="203" t="n">
        <v>43438</v>
      </c>
      <c r="J124" s="203" t="n">
        <v>177344</v>
      </c>
      <c r="K124" s="201" t="n">
        <f aca="false">I124/J124*100-100</f>
        <v>-75.506360519668</v>
      </c>
      <c r="L124" s="203" t="n">
        <v>0</v>
      </c>
      <c r="M124" s="203" t="n">
        <v>0</v>
      </c>
      <c r="N124" s="192" t="n">
        <v>0</v>
      </c>
      <c r="O124" s="219" t="n">
        <v>75</v>
      </c>
      <c r="P124" s="204" t="n">
        <v>80</v>
      </c>
      <c r="Q124" s="219" t="n">
        <v>74</v>
      </c>
      <c r="R124" s="202" t="n">
        <f aca="false">O124*P124</f>
        <v>6000</v>
      </c>
    </row>
    <row r="125" customFormat="false" ht="15" hidden="false" customHeight="false" outlineLevel="0" collapsed="false">
      <c r="A125" s="210" t="n">
        <v>2</v>
      </c>
      <c r="B125" s="258" t="s">
        <v>123</v>
      </c>
      <c r="C125" s="200" t="n">
        <v>0</v>
      </c>
      <c r="D125" s="200" t="n">
        <v>0</v>
      </c>
      <c r="E125" s="201" t="n">
        <v>0</v>
      </c>
      <c r="F125" s="200" t="n">
        <v>0</v>
      </c>
      <c r="G125" s="200" t="n">
        <v>0</v>
      </c>
      <c r="H125" s="201" t="n">
        <v>0</v>
      </c>
      <c r="I125" s="200" t="n">
        <v>0</v>
      </c>
      <c r="J125" s="200" t="n">
        <v>0</v>
      </c>
      <c r="K125" s="201" t="n">
        <v>0</v>
      </c>
      <c r="L125" s="200" t="n">
        <v>0</v>
      </c>
      <c r="M125" s="200" t="n">
        <v>0</v>
      </c>
      <c r="N125" s="201" t="n">
        <v>0</v>
      </c>
      <c r="O125" s="203" t="n">
        <v>0</v>
      </c>
      <c r="P125" s="204" t="n">
        <v>0</v>
      </c>
      <c r="Q125" s="203" t="n">
        <v>0</v>
      </c>
      <c r="R125" s="202" t="n">
        <f aca="false">O125*P125</f>
        <v>0</v>
      </c>
    </row>
    <row r="126" customFormat="false" ht="15" hidden="false" customHeight="false" outlineLevel="0" collapsed="false">
      <c r="A126" s="210" t="n">
        <v>3</v>
      </c>
      <c r="B126" s="258" t="s">
        <v>124</v>
      </c>
      <c r="C126" s="200" t="n">
        <v>0</v>
      </c>
      <c r="D126" s="200" t="n">
        <v>0</v>
      </c>
      <c r="E126" s="201" t="n">
        <v>0</v>
      </c>
      <c r="F126" s="200" t="n">
        <v>0</v>
      </c>
      <c r="G126" s="200" t="n">
        <v>0</v>
      </c>
      <c r="H126" s="201" t="n">
        <v>0</v>
      </c>
      <c r="I126" s="200" t="n">
        <v>0</v>
      </c>
      <c r="J126" s="200" t="n">
        <v>0</v>
      </c>
      <c r="K126" s="201" t="n">
        <v>0</v>
      </c>
      <c r="L126" s="200" t="n">
        <v>0</v>
      </c>
      <c r="M126" s="200" t="n">
        <v>0</v>
      </c>
      <c r="N126" s="201" t="n">
        <v>0</v>
      </c>
      <c r="O126" s="203" t="n">
        <v>0</v>
      </c>
      <c r="P126" s="204" t="n">
        <v>0</v>
      </c>
      <c r="Q126" s="203" t="n">
        <v>0</v>
      </c>
      <c r="R126" s="202" t="n">
        <f aca="false">O126*P126</f>
        <v>0</v>
      </c>
    </row>
    <row r="127" customFormat="false" ht="15" hidden="false" customHeight="false" outlineLevel="0" collapsed="false">
      <c r="A127" s="210" t="n">
        <v>4</v>
      </c>
      <c r="B127" s="259" t="s">
        <v>125</v>
      </c>
      <c r="C127" s="251" t="n">
        <v>1050</v>
      </c>
      <c r="D127" s="251" t="n">
        <v>2940</v>
      </c>
      <c r="E127" s="201" t="n">
        <v>0</v>
      </c>
      <c r="F127" s="251" t="n">
        <v>0</v>
      </c>
      <c r="G127" s="251" t="n">
        <v>0</v>
      </c>
      <c r="H127" s="201" t="n">
        <v>0</v>
      </c>
      <c r="I127" s="251" t="n">
        <v>4709</v>
      </c>
      <c r="J127" s="251" t="n">
        <v>5761</v>
      </c>
      <c r="K127" s="201" t="n">
        <f aca="false">I127/J127*100-100</f>
        <v>-18.2607186252387</v>
      </c>
      <c r="L127" s="251" t="n">
        <v>0</v>
      </c>
      <c r="M127" s="251" t="n">
        <v>0</v>
      </c>
      <c r="N127" s="251" t="n">
        <v>0</v>
      </c>
      <c r="O127" s="219" t="n">
        <v>8</v>
      </c>
      <c r="P127" s="261" t="n">
        <v>70</v>
      </c>
      <c r="Q127" s="219" t="n">
        <v>8</v>
      </c>
      <c r="R127" s="202" t="n">
        <f aca="false">O127*P127</f>
        <v>560</v>
      </c>
    </row>
    <row r="128" customFormat="false" ht="15" hidden="false" customHeight="false" outlineLevel="0" collapsed="false">
      <c r="A128" s="210" t="n">
        <v>5</v>
      </c>
      <c r="B128" s="259" t="s">
        <v>126</v>
      </c>
      <c r="C128" s="200" t="n">
        <v>0</v>
      </c>
      <c r="D128" s="200" t="n">
        <v>0</v>
      </c>
      <c r="E128" s="201" t="n">
        <v>0</v>
      </c>
      <c r="F128" s="200" t="n">
        <v>0</v>
      </c>
      <c r="G128" s="200" t="n">
        <v>0</v>
      </c>
      <c r="H128" s="201" t="n">
        <v>0</v>
      </c>
      <c r="I128" s="200" t="n">
        <v>0</v>
      </c>
      <c r="J128" s="200" t="n">
        <v>0</v>
      </c>
      <c r="K128" s="201" t="n">
        <v>0</v>
      </c>
      <c r="L128" s="200" t="n">
        <v>0</v>
      </c>
      <c r="M128" s="200" t="n">
        <v>0</v>
      </c>
      <c r="N128" s="201" t="n">
        <v>0</v>
      </c>
      <c r="O128" s="203" t="n">
        <v>0</v>
      </c>
      <c r="P128" s="204" t="n">
        <v>0</v>
      </c>
      <c r="Q128" s="203" t="n">
        <v>0</v>
      </c>
      <c r="R128" s="202" t="n">
        <f aca="false">O128*P128</f>
        <v>0</v>
      </c>
    </row>
    <row r="129" customFormat="false" ht="15" hidden="false" customHeight="false" outlineLevel="0" collapsed="false">
      <c r="A129" s="210" t="n">
        <v>6</v>
      </c>
      <c r="B129" s="258" t="s">
        <v>127</v>
      </c>
      <c r="C129" s="208" t="n">
        <v>20856</v>
      </c>
      <c r="D129" s="208" t="n">
        <v>10139</v>
      </c>
      <c r="E129" s="201" t="n">
        <f aca="false">C129/D129*100-100</f>
        <v>105.700759443732</v>
      </c>
      <c r="F129" s="208" t="n">
        <v>4828</v>
      </c>
      <c r="G129" s="208" t="n">
        <v>0</v>
      </c>
      <c r="H129" s="201" t="n">
        <v>0</v>
      </c>
      <c r="I129" s="208" t="n">
        <v>20856</v>
      </c>
      <c r="J129" s="208" t="n">
        <v>10139</v>
      </c>
      <c r="K129" s="201" t="n">
        <f aca="false">I129/J129*100-100</f>
        <v>105.700759443732</v>
      </c>
      <c r="L129" s="208" t="n">
        <v>0</v>
      </c>
      <c r="M129" s="208" t="n">
        <v>0</v>
      </c>
      <c r="N129" s="192" t="n">
        <v>0</v>
      </c>
      <c r="O129" s="219" t="n">
        <v>24</v>
      </c>
      <c r="P129" s="250" t="n">
        <v>100</v>
      </c>
      <c r="Q129" s="219" t="n">
        <v>14</v>
      </c>
      <c r="R129" s="202" t="n">
        <f aca="false">O129*P129</f>
        <v>2400</v>
      </c>
    </row>
    <row r="130" customFormat="false" ht="15" hidden="false" customHeight="false" outlineLevel="0" collapsed="false">
      <c r="A130" s="215" t="s">
        <v>128</v>
      </c>
      <c r="B130" s="215" t="s">
        <v>128</v>
      </c>
      <c r="C130" s="216" t="n">
        <f aca="false">SUM(C123:C129)</f>
        <v>108727</v>
      </c>
      <c r="D130" s="216" t="n">
        <f aca="false">SUM(D123:D129)</f>
        <v>182014</v>
      </c>
      <c r="E130" s="313" t="n">
        <f aca="false">C130/D130*100-100</f>
        <v>-40.264485149494</v>
      </c>
      <c r="F130" s="216" t="n">
        <f aca="false">SUM(F123:F129)</f>
        <v>17315</v>
      </c>
      <c r="G130" s="216" t="n">
        <f aca="false">SUM(G123:G129)</f>
        <v>23331</v>
      </c>
      <c r="H130" s="313" t="n">
        <f aca="false">F130/G130*100-100</f>
        <v>-25.7854356864258</v>
      </c>
      <c r="I130" s="216" t="n">
        <f aca="false">SUM(I123:I129)</f>
        <v>69003</v>
      </c>
      <c r="J130" s="216" t="n">
        <f aca="false">SUM(J123:J129)</f>
        <v>193244</v>
      </c>
      <c r="K130" s="313" t="n">
        <f aca="false">I130/J130*100-100</f>
        <v>-64.2922936805283</v>
      </c>
      <c r="L130" s="216" t="n">
        <f aca="false">SUM(L123:L129)</f>
        <v>0</v>
      </c>
      <c r="M130" s="216" t="n">
        <f aca="false">SUM(M123:M129)</f>
        <v>0</v>
      </c>
      <c r="N130" s="237" t="n">
        <v>0</v>
      </c>
      <c r="O130" s="216" t="n">
        <f aca="false">SUM(O123:O129)</f>
        <v>107</v>
      </c>
      <c r="P130" s="237" t="n">
        <f aca="false">R130/O130</f>
        <v>83.7383177570093</v>
      </c>
      <c r="Q130" s="216" t="n">
        <f aca="false">SUM(Q123:Q129)</f>
        <v>96</v>
      </c>
      <c r="R130" s="232" t="n">
        <f aca="false">SUM(R123:R129)</f>
        <v>8960</v>
      </c>
    </row>
    <row r="131" customFormat="false" ht="15" hidden="false" customHeight="false" outlineLevel="0" collapsed="false">
      <c r="A131" s="203"/>
      <c r="B131" s="203"/>
      <c r="C131" s="203"/>
      <c r="D131" s="203"/>
      <c r="E131" s="203"/>
      <c r="F131" s="203"/>
      <c r="G131" s="203"/>
      <c r="H131" s="203"/>
      <c r="I131" s="203"/>
      <c r="J131" s="203"/>
      <c r="K131" s="192"/>
      <c r="L131" s="203"/>
      <c r="M131" s="203"/>
      <c r="N131" s="203"/>
      <c r="O131" s="203"/>
      <c r="P131" s="219"/>
      <c r="Q131" s="203"/>
      <c r="R131" s="197"/>
    </row>
    <row r="132" customFormat="false" ht="15" hidden="false" customHeight="false" outlineLevel="0" collapsed="false">
      <c r="A132" s="190" t="s">
        <v>129</v>
      </c>
      <c r="B132" s="190"/>
      <c r="C132" s="195" t="n">
        <v>3</v>
      </c>
      <c r="D132" s="195" t="n">
        <v>4</v>
      </c>
      <c r="E132" s="196" t="n">
        <v>5</v>
      </c>
      <c r="F132" s="195" t="n">
        <v>6</v>
      </c>
      <c r="G132" s="195" t="n">
        <v>7</v>
      </c>
      <c r="H132" s="195" t="n">
        <v>8</v>
      </c>
      <c r="I132" s="195" t="n">
        <v>9</v>
      </c>
      <c r="J132" s="195" t="n">
        <v>10</v>
      </c>
      <c r="K132" s="195" t="n">
        <v>11</v>
      </c>
      <c r="L132" s="195" t="n">
        <v>12</v>
      </c>
      <c r="M132" s="195" t="n">
        <v>13</v>
      </c>
      <c r="N132" s="195" t="n">
        <v>14</v>
      </c>
      <c r="O132" s="195" t="n">
        <v>15</v>
      </c>
      <c r="P132" s="196" t="n">
        <v>16</v>
      </c>
      <c r="Q132" s="195" t="n">
        <v>15</v>
      </c>
      <c r="R132" s="189"/>
    </row>
    <row r="133" customFormat="false" ht="15" hidden="false" customHeight="false" outlineLevel="0" collapsed="false">
      <c r="A133" s="262" t="n">
        <v>1</v>
      </c>
      <c r="B133" s="243" t="s">
        <v>130</v>
      </c>
      <c r="C133" s="219" t="n">
        <v>72490523</v>
      </c>
      <c r="D133" s="219" t="n">
        <v>67621043</v>
      </c>
      <c r="E133" s="201" t="n">
        <f aca="false">C133/D133*100-100</f>
        <v>7.20113116267669</v>
      </c>
      <c r="F133" s="219" t="n">
        <v>10287427</v>
      </c>
      <c r="G133" s="219" t="n">
        <v>10557485</v>
      </c>
      <c r="H133" s="201" t="n">
        <f aca="false">F133/G133*100-100</f>
        <v>-2.55797663932272</v>
      </c>
      <c r="I133" s="262" t="n">
        <v>69683617</v>
      </c>
      <c r="J133" s="262" t="n">
        <v>66733427</v>
      </c>
      <c r="K133" s="201" t="n">
        <f aca="false">I133/J133*100-100</f>
        <v>4.42085793076383</v>
      </c>
      <c r="L133" s="262" t="n">
        <v>36662744</v>
      </c>
      <c r="M133" s="262" t="n">
        <v>31397424</v>
      </c>
      <c r="N133" s="201" t="n">
        <f aca="false">L133/M133*100-100</f>
        <v>16.7699108054215</v>
      </c>
      <c r="O133" s="203" t="n">
        <v>2968</v>
      </c>
      <c r="P133" s="219" t="n">
        <v>145</v>
      </c>
      <c r="Q133" s="203" t="n">
        <v>2968</v>
      </c>
      <c r="R133" s="202" t="n">
        <f aca="false">O133*P133</f>
        <v>430360</v>
      </c>
    </row>
    <row r="134" customFormat="false" ht="15" hidden="false" customHeight="false" outlineLevel="0" collapsed="false">
      <c r="A134" s="262" t="n">
        <v>2</v>
      </c>
      <c r="B134" s="243" t="s">
        <v>131</v>
      </c>
      <c r="C134" s="219" t="n">
        <v>14711686</v>
      </c>
      <c r="D134" s="219" t="n">
        <v>15458035</v>
      </c>
      <c r="E134" s="201" t="n">
        <f aca="false">C134/D134*100-100</f>
        <v>-4.8282268735968</v>
      </c>
      <c r="F134" s="219" t="n">
        <v>2262809</v>
      </c>
      <c r="G134" s="219" t="n">
        <v>2388924</v>
      </c>
      <c r="H134" s="201" t="n">
        <f aca="false">F134/G134*100-100</f>
        <v>-5.27915496683863</v>
      </c>
      <c r="I134" s="262" t="n">
        <v>11341021</v>
      </c>
      <c r="J134" s="262" t="n">
        <v>13418813</v>
      </c>
      <c r="K134" s="201" t="n">
        <f aca="false">I134/J134*100-100</f>
        <v>-15.4841713644866</v>
      </c>
      <c r="L134" s="262" t="n">
        <v>11341031</v>
      </c>
      <c r="M134" s="262" t="n">
        <v>13419317</v>
      </c>
      <c r="N134" s="201" t="n">
        <f aca="false">L134/M134*100-100</f>
        <v>-15.4872710734831</v>
      </c>
      <c r="O134" s="203" t="n">
        <v>1003</v>
      </c>
      <c r="P134" s="219" t="n">
        <v>120</v>
      </c>
      <c r="Q134" s="203" t="n">
        <v>993</v>
      </c>
      <c r="R134" s="202" t="n">
        <f aca="false">O134*P134</f>
        <v>120360</v>
      </c>
    </row>
    <row r="135" customFormat="false" ht="15" hidden="false" customHeight="false" outlineLevel="0" collapsed="false">
      <c r="A135" s="262" t="n">
        <v>3</v>
      </c>
      <c r="B135" s="243" t="s">
        <v>226</v>
      </c>
      <c r="C135" s="219" t="n">
        <v>14290420</v>
      </c>
      <c r="D135" s="219" t="n">
        <v>14245401</v>
      </c>
      <c r="E135" s="201" t="n">
        <f aca="false">C135/D135*100-100</f>
        <v>0.316024799863484</v>
      </c>
      <c r="F135" s="219" t="n">
        <v>1364341</v>
      </c>
      <c r="G135" s="219" t="n">
        <v>2050080</v>
      </c>
      <c r="H135" s="201" t="n">
        <f aca="false">F135/G135*100-100</f>
        <v>-33.449377585265</v>
      </c>
      <c r="I135" s="262" t="n">
        <v>11292913</v>
      </c>
      <c r="J135" s="262" t="n">
        <v>8892578</v>
      </c>
      <c r="K135" s="201" t="n">
        <f aca="false">I135/J135*100-100</f>
        <v>26.9925661602294</v>
      </c>
      <c r="L135" s="262" t="n">
        <v>11292913</v>
      </c>
      <c r="M135" s="262" t="n">
        <v>8892578</v>
      </c>
      <c r="N135" s="201" t="n">
        <f aca="false">L135/M135*100-100</f>
        <v>26.9925661602294</v>
      </c>
      <c r="O135" s="203" t="n">
        <v>1087</v>
      </c>
      <c r="P135" s="236" t="n">
        <v>306</v>
      </c>
      <c r="Q135" s="203" t="n">
        <v>1087</v>
      </c>
      <c r="R135" s="202" t="n">
        <f aca="false">O135*P135</f>
        <v>332622</v>
      </c>
    </row>
    <row r="136" customFormat="false" ht="15" hidden="false" customHeight="false" outlineLevel="0" collapsed="false">
      <c r="A136" s="262" t="n">
        <v>4</v>
      </c>
      <c r="B136" s="243" t="s">
        <v>133</v>
      </c>
      <c r="C136" s="236" t="n">
        <v>2987869</v>
      </c>
      <c r="D136" s="236" t="n">
        <v>2805287</v>
      </c>
      <c r="E136" s="201" t="n">
        <f aca="false">C136/D136*100-100</f>
        <v>6.50849627863389</v>
      </c>
      <c r="F136" s="203" t="n">
        <v>494108</v>
      </c>
      <c r="G136" s="203" t="n">
        <v>460920</v>
      </c>
      <c r="H136" s="201" t="n">
        <f aca="false">F136/G136*100-100</f>
        <v>7.20038184500564</v>
      </c>
      <c r="I136" s="203" t="n">
        <v>3066468</v>
      </c>
      <c r="J136" s="203" t="n">
        <v>2539190</v>
      </c>
      <c r="K136" s="201" t="n">
        <f aca="false">I136/J136*100-100</f>
        <v>20.7655984782549</v>
      </c>
      <c r="L136" s="203" t="n">
        <v>3066468</v>
      </c>
      <c r="M136" s="203" t="n">
        <v>2539190</v>
      </c>
      <c r="N136" s="201" t="n">
        <f aca="false">L136/M136*100-100</f>
        <v>20.7655984782549</v>
      </c>
      <c r="O136" s="203" t="n">
        <v>505</v>
      </c>
      <c r="P136" s="219" t="n">
        <v>150</v>
      </c>
      <c r="Q136" s="203" t="n">
        <v>504</v>
      </c>
      <c r="R136" s="202" t="n">
        <f aca="false">O136*P136</f>
        <v>75750</v>
      </c>
    </row>
    <row r="137" customFormat="false" ht="15" hidden="false" customHeight="false" outlineLevel="0" collapsed="false">
      <c r="A137" s="262" t="n">
        <v>5</v>
      </c>
      <c r="B137" s="243" t="s">
        <v>134</v>
      </c>
      <c r="C137" s="203" t="n">
        <v>1862163</v>
      </c>
      <c r="D137" s="203" t="n">
        <v>2433311</v>
      </c>
      <c r="E137" s="201" t="n">
        <f aca="false">C137/D137*100-100</f>
        <v>-23.4720510448521</v>
      </c>
      <c r="F137" s="203" t="n">
        <v>55219</v>
      </c>
      <c r="G137" s="203" t="n">
        <v>408843</v>
      </c>
      <c r="H137" s="201" t="n">
        <f aca="false">F137/G137*100-100</f>
        <v>-86.4938374877398</v>
      </c>
      <c r="I137" s="203" t="n">
        <v>1840606</v>
      </c>
      <c r="J137" s="203" t="n">
        <v>2241540</v>
      </c>
      <c r="K137" s="201" t="n">
        <f aca="false">I137/J137*100-100</f>
        <v>-17.8865422878914</v>
      </c>
      <c r="L137" s="203" t="n">
        <v>1840606</v>
      </c>
      <c r="M137" s="203" t="n">
        <v>2241540</v>
      </c>
      <c r="N137" s="201" t="n">
        <f aca="false">L137/M137*100-100</f>
        <v>-17.8865422878914</v>
      </c>
      <c r="O137" s="203" t="n">
        <v>418</v>
      </c>
      <c r="P137" s="204" t="n">
        <v>221</v>
      </c>
      <c r="Q137" s="203" t="n">
        <v>427</v>
      </c>
      <c r="R137" s="202" t="n">
        <f aca="false">O137*P137</f>
        <v>92378</v>
      </c>
    </row>
    <row r="138" customFormat="false" ht="15" hidden="false" customHeight="false" outlineLevel="0" collapsed="false">
      <c r="A138" s="215" t="s">
        <v>135</v>
      </c>
      <c r="B138" s="215" t="s">
        <v>136</v>
      </c>
      <c r="C138" s="237" t="n">
        <f aca="false">SUM(C133:C137)</f>
        <v>106342661</v>
      </c>
      <c r="D138" s="237" t="n">
        <f aca="false">SUM(D133:D137)</f>
        <v>102563077</v>
      </c>
      <c r="E138" s="313" t="n">
        <f aca="false">C138/D138*100-100</f>
        <v>3.68513124854863</v>
      </c>
      <c r="F138" s="237" t="n">
        <f aca="false">SUM(F133:F137)</f>
        <v>14463904</v>
      </c>
      <c r="G138" s="237" t="n">
        <f aca="false">SUM(G133:G137)</f>
        <v>15866252</v>
      </c>
      <c r="H138" s="313" t="n">
        <f aca="false">F138/G138*100-100</f>
        <v>-8.83855872199685</v>
      </c>
      <c r="I138" s="237" t="n">
        <f aca="false">SUM(I133:I137)</f>
        <v>97224625</v>
      </c>
      <c r="J138" s="237" t="n">
        <f aca="false">SUM(J133:J137)</f>
        <v>93825548</v>
      </c>
      <c r="K138" s="313" t="n">
        <f aca="false">I138/J138*100-100</f>
        <v>3.62276274687999</v>
      </c>
      <c r="L138" s="237" t="n">
        <f aca="false">SUM(L133:L137)</f>
        <v>64203762</v>
      </c>
      <c r="M138" s="237" t="n">
        <f aca="false">SUM(M133:M137)</f>
        <v>58490049</v>
      </c>
      <c r="N138" s="313" t="n">
        <f aca="false">L138/M138*100-100</f>
        <v>9.76869244886424</v>
      </c>
      <c r="O138" s="237" t="n">
        <f aca="false">SUM(O133:O137)</f>
        <v>5981</v>
      </c>
      <c r="P138" s="237" t="n">
        <f aca="false">R138/O138</f>
        <v>175.801705400435</v>
      </c>
      <c r="Q138" s="237" t="n">
        <f aca="false">SUM(Q133:Q137)</f>
        <v>5979</v>
      </c>
      <c r="R138" s="237" t="n">
        <f aca="false">SUM(R133:R137)</f>
        <v>1051470</v>
      </c>
    </row>
    <row r="139" customFormat="false" ht="15" hidden="false" customHeight="false" outlineLevel="0" collapsed="false">
      <c r="A139" s="263"/>
      <c r="B139" s="263"/>
      <c r="C139" s="264"/>
      <c r="D139" s="264"/>
      <c r="E139" s="265"/>
      <c r="F139" s="266"/>
      <c r="G139" s="266"/>
      <c r="H139" s="265"/>
      <c r="I139" s="266"/>
      <c r="J139" s="266"/>
      <c r="K139" s="265"/>
      <c r="L139" s="266"/>
      <c r="M139" s="266"/>
      <c r="N139" s="265"/>
      <c r="O139" s="266"/>
      <c r="P139" s="264"/>
      <c r="Q139" s="266"/>
      <c r="R139" s="267"/>
    </row>
    <row r="140" customFormat="false" ht="15" hidden="false" customHeight="false" outlineLevel="0" collapsed="false">
      <c r="A140" s="263"/>
      <c r="B140" s="263" t="s">
        <v>137</v>
      </c>
      <c r="C140" s="195" t="n">
        <v>3</v>
      </c>
      <c r="D140" s="195" t="n">
        <v>4</v>
      </c>
      <c r="E140" s="196" t="n">
        <v>5</v>
      </c>
      <c r="F140" s="195" t="n">
        <v>6</v>
      </c>
      <c r="G140" s="195" t="n">
        <v>7</v>
      </c>
      <c r="H140" s="195" t="n">
        <v>8</v>
      </c>
      <c r="I140" s="195" t="n">
        <v>9</v>
      </c>
      <c r="J140" s="195" t="n">
        <v>10</v>
      </c>
      <c r="K140" s="195" t="n">
        <v>11</v>
      </c>
      <c r="L140" s="195" t="n">
        <v>12</v>
      </c>
      <c r="M140" s="195" t="n">
        <v>13</v>
      </c>
      <c r="N140" s="195" t="n">
        <v>14</v>
      </c>
      <c r="O140" s="195" t="n">
        <v>15</v>
      </c>
      <c r="P140" s="196" t="n">
        <v>16</v>
      </c>
      <c r="Q140" s="195" t="n">
        <v>15</v>
      </c>
      <c r="R140" s="267"/>
    </row>
    <row r="141" customFormat="false" ht="15" hidden="false" customHeight="false" outlineLevel="0" collapsed="false">
      <c r="A141" s="262" t="n">
        <v>6</v>
      </c>
      <c r="B141" s="243" t="s">
        <v>138</v>
      </c>
      <c r="C141" s="219" t="n">
        <v>12147430</v>
      </c>
      <c r="D141" s="219" t="n">
        <v>11919210</v>
      </c>
      <c r="E141" s="201" t="n">
        <f aca="false">C141/D141*100-100</f>
        <v>1.91472421410479</v>
      </c>
      <c r="F141" s="219" t="n">
        <v>1514216</v>
      </c>
      <c r="G141" s="219" t="n">
        <v>1913187</v>
      </c>
      <c r="H141" s="201" t="n">
        <f aca="false">F141/G141*100-100</f>
        <v>-20.8537377684461</v>
      </c>
      <c r="I141" s="262" t="n">
        <v>12300715</v>
      </c>
      <c r="J141" s="262" t="n">
        <v>11882972</v>
      </c>
      <c r="K141" s="201" t="n">
        <f aca="false">I141/J141*100-100</f>
        <v>3.51547575808475</v>
      </c>
      <c r="L141" s="262" t="n">
        <v>12300715</v>
      </c>
      <c r="M141" s="262" t="n">
        <v>11882972</v>
      </c>
      <c r="N141" s="201" t="n">
        <f aca="false">L141/M141*100-100</f>
        <v>3.51547575808475</v>
      </c>
      <c r="O141" s="203" t="n">
        <v>490</v>
      </c>
      <c r="P141" s="236" t="n">
        <v>150</v>
      </c>
      <c r="Q141" s="203" t="n">
        <v>490</v>
      </c>
      <c r="R141" s="202" t="n">
        <f aca="false">O141*P141</f>
        <v>73500</v>
      </c>
    </row>
    <row r="142" customFormat="false" ht="15" hidden="false" customHeight="false" outlineLevel="0" collapsed="false">
      <c r="A142" s="262" t="n">
        <v>10</v>
      </c>
      <c r="B142" s="243" t="s">
        <v>139</v>
      </c>
      <c r="C142" s="219" t="n">
        <v>23551561</v>
      </c>
      <c r="D142" s="219" t="n">
        <v>24482150</v>
      </c>
      <c r="E142" s="201" t="n">
        <f aca="false">C142/D142*100-100</f>
        <v>-3.80109181587402</v>
      </c>
      <c r="F142" s="236" t="n">
        <v>2259039</v>
      </c>
      <c r="G142" s="236" t="n">
        <v>2857122</v>
      </c>
      <c r="H142" s="201" t="n">
        <f aca="false">F142/G142*100-100</f>
        <v>-20.933057811322</v>
      </c>
      <c r="I142" s="203" t="n">
        <v>23102926</v>
      </c>
      <c r="J142" s="203" t="n">
        <v>23966133</v>
      </c>
      <c r="K142" s="201" t="n">
        <f aca="false">I142/J142*100-100</f>
        <v>-3.60177839286797</v>
      </c>
      <c r="L142" s="203" t="n">
        <v>23037059</v>
      </c>
      <c r="M142" s="203" t="n">
        <v>23899862</v>
      </c>
      <c r="N142" s="201" t="n">
        <f aca="false">L142/M142*100-100</f>
        <v>-3.61007523809134</v>
      </c>
      <c r="O142" s="203" t="n">
        <v>655</v>
      </c>
      <c r="P142" s="219" t="n">
        <v>165</v>
      </c>
      <c r="Q142" s="203" t="n">
        <v>655</v>
      </c>
      <c r="R142" s="202" t="n">
        <f aca="false">O142*P142</f>
        <v>108075</v>
      </c>
    </row>
    <row r="143" customFormat="false" ht="15" hidden="false" customHeight="false" outlineLevel="0" collapsed="false">
      <c r="A143" s="262" t="n">
        <v>11</v>
      </c>
      <c r="B143" s="243" t="s">
        <v>140</v>
      </c>
      <c r="C143" s="219" t="n">
        <v>18092459</v>
      </c>
      <c r="D143" s="219" t="n">
        <v>17699015</v>
      </c>
      <c r="E143" s="201" t="n">
        <f aca="false">C143/D143*100-100</f>
        <v>2.22297116534452</v>
      </c>
      <c r="F143" s="203" t="n">
        <v>2369279</v>
      </c>
      <c r="G143" s="203" t="n">
        <v>2719587</v>
      </c>
      <c r="H143" s="201" t="n">
        <f aca="false">F143/G143*100-100</f>
        <v>-12.8809264053696</v>
      </c>
      <c r="I143" s="203" t="n">
        <v>18054593</v>
      </c>
      <c r="J143" s="203" t="n">
        <v>17926262</v>
      </c>
      <c r="K143" s="201" t="n">
        <f aca="false">I143/J143*100-100</f>
        <v>0.715882653059509</v>
      </c>
      <c r="L143" s="203" t="n">
        <v>18054593</v>
      </c>
      <c r="M143" s="203" t="n">
        <v>17926262</v>
      </c>
      <c r="N143" s="201" t="n">
        <f aca="false">L143/M143*100-100</f>
        <v>0.715882653059509</v>
      </c>
      <c r="O143" s="203" t="n">
        <v>558</v>
      </c>
      <c r="P143" s="219" t="n">
        <v>180</v>
      </c>
      <c r="Q143" s="203" t="n">
        <v>558</v>
      </c>
      <c r="R143" s="202" t="n">
        <f aca="false">O143*P143</f>
        <v>100440</v>
      </c>
    </row>
    <row r="144" customFormat="false" ht="15" hidden="false" customHeight="false" outlineLevel="0" collapsed="false">
      <c r="A144" s="262" t="n">
        <v>14</v>
      </c>
      <c r="B144" s="243" t="s">
        <v>141</v>
      </c>
      <c r="C144" s="236" t="n">
        <v>2709883</v>
      </c>
      <c r="D144" s="236" t="n">
        <v>2395239</v>
      </c>
      <c r="E144" s="201" t="n">
        <f aca="false">C144/D144*100-100</f>
        <v>13.1362256543084</v>
      </c>
      <c r="F144" s="262" t="n">
        <v>403286</v>
      </c>
      <c r="G144" s="262" t="n">
        <v>362116</v>
      </c>
      <c r="H144" s="201" t="n">
        <f aca="false">F144/G144*100-100</f>
        <v>11.3692849805035</v>
      </c>
      <c r="I144" s="262" t="n">
        <v>3020587</v>
      </c>
      <c r="J144" s="262" t="n">
        <v>2342797</v>
      </c>
      <c r="K144" s="201" t="n">
        <f aca="false">I144/J144*100-100</f>
        <v>28.9308036505084</v>
      </c>
      <c r="L144" s="262" t="n">
        <v>0</v>
      </c>
      <c r="M144" s="262" t="n">
        <v>0</v>
      </c>
      <c r="N144" s="201" t="n">
        <v>0</v>
      </c>
      <c r="O144" s="203" t="n">
        <v>332</v>
      </c>
      <c r="P144" s="236" t="n">
        <v>58</v>
      </c>
      <c r="Q144" s="203" t="n">
        <v>330</v>
      </c>
      <c r="R144" s="202" t="n">
        <f aca="false">O144*P144</f>
        <v>19256</v>
      </c>
    </row>
    <row r="145" customFormat="false" ht="15" hidden="false" customHeight="false" outlineLevel="0" collapsed="false">
      <c r="A145" s="262" t="n">
        <v>9</v>
      </c>
      <c r="B145" s="243" t="s">
        <v>142</v>
      </c>
      <c r="C145" s="236" t="n">
        <v>17640858</v>
      </c>
      <c r="D145" s="236" t="n">
        <v>16573938</v>
      </c>
      <c r="E145" s="201" t="n">
        <f aca="false">C145/D145*100-100</f>
        <v>6.43733553244859</v>
      </c>
      <c r="F145" s="236" t="n">
        <v>2344318</v>
      </c>
      <c r="G145" s="236" t="n">
        <v>2640350</v>
      </c>
      <c r="H145" s="201" t="n">
        <f aca="false">F145/G145*100-100</f>
        <v>-11.2118469142349</v>
      </c>
      <c r="I145" s="203" t="n">
        <v>16724635</v>
      </c>
      <c r="J145" s="203" t="n">
        <v>16945063</v>
      </c>
      <c r="K145" s="201" t="n">
        <f aca="false">I145/J145*100-100</f>
        <v>-1.3008390703534</v>
      </c>
      <c r="L145" s="203" t="n">
        <v>16724635</v>
      </c>
      <c r="M145" s="203" t="n">
        <v>16945063</v>
      </c>
      <c r="N145" s="201" t="n">
        <f aca="false">L145/M145*100-100</f>
        <v>-1.3008390703534</v>
      </c>
      <c r="O145" s="203" t="n">
        <v>969</v>
      </c>
      <c r="P145" s="219" t="n">
        <v>100</v>
      </c>
      <c r="Q145" s="203" t="n">
        <v>968</v>
      </c>
      <c r="R145" s="202" t="n">
        <f aca="false">O145*P145</f>
        <v>96900</v>
      </c>
    </row>
    <row r="146" customFormat="false" ht="15" hidden="false" customHeight="false" outlineLevel="0" collapsed="false">
      <c r="A146" s="262" t="n">
        <v>15</v>
      </c>
      <c r="B146" s="243" t="s">
        <v>143</v>
      </c>
      <c r="C146" s="219" t="n">
        <v>19604518</v>
      </c>
      <c r="D146" s="219" t="n">
        <v>18715847</v>
      </c>
      <c r="E146" s="201" t="n">
        <f aca="false">C146/D146*100-100</f>
        <v>4.74822753146039</v>
      </c>
      <c r="F146" s="219" t="n">
        <v>2654100</v>
      </c>
      <c r="G146" s="219" t="n">
        <v>2829824</v>
      </c>
      <c r="H146" s="201" t="n">
        <f aca="false">F146/G146*100-100</f>
        <v>-6.20971480911888</v>
      </c>
      <c r="I146" s="203" t="n">
        <v>19053628</v>
      </c>
      <c r="J146" s="219" t="n">
        <v>16960752</v>
      </c>
      <c r="K146" s="201" t="n">
        <f aca="false">I146/J146*100-100</f>
        <v>12.3395236248959</v>
      </c>
      <c r="L146" s="203" t="n">
        <v>19071889</v>
      </c>
      <c r="M146" s="203" t="n">
        <v>16893606</v>
      </c>
      <c r="N146" s="201" t="n">
        <f aca="false">L146/M146*100-100</f>
        <v>12.8941269258914</v>
      </c>
      <c r="O146" s="203" t="n">
        <v>640</v>
      </c>
      <c r="P146" s="219" t="n">
        <v>130</v>
      </c>
      <c r="Q146" s="203" t="n">
        <v>641</v>
      </c>
      <c r="R146" s="202" t="n">
        <f aca="false">O146*P146</f>
        <v>83200</v>
      </c>
    </row>
    <row r="147" customFormat="false" ht="15" hidden="false" customHeight="false" outlineLevel="0" collapsed="false">
      <c r="A147" s="262" t="n">
        <v>13</v>
      </c>
      <c r="B147" s="243" t="s">
        <v>144</v>
      </c>
      <c r="C147" s="200" t="n">
        <v>0</v>
      </c>
      <c r="D147" s="200" t="n">
        <v>0</v>
      </c>
      <c r="E147" s="201" t="n">
        <v>0</v>
      </c>
      <c r="F147" s="200" t="n">
        <v>0</v>
      </c>
      <c r="G147" s="200" t="n">
        <v>0</v>
      </c>
      <c r="H147" s="201" t="n">
        <v>0</v>
      </c>
      <c r="I147" s="200" t="n">
        <v>0</v>
      </c>
      <c r="J147" s="200" t="n">
        <v>0</v>
      </c>
      <c r="K147" s="201" t="n">
        <v>0</v>
      </c>
      <c r="L147" s="200" t="n">
        <v>0</v>
      </c>
      <c r="M147" s="200" t="n">
        <v>0</v>
      </c>
      <c r="N147" s="201" t="n">
        <v>0</v>
      </c>
      <c r="O147" s="203" t="n">
        <v>0</v>
      </c>
      <c r="P147" s="204" t="n">
        <v>0</v>
      </c>
      <c r="Q147" s="203" t="n">
        <v>0</v>
      </c>
      <c r="R147" s="202" t="n">
        <v>0</v>
      </c>
    </row>
    <row r="148" customFormat="false" ht="15" hidden="false" customHeight="false" outlineLevel="0" collapsed="false">
      <c r="A148" s="215" t="s">
        <v>145</v>
      </c>
      <c r="B148" s="215" t="s">
        <v>136</v>
      </c>
      <c r="C148" s="237" t="n">
        <f aca="false">SUM(C141:C147)</f>
        <v>93746709</v>
      </c>
      <c r="D148" s="237" t="n">
        <f aca="false">SUM(D141:D147)</f>
        <v>91785399</v>
      </c>
      <c r="E148" s="313" t="n">
        <f aca="false">C148/D148*100-100</f>
        <v>2.13684313776312</v>
      </c>
      <c r="F148" s="237" t="n">
        <f aca="false">SUM(F141:F147)</f>
        <v>11544238</v>
      </c>
      <c r="G148" s="237" t="n">
        <f aca="false">SUM(G141:G147)</f>
        <v>13322186</v>
      </c>
      <c r="H148" s="313" t="n">
        <f aca="false">F148/G148*100-100</f>
        <v>-13.3457677291099</v>
      </c>
      <c r="I148" s="237" t="n">
        <f aca="false">SUM(I141:I147)</f>
        <v>92257084</v>
      </c>
      <c r="J148" s="237" t="n">
        <f aca="false">SUM(J141:J147)</f>
        <v>90023979</v>
      </c>
      <c r="K148" s="313" t="n">
        <f aca="false">I148/J148*100-100</f>
        <v>2.48056687207749</v>
      </c>
      <c r="L148" s="237" t="n">
        <f aca="false">SUM(L141:L147)</f>
        <v>89188891</v>
      </c>
      <c r="M148" s="237" t="n">
        <f aca="false">SUM(M141:M147)</f>
        <v>87547765</v>
      </c>
      <c r="N148" s="313" t="n">
        <f aca="false">L148/M148*100-100</f>
        <v>1.87454928175495</v>
      </c>
      <c r="O148" s="216" t="n">
        <f aca="false">SUM(O141:O147)</f>
        <v>3644</v>
      </c>
      <c r="P148" s="237" t="n">
        <f aca="false">R148/O148</f>
        <v>132.099615806806</v>
      </c>
      <c r="Q148" s="216" t="n">
        <f aca="false">SUM(Q141:Q147)</f>
        <v>3642</v>
      </c>
      <c r="R148" s="232" t="n">
        <f aca="false">SUM(R141:R147)</f>
        <v>481371</v>
      </c>
    </row>
    <row r="149" customFormat="false" ht="15" hidden="false" customHeight="false" outlineLevel="0" collapsed="false">
      <c r="A149" s="319" t="s">
        <v>146</v>
      </c>
      <c r="B149" s="319" t="s">
        <v>78</v>
      </c>
      <c r="C149" s="320" t="n">
        <f aca="false">C138+C148</f>
        <v>200089370</v>
      </c>
      <c r="D149" s="320" t="n">
        <f aca="false">D138+D148</f>
        <v>194348476</v>
      </c>
      <c r="E149" s="310" t="n">
        <f aca="false">C149/D149*100-100</f>
        <v>2.95391768340905</v>
      </c>
      <c r="F149" s="320" t="n">
        <f aca="false">F138+F148</f>
        <v>26008142</v>
      </c>
      <c r="G149" s="320" t="n">
        <f aca="false">G138+G148</f>
        <v>29188438</v>
      </c>
      <c r="H149" s="310" t="n">
        <f aca="false">F149/G149*100-100</f>
        <v>-10.8957389223774</v>
      </c>
      <c r="I149" s="320" t="n">
        <f aca="false">I138+I148</f>
        <v>189481709</v>
      </c>
      <c r="J149" s="320" t="n">
        <f aca="false">J138+J148</f>
        <v>183849527</v>
      </c>
      <c r="K149" s="310" t="n">
        <f aca="false">I149/J149*100-100</f>
        <v>3.06347375046552</v>
      </c>
      <c r="L149" s="320" t="n">
        <f aca="false">L138+L148</f>
        <v>153392653</v>
      </c>
      <c r="M149" s="320" t="n">
        <f aca="false">M138+M148</f>
        <v>146037814</v>
      </c>
      <c r="N149" s="310" t="n">
        <f aca="false">L149/M149*100-100</f>
        <v>5.03625656845288</v>
      </c>
      <c r="O149" s="320" t="n">
        <f aca="false">O138+O148</f>
        <v>9625</v>
      </c>
      <c r="P149" s="321" t="n">
        <f aca="false">R149/O149</f>
        <v>159.256207792208</v>
      </c>
      <c r="Q149" s="320" t="n">
        <f aca="false">Q138+Q148</f>
        <v>9621</v>
      </c>
      <c r="R149" s="320" t="n">
        <f aca="false">R138+R148</f>
        <v>1532841</v>
      </c>
    </row>
    <row r="150" customFormat="false" ht="15" hidden="false" customHeight="false" outlineLevel="0" collapsed="false">
      <c r="A150" s="263"/>
      <c r="B150" s="263"/>
      <c r="C150" s="264"/>
      <c r="D150" s="264"/>
      <c r="E150" s="265"/>
      <c r="F150" s="266"/>
      <c r="G150" s="266"/>
      <c r="H150" s="265"/>
      <c r="I150" s="266"/>
      <c r="J150" s="266"/>
      <c r="K150" s="265"/>
      <c r="L150" s="266"/>
      <c r="M150" s="266"/>
      <c r="N150" s="265"/>
      <c r="O150" s="266"/>
      <c r="P150" s="264"/>
      <c r="Q150" s="266"/>
      <c r="R150" s="267"/>
    </row>
    <row r="151" customFormat="false" ht="15" hidden="false" customHeight="false" outlineLevel="0" collapsed="false">
      <c r="A151" s="179"/>
      <c r="B151" s="270" t="s">
        <v>147</v>
      </c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189"/>
    </row>
    <row r="152" customFormat="false" ht="15" hidden="false" customHeight="false" outlineLevel="0" collapsed="false">
      <c r="A152" s="270"/>
      <c r="B152" s="270"/>
      <c r="C152" s="195" t="n">
        <v>3</v>
      </c>
      <c r="D152" s="195" t="n">
        <v>4</v>
      </c>
      <c r="E152" s="196" t="n">
        <v>5</v>
      </c>
      <c r="F152" s="195" t="n">
        <v>6</v>
      </c>
      <c r="G152" s="195" t="n">
        <v>7</v>
      </c>
      <c r="H152" s="195" t="n">
        <v>8</v>
      </c>
      <c r="I152" s="195" t="n">
        <v>9</v>
      </c>
      <c r="J152" s="195" t="n">
        <v>10</v>
      </c>
      <c r="K152" s="195" t="n">
        <v>11</v>
      </c>
      <c r="L152" s="195" t="n">
        <v>12</v>
      </c>
      <c r="M152" s="195" t="n">
        <v>13</v>
      </c>
      <c r="N152" s="195" t="n">
        <v>14</v>
      </c>
      <c r="O152" s="195" t="n">
        <v>15</v>
      </c>
      <c r="P152" s="196" t="n">
        <v>16</v>
      </c>
      <c r="Q152" s="195" t="n">
        <v>15</v>
      </c>
      <c r="R152" s="271"/>
    </row>
    <row r="153" customFormat="false" ht="15" hidden="false" customHeight="false" outlineLevel="0" collapsed="false">
      <c r="A153" s="262" t="n">
        <v>1</v>
      </c>
      <c r="B153" s="272" t="s">
        <v>148</v>
      </c>
      <c r="C153" s="262" t="n">
        <v>19494</v>
      </c>
      <c r="D153" s="262" t="n">
        <v>38667</v>
      </c>
      <c r="E153" s="201" t="n">
        <f aca="false">C153/D153*100-100</f>
        <v>-49.584917371402</v>
      </c>
      <c r="F153" s="192" t="n">
        <v>3493</v>
      </c>
      <c r="G153" s="262" t="n">
        <v>8067</v>
      </c>
      <c r="H153" s="201" t="n">
        <f aca="false">F153/G153*100-100</f>
        <v>-56.7001363580017</v>
      </c>
      <c r="I153" s="262" t="n">
        <v>19494</v>
      </c>
      <c r="J153" s="262" t="n">
        <v>38667</v>
      </c>
      <c r="K153" s="201" t="n">
        <f aca="false">I153/J153*100-100</f>
        <v>-49.584917371402</v>
      </c>
      <c r="L153" s="262" t="n">
        <v>0</v>
      </c>
      <c r="M153" s="262" t="n">
        <v>0</v>
      </c>
      <c r="N153" s="201" t="n">
        <v>0</v>
      </c>
      <c r="O153" s="262" t="n">
        <v>55</v>
      </c>
      <c r="P153" s="236" t="n">
        <v>93</v>
      </c>
      <c r="Q153" s="262" t="n">
        <v>52</v>
      </c>
      <c r="R153" s="202" t="n">
        <f aca="false">O153*P153</f>
        <v>5115</v>
      </c>
    </row>
    <row r="154" customFormat="false" ht="15" hidden="false" customHeight="false" outlineLevel="0" collapsed="false">
      <c r="A154" s="262" t="n">
        <v>2</v>
      </c>
      <c r="B154" s="272" t="s">
        <v>149</v>
      </c>
      <c r="C154" s="208" t="n">
        <v>5823123</v>
      </c>
      <c r="D154" s="208" t="n">
        <v>2672309</v>
      </c>
      <c r="E154" s="201" t="n">
        <f aca="false">C154/D154*100-100</f>
        <v>117.906050535324</v>
      </c>
      <c r="F154" s="208" t="n">
        <v>844137</v>
      </c>
      <c r="G154" s="208" t="n">
        <v>488478</v>
      </c>
      <c r="H154" s="201" t="n">
        <f aca="false">F154/G154*100-100</f>
        <v>72.8096249984646</v>
      </c>
      <c r="I154" s="208" t="n">
        <v>5163068</v>
      </c>
      <c r="J154" s="208" t="n">
        <v>2905495</v>
      </c>
      <c r="K154" s="201" t="n">
        <f aca="false">I154/J154*100-100</f>
        <v>77.7001165033841</v>
      </c>
      <c r="L154" s="208" t="n">
        <v>2444421</v>
      </c>
      <c r="M154" s="208" t="n">
        <v>979712</v>
      </c>
      <c r="N154" s="201" t="n">
        <f aca="false">L154/M154*100-100</f>
        <v>149.504037921348</v>
      </c>
      <c r="O154" s="262" t="n">
        <v>561</v>
      </c>
      <c r="P154" s="236" t="n">
        <v>110</v>
      </c>
      <c r="Q154" s="262" t="n">
        <v>561</v>
      </c>
      <c r="R154" s="202" t="n">
        <f aca="false">O154*P154</f>
        <v>61710</v>
      </c>
    </row>
    <row r="155" customFormat="false" ht="15" hidden="false" customHeight="false" outlineLevel="0" collapsed="false">
      <c r="A155" s="262" t="n">
        <v>3</v>
      </c>
      <c r="B155" s="272" t="s">
        <v>150</v>
      </c>
      <c r="C155" s="200" t="n">
        <v>0</v>
      </c>
      <c r="D155" s="200" t="n">
        <v>0</v>
      </c>
      <c r="E155" s="201" t="n">
        <v>0</v>
      </c>
      <c r="F155" s="200" t="n">
        <v>0</v>
      </c>
      <c r="G155" s="200" t="n">
        <v>0</v>
      </c>
      <c r="H155" s="201" t="n">
        <v>0</v>
      </c>
      <c r="I155" s="200" t="n">
        <v>0</v>
      </c>
      <c r="J155" s="200" t="n">
        <v>0</v>
      </c>
      <c r="K155" s="201" t="n">
        <v>0</v>
      </c>
      <c r="L155" s="200" t="n">
        <v>0</v>
      </c>
      <c r="M155" s="200" t="n">
        <v>0</v>
      </c>
      <c r="N155" s="201" t="n">
        <v>0</v>
      </c>
      <c r="O155" s="203" t="n">
        <v>0</v>
      </c>
      <c r="P155" s="204" t="n">
        <v>0</v>
      </c>
      <c r="Q155" s="203" t="n">
        <v>0</v>
      </c>
      <c r="R155" s="202" t="n">
        <v>0</v>
      </c>
    </row>
    <row r="156" customFormat="false" ht="15" hidden="false" customHeight="false" outlineLevel="0" collapsed="false">
      <c r="A156" s="262" t="n">
        <v>4</v>
      </c>
      <c r="B156" s="272" t="s">
        <v>151</v>
      </c>
      <c r="C156" s="262" t="n">
        <v>1459276</v>
      </c>
      <c r="D156" s="262" t="n">
        <v>2017650</v>
      </c>
      <c r="E156" s="201" t="n">
        <f aca="false">C156/D156*100-100</f>
        <v>-27.6744727777365</v>
      </c>
      <c r="F156" s="262" t="n">
        <v>290571</v>
      </c>
      <c r="G156" s="273" t="n">
        <v>269835</v>
      </c>
      <c r="H156" s="201" t="n">
        <v>0</v>
      </c>
      <c r="I156" s="273" t="n">
        <v>1299728</v>
      </c>
      <c r="J156" s="273" t="n">
        <v>1349187</v>
      </c>
      <c r="K156" s="201" t="n">
        <f aca="false">I156/J156*100-100</f>
        <v>-3.66583727830168</v>
      </c>
      <c r="L156" s="273" t="n">
        <v>1011649</v>
      </c>
      <c r="M156" s="273" t="n">
        <v>343779</v>
      </c>
      <c r="N156" s="201" t="n">
        <f aca="false">L156/M156*100-100</f>
        <v>194.273064963247</v>
      </c>
      <c r="O156" s="262" t="n">
        <v>291</v>
      </c>
      <c r="P156" s="236" t="n">
        <v>100</v>
      </c>
      <c r="Q156" s="262" t="n">
        <v>291</v>
      </c>
      <c r="R156" s="202" t="n">
        <f aca="false">O156*P156</f>
        <v>29100</v>
      </c>
    </row>
    <row r="157" customFormat="false" ht="15" hidden="false" customHeight="false" outlineLevel="0" collapsed="false">
      <c r="A157" s="262"/>
      <c r="B157" s="245" t="s">
        <v>88</v>
      </c>
      <c r="C157" s="208" t="n">
        <v>1126889</v>
      </c>
      <c r="D157" s="208" t="n">
        <v>1126024</v>
      </c>
      <c r="E157" s="201" t="n">
        <f aca="false">C157/D157*100-100</f>
        <v>0.0768189665584487</v>
      </c>
      <c r="F157" s="208" t="n">
        <v>200009</v>
      </c>
      <c r="G157" s="208" t="n">
        <v>195174</v>
      </c>
      <c r="H157" s="201" t="n">
        <f aca="false">F157/G157*100-100</f>
        <v>2.47727668644389</v>
      </c>
      <c r="I157" s="208" t="n">
        <v>1193691</v>
      </c>
      <c r="J157" s="208" t="n">
        <v>1079971</v>
      </c>
      <c r="K157" s="201" t="n">
        <f aca="false">I157/J157*100-100</f>
        <v>10.5299123772768</v>
      </c>
      <c r="L157" s="203" t="n">
        <v>9660</v>
      </c>
      <c r="M157" s="208" t="n">
        <v>0</v>
      </c>
      <c r="N157" s="201" t="n">
        <v>0</v>
      </c>
      <c r="O157" s="203" t="n">
        <v>127</v>
      </c>
      <c r="P157" s="208" t="n">
        <v>145</v>
      </c>
      <c r="Q157" s="203" t="n">
        <v>127</v>
      </c>
      <c r="R157" s="202" t="n">
        <f aca="false">O157*P157</f>
        <v>18415</v>
      </c>
    </row>
    <row r="158" customFormat="false" ht="15" hidden="false" customHeight="false" outlineLevel="0" collapsed="false">
      <c r="A158" s="262" t="n">
        <v>5</v>
      </c>
      <c r="B158" s="272" t="s">
        <v>152</v>
      </c>
      <c r="C158" s="200" t="n">
        <v>618606</v>
      </c>
      <c r="D158" s="200" t="n">
        <v>1609624</v>
      </c>
      <c r="E158" s="201" t="n">
        <f aca="false">C158/D158*100-100</f>
        <v>-61.5682917252725</v>
      </c>
      <c r="F158" s="200" t="n">
        <v>181460</v>
      </c>
      <c r="G158" s="200" t="n">
        <v>296947</v>
      </c>
      <c r="H158" s="201" t="n">
        <v>0</v>
      </c>
      <c r="I158" s="200" t="n">
        <v>209339</v>
      </c>
      <c r="J158" s="200" t="n">
        <v>1527121</v>
      </c>
      <c r="K158" s="201" t="n">
        <v>0</v>
      </c>
      <c r="L158" s="200" t="n">
        <v>0</v>
      </c>
      <c r="M158" s="200" t="n">
        <v>0</v>
      </c>
      <c r="N158" s="201" t="n">
        <v>0</v>
      </c>
      <c r="O158" s="203" t="n">
        <v>230</v>
      </c>
      <c r="P158" s="204" t="n">
        <v>0</v>
      </c>
      <c r="Q158" s="203" t="n">
        <v>225</v>
      </c>
      <c r="R158" s="202" t="n">
        <f aca="false">O158*P158</f>
        <v>0</v>
      </c>
    </row>
    <row r="159" customFormat="false" ht="15" hidden="false" customHeight="false" outlineLevel="0" collapsed="false">
      <c r="A159" s="215" t="s">
        <v>153</v>
      </c>
      <c r="B159" s="215" t="s">
        <v>154</v>
      </c>
      <c r="C159" s="216" t="n">
        <f aca="false">SUM(C153:C158)</f>
        <v>9047388</v>
      </c>
      <c r="D159" s="216" t="n">
        <f aca="false">SUM(D153:D158)</f>
        <v>7464274</v>
      </c>
      <c r="E159" s="313" t="n">
        <f aca="false">C159/D159*100-100</f>
        <v>21.2092160603965</v>
      </c>
      <c r="F159" s="216" t="n">
        <f aca="false">SUM(F153:F158)</f>
        <v>1519670</v>
      </c>
      <c r="G159" s="216" t="n">
        <f aca="false">SUM(G153:G158)</f>
        <v>1258501</v>
      </c>
      <c r="H159" s="313" t="n">
        <f aca="false">F159/G159*100-100</f>
        <v>20.7523871653658</v>
      </c>
      <c r="I159" s="216" t="n">
        <f aca="false">SUM(I153:I158)</f>
        <v>7885320</v>
      </c>
      <c r="J159" s="216" t="n">
        <f aca="false">SUM(J153:J158)</f>
        <v>6900441</v>
      </c>
      <c r="K159" s="313" t="n">
        <f aca="false">I159/J159*100-100</f>
        <v>14.2726964841812</v>
      </c>
      <c r="L159" s="216" t="n">
        <f aca="false">SUM(L153:L158)</f>
        <v>3465730</v>
      </c>
      <c r="M159" s="216" t="n">
        <f aca="false">SUM(M153:M158)</f>
        <v>1323491</v>
      </c>
      <c r="N159" s="313" t="n">
        <f aca="false">L159/M159*100-100</f>
        <v>161.862755394634</v>
      </c>
      <c r="O159" s="216" t="n">
        <f aca="false">SUM(O153:O158)</f>
        <v>1264</v>
      </c>
      <c r="P159" s="217" t="n">
        <f aca="false">R159/O159</f>
        <v>90.4588607594937</v>
      </c>
      <c r="Q159" s="216" t="n">
        <f aca="false">SUM(Q153:Q158)</f>
        <v>1256</v>
      </c>
      <c r="R159" s="232" t="n">
        <f aca="false">SUM(R153:R158)</f>
        <v>114340</v>
      </c>
    </row>
    <row r="160" customFormat="false" ht="15" hidden="false" customHeight="false" outlineLevel="0" collapsed="false">
      <c r="A160" s="274"/>
      <c r="B160" s="256"/>
      <c r="C160" s="275"/>
      <c r="D160" s="275"/>
      <c r="E160" s="276"/>
      <c r="F160" s="275"/>
      <c r="G160" s="275"/>
      <c r="H160" s="276"/>
      <c r="I160" s="275"/>
      <c r="J160" s="275"/>
      <c r="K160" s="276"/>
      <c r="L160" s="275"/>
      <c r="M160" s="277"/>
      <c r="N160" s="278"/>
      <c r="O160" s="277"/>
      <c r="P160" s="275"/>
      <c r="Q160" s="277"/>
      <c r="R160" s="279"/>
    </row>
    <row r="161" customFormat="false" ht="15" hidden="false" customHeight="false" outlineLevel="0" collapsed="false">
      <c r="A161" s="274"/>
      <c r="B161" s="322" t="s">
        <v>194</v>
      </c>
      <c r="C161" s="322"/>
      <c r="D161" s="275"/>
      <c r="E161" s="276"/>
      <c r="F161" s="275"/>
      <c r="G161" s="275"/>
      <c r="H161" s="276"/>
      <c r="I161" s="275"/>
      <c r="J161" s="275"/>
      <c r="K161" s="276"/>
      <c r="L161" s="275"/>
      <c r="M161" s="277"/>
      <c r="N161" s="278"/>
      <c r="O161" s="277"/>
      <c r="P161" s="275"/>
      <c r="Q161" s="277"/>
      <c r="R161" s="279"/>
    </row>
    <row r="162" customFormat="false" ht="15" hidden="false" customHeight="false" outlineLevel="0" collapsed="false">
      <c r="A162" s="323" t="s">
        <v>195</v>
      </c>
      <c r="B162" s="323"/>
      <c r="C162" s="195" t="n">
        <v>3</v>
      </c>
      <c r="D162" s="195" t="n">
        <v>4</v>
      </c>
      <c r="E162" s="196" t="n">
        <v>5</v>
      </c>
      <c r="F162" s="195" t="n">
        <v>6</v>
      </c>
      <c r="G162" s="195" t="n">
        <v>7</v>
      </c>
      <c r="H162" s="195" t="n">
        <v>8</v>
      </c>
      <c r="I162" s="195" t="n">
        <v>9</v>
      </c>
      <c r="J162" s="195" t="n">
        <v>10</v>
      </c>
      <c r="K162" s="195" t="n">
        <v>11</v>
      </c>
      <c r="L162" s="195" t="n">
        <v>12</v>
      </c>
      <c r="M162" s="195" t="n">
        <v>13</v>
      </c>
      <c r="N162" s="195" t="n">
        <v>14</v>
      </c>
      <c r="O162" s="195" t="n">
        <v>15</v>
      </c>
      <c r="P162" s="196" t="n">
        <v>16</v>
      </c>
      <c r="Q162" s="195" t="n">
        <v>15</v>
      </c>
      <c r="R162" s="202"/>
    </row>
    <row r="163" customFormat="false" ht="15" hidden="false" customHeight="false" outlineLevel="0" collapsed="false">
      <c r="A163" s="280"/>
      <c r="B163" s="281" t="s">
        <v>196</v>
      </c>
      <c r="C163" s="203" t="n">
        <v>13990536</v>
      </c>
      <c r="D163" s="203" t="n">
        <v>10920934</v>
      </c>
      <c r="E163" s="201" t="n">
        <f aca="false">C163/D163*100-100</f>
        <v>28.1075043581437</v>
      </c>
      <c r="F163" s="203" t="n">
        <v>2557235</v>
      </c>
      <c r="G163" s="203" t="n">
        <v>1765705</v>
      </c>
      <c r="H163" s="201" t="n">
        <f aca="false">F163/G163*100-100</f>
        <v>44.8279865549455</v>
      </c>
      <c r="I163" s="203" t="n">
        <v>13115573</v>
      </c>
      <c r="J163" s="203" t="n">
        <v>10503378</v>
      </c>
      <c r="K163" s="201" t="n">
        <f aca="false">I163/J163*100-100</f>
        <v>24.8700465697797</v>
      </c>
      <c r="L163" s="203" t="n">
        <f aca="false">555190+11071650</f>
        <v>11626840</v>
      </c>
      <c r="M163" s="203" t="n">
        <v>9114043</v>
      </c>
      <c r="N163" s="201" t="n">
        <f aca="false">L163/M163*100-100</f>
        <v>27.5706072486162</v>
      </c>
      <c r="O163" s="203" t="n">
        <v>345</v>
      </c>
      <c r="P163" s="203"/>
      <c r="Q163" s="203" t="n">
        <v>345</v>
      </c>
      <c r="R163" s="202" t="n">
        <f aca="false">O163*P163</f>
        <v>0</v>
      </c>
    </row>
    <row r="164" customFormat="false" ht="15" hidden="false" customHeight="false" outlineLevel="0" collapsed="false">
      <c r="A164" s="280"/>
      <c r="B164" s="281" t="s">
        <v>197</v>
      </c>
      <c r="C164" s="203" t="n">
        <v>1616824</v>
      </c>
      <c r="D164" s="203" t="n">
        <v>540647</v>
      </c>
      <c r="E164" s="201" t="n">
        <f aca="false">C164/D164*100-100</f>
        <v>199.05354140502</v>
      </c>
      <c r="F164" s="203" t="n">
        <v>170056</v>
      </c>
      <c r="G164" s="203" t="n">
        <v>109415</v>
      </c>
      <c r="H164" s="201" t="n">
        <f aca="false">F164/G164*100-100</f>
        <v>55.4229310423617</v>
      </c>
      <c r="I164" s="203" t="n">
        <v>1593149</v>
      </c>
      <c r="J164" s="203" t="n">
        <v>551036</v>
      </c>
      <c r="K164" s="201" t="n">
        <f aca="false">I164/J164*100-100</f>
        <v>189.11885974782</v>
      </c>
      <c r="L164" s="203" t="n">
        <v>1200760</v>
      </c>
      <c r="M164" s="203" t="n">
        <v>64784</v>
      </c>
      <c r="N164" s="223" t="n">
        <f aca="false">L164/M164*100-100</f>
        <v>1753.48234131884</v>
      </c>
      <c r="O164" s="203" t="n">
        <v>131</v>
      </c>
      <c r="P164" s="203" t="n">
        <v>98</v>
      </c>
      <c r="Q164" s="203" t="n">
        <v>132</v>
      </c>
      <c r="R164" s="202" t="n">
        <f aca="false">O164*P164</f>
        <v>12838</v>
      </c>
    </row>
    <row r="165" customFormat="false" ht="15" hidden="false" customHeight="false" outlineLevel="0" collapsed="false">
      <c r="A165" s="280"/>
      <c r="B165" s="281" t="s">
        <v>198</v>
      </c>
      <c r="C165" s="203" t="n">
        <v>634770</v>
      </c>
      <c r="D165" s="203" t="n">
        <v>441343</v>
      </c>
      <c r="E165" s="201" t="n">
        <f aca="false">C165/D165*100-100</f>
        <v>43.8269101356541</v>
      </c>
      <c r="F165" s="203" t="n">
        <v>123816</v>
      </c>
      <c r="G165" s="203" t="n">
        <v>81504</v>
      </c>
      <c r="H165" s="223" t="n">
        <f aca="false">F165/G165*100-100</f>
        <v>51.9140164899882</v>
      </c>
      <c r="I165" s="203" t="n">
        <v>706283</v>
      </c>
      <c r="J165" s="203" t="n">
        <v>1163527</v>
      </c>
      <c r="K165" s="223" t="n">
        <f aca="false">I165/J165*100-100</f>
        <v>-39.298099657335</v>
      </c>
      <c r="L165" s="203" t="n">
        <v>113016</v>
      </c>
      <c r="M165" s="203" t="n">
        <v>39512</v>
      </c>
      <c r="N165" s="223" t="n">
        <f aca="false">L165/M165*100-100</f>
        <v>186.029560639806</v>
      </c>
      <c r="O165" s="203" t="n">
        <v>62</v>
      </c>
      <c r="P165" s="203"/>
      <c r="Q165" s="203" t="n">
        <v>62</v>
      </c>
      <c r="R165" s="202" t="n">
        <f aca="false">O165*P165</f>
        <v>0</v>
      </c>
    </row>
    <row r="166" customFormat="false" ht="15" hidden="false" customHeight="false" outlineLevel="0" collapsed="false">
      <c r="A166" s="280"/>
      <c r="B166" s="281" t="s">
        <v>199</v>
      </c>
      <c r="C166" s="208" t="n">
        <v>621261</v>
      </c>
      <c r="D166" s="208" t="n">
        <v>597527</v>
      </c>
      <c r="E166" s="201" t="n">
        <f aca="false">C166/D166*100-100</f>
        <v>3.97203808363471</v>
      </c>
      <c r="F166" s="208" t="n">
        <v>122307</v>
      </c>
      <c r="G166" s="208" t="n">
        <v>33319</v>
      </c>
      <c r="H166" s="201" t="n">
        <f aca="false">F166/G166*100-100</f>
        <v>267.078843902878</v>
      </c>
      <c r="I166" s="208" t="n">
        <v>265250</v>
      </c>
      <c r="J166" s="208" t="n">
        <v>107325</v>
      </c>
      <c r="K166" s="201" t="n">
        <f aca="false">I166/J166*100-100</f>
        <v>147.146517586769</v>
      </c>
      <c r="L166" s="208" t="n">
        <v>121071</v>
      </c>
      <c r="M166" s="208" t="n">
        <v>3215</v>
      </c>
      <c r="N166" s="223" t="n">
        <f aca="false">L166/M166*100-100</f>
        <v>3665.81648522551</v>
      </c>
      <c r="O166" s="250" t="n">
        <v>178</v>
      </c>
      <c r="P166" s="203" t="n">
        <v>143</v>
      </c>
      <c r="Q166" s="203" t="n">
        <v>177</v>
      </c>
      <c r="R166" s="202" t="n">
        <f aca="false">O166*P166</f>
        <v>25454</v>
      </c>
    </row>
    <row r="167" customFormat="false" ht="15" hidden="false" customHeight="false" outlineLevel="0" collapsed="false">
      <c r="A167" s="203"/>
      <c r="B167" s="281" t="s">
        <v>200</v>
      </c>
      <c r="C167" s="203" t="n">
        <v>1030842</v>
      </c>
      <c r="D167" s="203" t="n">
        <v>671637</v>
      </c>
      <c r="E167" s="201" t="n">
        <f aca="false">C167/D167*100-100</f>
        <v>53.4820148383725</v>
      </c>
      <c r="F167" s="203" t="n">
        <v>280822</v>
      </c>
      <c r="G167" s="203" t="n">
        <v>166205</v>
      </c>
      <c r="H167" s="201" t="n">
        <f aca="false">F167/G167*100-100</f>
        <v>68.9612225865648</v>
      </c>
      <c r="I167" s="203" t="n">
        <v>925838</v>
      </c>
      <c r="J167" s="203" t="n">
        <v>651530</v>
      </c>
      <c r="K167" s="201" t="n">
        <f aca="false">I167/J167*100-100</f>
        <v>42.1021288352033</v>
      </c>
      <c r="L167" s="203" t="n">
        <v>216014</v>
      </c>
      <c r="M167" s="203" t="n">
        <v>40589</v>
      </c>
      <c r="N167" s="201" t="n">
        <f aca="false">L167/M167*100-100</f>
        <v>432.198378871123</v>
      </c>
      <c r="O167" s="203" t="n">
        <v>100</v>
      </c>
      <c r="P167" s="203" t="n">
        <v>85</v>
      </c>
      <c r="Q167" s="203" t="n">
        <v>183</v>
      </c>
      <c r="R167" s="202" t="n">
        <f aca="false">O167*P167</f>
        <v>8500</v>
      </c>
    </row>
    <row r="168" customFormat="false" ht="15" hidden="false" customHeight="false" outlineLevel="0" collapsed="false">
      <c r="A168" s="203" t="n">
        <v>3</v>
      </c>
      <c r="B168" s="243" t="s">
        <v>156</v>
      </c>
      <c r="C168" s="203" t="n">
        <v>868110</v>
      </c>
      <c r="D168" s="203" t="n">
        <v>652269</v>
      </c>
      <c r="E168" s="201" t="n">
        <f aca="false">C168/D168*100-100</f>
        <v>33.0907953620362</v>
      </c>
      <c r="F168" s="203" t="n">
        <v>159651</v>
      </c>
      <c r="G168" s="203" t="n">
        <v>172867</v>
      </c>
      <c r="H168" s="201" t="n">
        <f aca="false">F168/G168*100-100</f>
        <v>-7.64518386968017</v>
      </c>
      <c r="I168" s="203" t="n">
        <v>884465</v>
      </c>
      <c r="J168" s="203" t="n">
        <v>739309</v>
      </c>
      <c r="K168" s="201" t="n">
        <f aca="false">I168/J168*100-100</f>
        <v>19.6340095954466</v>
      </c>
      <c r="L168" s="203" t="n">
        <v>44610</v>
      </c>
      <c r="M168" s="203" t="n">
        <v>17776</v>
      </c>
      <c r="N168" s="201" t="n">
        <f aca="false">L168/M168*100-100</f>
        <v>150.956345634563</v>
      </c>
      <c r="O168" s="203" t="n">
        <v>30</v>
      </c>
      <c r="P168" s="203" t="n">
        <v>85</v>
      </c>
      <c r="Q168" s="203" t="n">
        <v>30</v>
      </c>
      <c r="R168" s="202" t="n">
        <f aca="false">O168*P168</f>
        <v>2550</v>
      </c>
    </row>
    <row r="169" customFormat="false" ht="18.75" hidden="false" customHeight="true" outlineLevel="0" collapsed="false">
      <c r="A169" s="215" t="s">
        <v>201</v>
      </c>
      <c r="B169" s="215" t="s">
        <v>119</v>
      </c>
      <c r="C169" s="229" t="n">
        <f aca="false">SUM(C163:C168)</f>
        <v>18762343</v>
      </c>
      <c r="D169" s="229" t="n">
        <f aca="false">SUM(D163:D168)</f>
        <v>13824357</v>
      </c>
      <c r="E169" s="313" t="n">
        <f aca="false">C169/D169*100-100</f>
        <v>35.7194623952492</v>
      </c>
      <c r="F169" s="229" t="n">
        <f aca="false">SUM(F163:F168)</f>
        <v>3413887</v>
      </c>
      <c r="G169" s="229" t="n">
        <f aca="false">SUM(G163:G168)</f>
        <v>2329015</v>
      </c>
      <c r="H169" s="313" t="n">
        <f aca="false">F169/G169*100-100</f>
        <v>46.5807218931608</v>
      </c>
      <c r="I169" s="229" t="n">
        <f aca="false">SUM(I163:I168)</f>
        <v>17490558</v>
      </c>
      <c r="J169" s="229" t="n">
        <f aca="false">SUM(J163:J168)</f>
        <v>13716105</v>
      </c>
      <c r="K169" s="313" t="n">
        <f aca="false">I169/J169*100-100</f>
        <v>27.5184026369002</v>
      </c>
      <c r="L169" s="229" t="n">
        <f aca="false">SUM(L163:L168)</f>
        <v>13322311</v>
      </c>
      <c r="M169" s="229" t="n">
        <f aca="false">SUM(M163:M168)</f>
        <v>9279919</v>
      </c>
      <c r="N169" s="313" t="n">
        <f aca="false">L169/M169*100-100</f>
        <v>43.5606388374726</v>
      </c>
      <c r="O169" s="229" t="n">
        <f aca="false">SUM(O163:O168)</f>
        <v>846</v>
      </c>
      <c r="P169" s="231" t="n">
        <f aca="false">R169/O169</f>
        <v>58.3238770685579</v>
      </c>
      <c r="Q169" s="229" t="n">
        <f aca="false">SUM(Q163:Q168)</f>
        <v>929</v>
      </c>
      <c r="R169" s="229" t="n">
        <f aca="false">SUM(R163:R168)</f>
        <v>49342</v>
      </c>
    </row>
    <row r="170" customFormat="false" ht="15" hidden="false" customHeight="false" outlineLevel="0" collapsed="false">
      <c r="A170" s="203"/>
      <c r="B170" s="281"/>
      <c r="C170" s="203"/>
      <c r="D170" s="203"/>
      <c r="E170" s="201"/>
      <c r="F170" s="203"/>
      <c r="G170" s="203"/>
      <c r="H170" s="201"/>
      <c r="I170" s="203"/>
      <c r="J170" s="203"/>
      <c r="K170" s="201"/>
      <c r="L170" s="203"/>
      <c r="M170" s="203"/>
      <c r="N170" s="201"/>
      <c r="O170" s="203"/>
      <c r="P170" s="203"/>
      <c r="Q170" s="203"/>
      <c r="R170" s="202"/>
    </row>
    <row r="171" customFormat="false" ht="15" hidden="false" customHeight="false" outlineLevel="0" collapsed="false">
      <c r="A171" s="203"/>
      <c r="B171" s="324" t="s">
        <v>202</v>
      </c>
      <c r="C171" s="203"/>
      <c r="D171" s="203"/>
      <c r="E171" s="201"/>
      <c r="F171" s="203"/>
      <c r="G171" s="203"/>
      <c r="H171" s="201"/>
      <c r="I171" s="203"/>
      <c r="J171" s="203"/>
      <c r="K171" s="201"/>
      <c r="L171" s="203"/>
      <c r="M171" s="203"/>
      <c r="N171" s="201"/>
      <c r="O171" s="203"/>
      <c r="P171" s="203"/>
      <c r="Q171" s="203"/>
      <c r="R171" s="202"/>
    </row>
    <row r="172" customFormat="false" ht="15" hidden="false" customHeight="false" outlineLevel="0" collapsed="false">
      <c r="A172" s="203" t="n">
        <v>5</v>
      </c>
      <c r="B172" s="281" t="s">
        <v>227</v>
      </c>
      <c r="C172" s="203" t="n">
        <v>63571</v>
      </c>
      <c r="D172" s="203" t="n">
        <v>58435</v>
      </c>
      <c r="E172" s="201" t="n">
        <f aca="false">C172/D172*100-100</f>
        <v>8.78925301617181</v>
      </c>
      <c r="F172" s="203" t="n">
        <v>15732</v>
      </c>
      <c r="G172" s="203" t="n">
        <v>39088</v>
      </c>
      <c r="H172" s="201" t="n">
        <f aca="false">F172/G172*100-100</f>
        <v>-59.7523536635285</v>
      </c>
      <c r="I172" s="203" t="n">
        <v>32787</v>
      </c>
      <c r="J172" s="203" t="n">
        <v>74701</v>
      </c>
      <c r="K172" s="201" t="n">
        <f aca="false">I172/J172*100-100</f>
        <v>-56.1090212982423</v>
      </c>
      <c r="L172" s="203" t="n">
        <v>28629</v>
      </c>
      <c r="M172" s="203" t="n">
        <v>71378</v>
      </c>
      <c r="N172" s="201" t="n">
        <f aca="false">L172/M172*100-100</f>
        <v>-59.8910028300036</v>
      </c>
      <c r="O172" s="203" t="n">
        <v>36</v>
      </c>
      <c r="P172" s="203" t="n">
        <v>82</v>
      </c>
      <c r="Q172" s="203" t="n">
        <v>36</v>
      </c>
      <c r="R172" s="202" t="n">
        <f aca="false">O172*P172</f>
        <v>2952</v>
      </c>
    </row>
    <row r="173" customFormat="false" ht="15" hidden="false" customHeight="false" outlineLevel="0" collapsed="false">
      <c r="A173" s="203"/>
      <c r="B173" s="243" t="s">
        <v>155</v>
      </c>
      <c r="C173" s="203" t="n">
        <v>784007</v>
      </c>
      <c r="D173" s="203" t="n">
        <v>660338</v>
      </c>
      <c r="E173" s="201" t="n">
        <f aca="false">C173/D173*100-100</f>
        <v>18.7281361969173</v>
      </c>
      <c r="F173" s="203" t="n">
        <v>121788</v>
      </c>
      <c r="G173" s="203" t="n">
        <v>132999</v>
      </c>
      <c r="H173" s="201" t="n">
        <f aca="false">F173/G173*100-100</f>
        <v>-8.42938668711794</v>
      </c>
      <c r="I173" s="203" t="n">
        <v>773208</v>
      </c>
      <c r="J173" s="203" t="n">
        <v>608477</v>
      </c>
      <c r="K173" s="201" t="n">
        <f aca="false">I173/J173*100-100</f>
        <v>27.0726748915735</v>
      </c>
      <c r="L173" s="203" t="n">
        <v>314784</v>
      </c>
      <c r="M173" s="203" t="n">
        <v>182965</v>
      </c>
      <c r="N173" s="201" t="n">
        <f aca="false">L173/M173*100-100</f>
        <v>72.0460197305496</v>
      </c>
      <c r="O173" s="203" t="n">
        <v>78</v>
      </c>
      <c r="P173" s="203" t="n">
        <v>71</v>
      </c>
      <c r="Q173" s="203" t="n">
        <v>78</v>
      </c>
      <c r="R173" s="202" t="n">
        <f aca="false">O173*P173</f>
        <v>5538</v>
      </c>
    </row>
    <row r="174" customFormat="false" ht="15" hidden="false" customHeight="false" outlineLevel="0" collapsed="false">
      <c r="A174" s="203" t="n">
        <v>7</v>
      </c>
      <c r="B174" s="243" t="s">
        <v>204</v>
      </c>
      <c r="C174" s="203" t="n">
        <v>3014963</v>
      </c>
      <c r="D174" s="203" t="n">
        <v>2949251</v>
      </c>
      <c r="E174" s="201" t="n">
        <f aca="false">C174/D174*100-100</f>
        <v>2.22809113229087</v>
      </c>
      <c r="F174" s="203" t="n">
        <v>626178</v>
      </c>
      <c r="G174" s="203" t="n">
        <v>522164</v>
      </c>
      <c r="H174" s="201" t="n">
        <f aca="false">F174/G174*100-100</f>
        <v>19.9197953133498</v>
      </c>
      <c r="I174" s="203" t="n">
        <v>2576158</v>
      </c>
      <c r="J174" s="203" t="n">
        <v>2207270</v>
      </c>
      <c r="K174" s="201" t="n">
        <f aca="false">I174/J174*100-100</f>
        <v>16.7124094469639</v>
      </c>
      <c r="L174" s="203" t="n">
        <v>311263</v>
      </c>
      <c r="M174" s="203" t="n">
        <v>127472</v>
      </c>
      <c r="N174" s="201" t="n">
        <f aca="false">L174/M174*100-100</f>
        <v>144.181467302623</v>
      </c>
      <c r="O174" s="203"/>
      <c r="P174" s="203" t="n">
        <v>118</v>
      </c>
      <c r="Q174" s="203" t="n">
        <v>535</v>
      </c>
      <c r="R174" s="202" t="n">
        <f aca="false">O174*P174</f>
        <v>0</v>
      </c>
    </row>
    <row r="175" customFormat="false" ht="15" hidden="false" customHeight="false" outlineLevel="0" collapsed="false">
      <c r="A175" s="203" t="n">
        <v>8</v>
      </c>
      <c r="B175" s="243" t="s">
        <v>205</v>
      </c>
      <c r="C175" s="203" t="n">
        <v>1120730</v>
      </c>
      <c r="D175" s="203" t="n">
        <v>746308</v>
      </c>
      <c r="E175" s="201" t="n">
        <f aca="false">C175/D175*100-100</f>
        <v>50.1699030427116</v>
      </c>
      <c r="F175" s="203" t="n">
        <v>205303</v>
      </c>
      <c r="G175" s="203" t="n">
        <v>144193</v>
      </c>
      <c r="H175" s="201" t="n">
        <f aca="false">F175/G175*100-100</f>
        <v>42.3806980921404</v>
      </c>
      <c r="I175" s="203" t="n">
        <v>1047411</v>
      </c>
      <c r="J175" s="203" t="n">
        <v>726288</v>
      </c>
      <c r="K175" s="201" t="n">
        <f aca="false">I175/J175*100-100</f>
        <v>44.2142786332695</v>
      </c>
      <c r="L175" s="203" t="n">
        <v>47279</v>
      </c>
      <c r="M175" s="203" t="n">
        <v>0</v>
      </c>
      <c r="N175" s="201" t="n">
        <v>0</v>
      </c>
      <c r="O175" s="203" t="n">
        <v>161</v>
      </c>
      <c r="P175" s="203" t="n">
        <v>102</v>
      </c>
      <c r="Q175" s="203" t="n">
        <v>161</v>
      </c>
      <c r="R175" s="202" t="n">
        <f aca="false">O175*P175</f>
        <v>16422</v>
      </c>
    </row>
    <row r="176" customFormat="false" ht="15" hidden="false" customHeight="false" outlineLevel="0" collapsed="false">
      <c r="A176" s="203" t="n">
        <v>10</v>
      </c>
      <c r="B176" s="243" t="s">
        <v>157</v>
      </c>
      <c r="C176" s="203" t="n">
        <v>2148097</v>
      </c>
      <c r="D176" s="203" t="n">
        <v>1075940</v>
      </c>
      <c r="E176" s="201" t="n">
        <f aca="false">C176/D176*100-100</f>
        <v>99.6484004684276</v>
      </c>
      <c r="F176" s="203" t="n">
        <v>323413</v>
      </c>
      <c r="G176" s="203" t="n">
        <v>139950</v>
      </c>
      <c r="H176" s="201" t="n">
        <f aca="false">F176/G176*100-100</f>
        <v>131.09181850661</v>
      </c>
      <c r="I176" s="203" t="n">
        <v>1403696</v>
      </c>
      <c r="J176" s="203" t="n">
        <v>911044</v>
      </c>
      <c r="K176" s="201" t="n">
        <f aca="false">I176/J176*100-100</f>
        <v>54.0755441010533</v>
      </c>
      <c r="L176" s="203" t="n">
        <v>0</v>
      </c>
      <c r="M176" s="203" t="n">
        <v>0</v>
      </c>
      <c r="N176" s="201" t="n">
        <v>0</v>
      </c>
      <c r="O176" s="203" t="n">
        <v>452</v>
      </c>
      <c r="P176" s="203" t="n">
        <v>100</v>
      </c>
      <c r="Q176" s="203" t="n">
        <v>468</v>
      </c>
      <c r="R176" s="202" t="n">
        <f aca="false">O176*P176</f>
        <v>45200</v>
      </c>
    </row>
    <row r="177" customFormat="false" ht="15" hidden="false" customHeight="false" outlineLevel="0" collapsed="false">
      <c r="A177" s="215" t="s">
        <v>206</v>
      </c>
      <c r="B177" s="215" t="s">
        <v>119</v>
      </c>
      <c r="C177" s="216" t="n">
        <f aca="false">SUM(C172:C176)</f>
        <v>7131368</v>
      </c>
      <c r="D177" s="216" t="n">
        <f aca="false">SUM(D172:D176)</f>
        <v>5490272</v>
      </c>
      <c r="E177" s="313" t="n">
        <f aca="false">C177/D177*100-100</f>
        <v>29.890978079046</v>
      </c>
      <c r="F177" s="216" t="n">
        <f aca="false">SUM(F172:F176)</f>
        <v>1292414</v>
      </c>
      <c r="G177" s="216" t="n">
        <f aca="false">SUM(G172:G176)</f>
        <v>978394</v>
      </c>
      <c r="H177" s="313" t="n">
        <f aca="false">F177/G177*100-100</f>
        <v>32.0954543874962</v>
      </c>
      <c r="I177" s="216" t="n">
        <f aca="false">SUM(I172:I176)</f>
        <v>5833260</v>
      </c>
      <c r="J177" s="216" t="n">
        <f aca="false">SUM(J172:J176)</f>
        <v>4527780</v>
      </c>
      <c r="K177" s="313" t="n">
        <f aca="false">I177/J177*100-100</f>
        <v>28.8326729655593</v>
      </c>
      <c r="L177" s="216" t="n">
        <f aca="false">SUM(L172:L176)</f>
        <v>701955</v>
      </c>
      <c r="M177" s="216" t="n">
        <f aca="false">SUM(M172:M176)</f>
        <v>381815</v>
      </c>
      <c r="N177" s="313" t="n">
        <f aca="false">L177/M177*100-100</f>
        <v>83.8468892002672</v>
      </c>
      <c r="O177" s="216" t="n">
        <f aca="false">SUM(O167:O176)</f>
        <v>1703</v>
      </c>
      <c r="P177" s="237" t="n">
        <f aca="false">R177/O177</f>
        <v>76.6318261890781</v>
      </c>
      <c r="Q177" s="216" t="n">
        <f aca="false">SUM(Q167:Q176)</f>
        <v>2420</v>
      </c>
      <c r="R177" s="232" t="n">
        <f aca="false">SUM(R167:R176)</f>
        <v>130504</v>
      </c>
    </row>
    <row r="178" customFormat="false" ht="15" hidden="false" customHeight="false" outlineLevel="0" collapsed="false">
      <c r="A178" s="325"/>
      <c r="B178" s="325" t="s">
        <v>158</v>
      </c>
      <c r="C178" s="326" t="n">
        <f aca="false">C169+C177</f>
        <v>25893711</v>
      </c>
      <c r="D178" s="326" t="n">
        <f aca="false">D169+D177</f>
        <v>19314629</v>
      </c>
      <c r="E178" s="310" t="n">
        <f aca="false">C178/D178*100-100</f>
        <v>34.0626889597517</v>
      </c>
      <c r="F178" s="326" t="n">
        <f aca="false">F169+F177</f>
        <v>4706301</v>
      </c>
      <c r="G178" s="326" t="n">
        <f aca="false">G169+G177</f>
        <v>3307409</v>
      </c>
      <c r="H178" s="310" t="n">
        <f aca="false">F178/G178*100-100</f>
        <v>42.2957063973642</v>
      </c>
      <c r="I178" s="326" t="n">
        <f aca="false">I169+I177</f>
        <v>23323818</v>
      </c>
      <c r="J178" s="326" t="n">
        <f aca="false">J169+J177</f>
        <v>18243885</v>
      </c>
      <c r="K178" s="310" t="n">
        <f aca="false">I178/J178*100-100</f>
        <v>27.8445791562488</v>
      </c>
      <c r="L178" s="326" t="n">
        <f aca="false">L169+L177</f>
        <v>14024266</v>
      </c>
      <c r="M178" s="326" t="n">
        <f aca="false">M169+M177</f>
        <v>9661734</v>
      </c>
      <c r="N178" s="310" t="n">
        <f aca="false">L178/M178*100-100</f>
        <v>45.152681702891</v>
      </c>
      <c r="O178" s="326" t="n">
        <f aca="false">O169+O177</f>
        <v>2549</v>
      </c>
      <c r="P178" s="321" t="n">
        <f aca="false">R178/O178</f>
        <v>70.5555119654767</v>
      </c>
      <c r="Q178" s="326" t="n">
        <f aca="false">Q169+Q177</f>
        <v>3349</v>
      </c>
      <c r="R178" s="326" t="n">
        <f aca="false">R169+R177</f>
        <v>179846</v>
      </c>
    </row>
    <row r="179" customFormat="false" ht="19.5" hidden="false" customHeight="true" outlineLevel="0" collapsed="false">
      <c r="A179" s="274"/>
      <c r="B179" s="256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9"/>
    </row>
    <row r="180" customFormat="false" ht="15" hidden="false" customHeight="false" outlineLevel="0" collapsed="false">
      <c r="A180" s="327"/>
      <c r="B180" s="328" t="s">
        <v>207</v>
      </c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329"/>
      <c r="N180" s="329"/>
      <c r="O180" s="329"/>
      <c r="P180" s="275"/>
      <c r="Q180" s="329"/>
      <c r="R180" s="279"/>
    </row>
    <row r="181" customFormat="false" ht="15" hidden="false" customHeight="false" outlineLevel="0" collapsed="false">
      <c r="A181" s="195" t="s">
        <v>208</v>
      </c>
      <c r="B181" s="195"/>
      <c r="C181" s="195" t="n">
        <v>3</v>
      </c>
      <c r="D181" s="195" t="n">
        <v>4</v>
      </c>
      <c r="E181" s="196" t="n">
        <v>5</v>
      </c>
      <c r="F181" s="195" t="n">
        <v>6</v>
      </c>
      <c r="G181" s="195" t="n">
        <v>7</v>
      </c>
      <c r="H181" s="195" t="n">
        <v>8</v>
      </c>
      <c r="I181" s="195" t="n">
        <v>9</v>
      </c>
      <c r="J181" s="195" t="n">
        <v>10</v>
      </c>
      <c r="K181" s="195" t="n">
        <v>11</v>
      </c>
      <c r="L181" s="195" t="n">
        <v>12</v>
      </c>
      <c r="M181" s="184" t="n">
        <v>13</v>
      </c>
      <c r="N181" s="184" t="n">
        <v>14</v>
      </c>
      <c r="O181" s="184" t="n">
        <v>15</v>
      </c>
      <c r="P181" s="196" t="n">
        <v>16</v>
      </c>
      <c r="Q181" s="184" t="n">
        <v>15</v>
      </c>
      <c r="R181" s="179"/>
    </row>
    <row r="182" customFormat="false" ht="15" hidden="false" customHeight="false" outlineLevel="0" collapsed="false">
      <c r="A182" s="330"/>
      <c r="B182" s="282" t="s">
        <v>161</v>
      </c>
      <c r="C182" s="262" t="n">
        <v>30243</v>
      </c>
      <c r="D182" s="262" t="n">
        <v>276449</v>
      </c>
      <c r="E182" s="201" t="n">
        <f aca="false">C182/D182*100-100</f>
        <v>-89.0601883168324</v>
      </c>
      <c r="F182" s="262" t="n">
        <v>639617</v>
      </c>
      <c r="G182" s="262" t="n">
        <v>757481</v>
      </c>
      <c r="H182" s="201" t="n">
        <f aca="false">F182/G182*100-100</f>
        <v>-15.55999424408</v>
      </c>
      <c r="I182" s="262" t="n">
        <v>809797</v>
      </c>
      <c r="J182" s="262" t="n">
        <v>857481</v>
      </c>
      <c r="K182" s="201" t="n">
        <f aca="false">I182/J182*100-100</f>
        <v>-5.56093954268374</v>
      </c>
      <c r="L182" s="262" t="n">
        <v>809797</v>
      </c>
      <c r="M182" s="262" t="n">
        <v>857481</v>
      </c>
      <c r="N182" s="201" t="n">
        <f aca="false">L182/M182*100-100</f>
        <v>-5.56093954268374</v>
      </c>
      <c r="O182" s="262" t="n">
        <v>127</v>
      </c>
      <c r="P182" s="262" t="n">
        <v>155</v>
      </c>
      <c r="Q182" s="262" t="n">
        <v>130</v>
      </c>
      <c r="R182" s="202" t="n">
        <f aca="false">O182*P182</f>
        <v>19685</v>
      </c>
    </row>
    <row r="183" customFormat="false" ht="15" hidden="false" customHeight="false" outlineLevel="0" collapsed="false">
      <c r="A183" s="330"/>
      <c r="B183" s="282" t="s">
        <v>162</v>
      </c>
      <c r="C183" s="200" t="n">
        <v>0</v>
      </c>
      <c r="D183" s="200" t="n">
        <v>0</v>
      </c>
      <c r="E183" s="201" t="n">
        <v>0</v>
      </c>
      <c r="F183" s="200" t="n">
        <v>0</v>
      </c>
      <c r="G183" s="200" t="n">
        <v>0</v>
      </c>
      <c r="H183" s="201" t="n">
        <v>0</v>
      </c>
      <c r="I183" s="200" t="n">
        <v>0</v>
      </c>
      <c r="J183" s="200" t="n">
        <v>0</v>
      </c>
      <c r="K183" s="201" t="n">
        <v>0</v>
      </c>
      <c r="L183" s="200" t="n">
        <v>0</v>
      </c>
      <c r="M183" s="200" t="n">
        <v>0</v>
      </c>
      <c r="N183" s="201" t="n">
        <v>0</v>
      </c>
      <c r="O183" s="203" t="n">
        <v>0</v>
      </c>
      <c r="P183" s="204" t="n">
        <v>0</v>
      </c>
      <c r="Q183" s="203" t="n">
        <v>0</v>
      </c>
      <c r="R183" s="202" t="n">
        <f aca="false">O183*P183</f>
        <v>0</v>
      </c>
    </row>
    <row r="184" customFormat="false" ht="15" hidden="false" customHeight="false" outlineLevel="0" collapsed="false">
      <c r="A184" s="330"/>
      <c r="B184" s="282" t="s">
        <v>163</v>
      </c>
      <c r="C184" s="348" t="n">
        <v>3461085.9160695</v>
      </c>
      <c r="D184" s="348" t="n">
        <v>2631767.3573215</v>
      </c>
      <c r="E184" s="201" t="n">
        <f aca="false">C184/D184*100-100</f>
        <v>31.5118491169389</v>
      </c>
      <c r="F184" s="348" t="n">
        <v>388160.0837697</v>
      </c>
      <c r="G184" s="348" t="n">
        <v>1030155.5637984</v>
      </c>
      <c r="H184" s="201" t="n">
        <f aca="false">F184/G184*100-100</f>
        <v>-62.3202458531144</v>
      </c>
      <c r="I184" s="348" t="n">
        <v>3461085.9160695</v>
      </c>
      <c r="J184" s="348" t="n">
        <v>2631767.3573215</v>
      </c>
      <c r="K184" s="201" t="n">
        <f aca="false">I184/J184*100-100</f>
        <v>31.5118491169389</v>
      </c>
      <c r="L184" s="348" t="n">
        <v>3461085.9160695</v>
      </c>
      <c r="M184" s="348" t="n">
        <v>2631767.3573215</v>
      </c>
      <c r="N184" s="201" t="n">
        <f aca="false">L184/M184*100-100</f>
        <v>31.5118491169389</v>
      </c>
      <c r="O184" s="262" t="n">
        <v>102</v>
      </c>
      <c r="P184" s="286" t="n">
        <v>180</v>
      </c>
      <c r="Q184" s="262" t="n">
        <v>97</v>
      </c>
      <c r="R184" s="202" t="n">
        <f aca="false">O184*P184</f>
        <v>18360</v>
      </c>
    </row>
    <row r="185" customFormat="false" ht="15" hidden="false" customHeight="false" outlineLevel="0" collapsed="false">
      <c r="A185" s="330"/>
      <c r="B185" s="282" t="s">
        <v>164</v>
      </c>
      <c r="C185" s="262" t="n">
        <v>636222</v>
      </c>
      <c r="D185" s="262" t="n">
        <v>442367</v>
      </c>
      <c r="E185" s="201" t="n">
        <f aca="false">C185/D185*100-100</f>
        <v>43.8222109696248</v>
      </c>
      <c r="F185" s="349" t="n">
        <v>26019</v>
      </c>
      <c r="G185" s="349" t="n">
        <v>22124</v>
      </c>
      <c r="H185" s="201" t="n">
        <f aca="false">F185/G185*100-100</f>
        <v>17.6053154944856</v>
      </c>
      <c r="I185" s="262" t="n">
        <v>609270</v>
      </c>
      <c r="J185" s="262" t="n">
        <v>680635</v>
      </c>
      <c r="K185" s="201" t="n">
        <f aca="false">I185/J185*100-100</f>
        <v>-10.4850617438128</v>
      </c>
      <c r="L185" s="262" t="n">
        <v>609270</v>
      </c>
      <c r="M185" s="262" t="n">
        <v>680635</v>
      </c>
      <c r="N185" s="201" t="n">
        <f aca="false">L185/M185*100-100</f>
        <v>-10.4850617438128</v>
      </c>
      <c r="O185" s="262" t="n">
        <v>34</v>
      </c>
      <c r="P185" s="262" t="n">
        <v>56</v>
      </c>
      <c r="Q185" s="262" t="n">
        <v>36</v>
      </c>
      <c r="R185" s="202" t="n">
        <f aca="false">O185*P185</f>
        <v>1904</v>
      </c>
    </row>
    <row r="186" customFormat="false" ht="15" hidden="false" customHeight="false" outlineLevel="0" collapsed="false">
      <c r="A186" s="330"/>
      <c r="B186" s="282" t="s">
        <v>166</v>
      </c>
      <c r="C186" s="262" t="n">
        <v>2325703</v>
      </c>
      <c r="D186" s="262" t="n">
        <v>1718749</v>
      </c>
      <c r="E186" s="201" t="n">
        <f aca="false">C186/D186*100-100</f>
        <v>35.3137078188846</v>
      </c>
      <c r="F186" s="262" t="n">
        <v>436257</v>
      </c>
      <c r="G186" s="262" t="n">
        <v>265962</v>
      </c>
      <c r="H186" s="201" t="n">
        <f aca="false">F186/G186*100-100</f>
        <v>64.0298238094164</v>
      </c>
      <c r="I186" s="262" t="n">
        <v>2279755</v>
      </c>
      <c r="J186" s="262" t="n">
        <v>1710958</v>
      </c>
      <c r="K186" s="201" t="n">
        <f aca="false">I186/J186*100-100</f>
        <v>33.2443578392924</v>
      </c>
      <c r="L186" s="262" t="n">
        <v>2279276</v>
      </c>
      <c r="M186" s="262" t="n">
        <v>1697530</v>
      </c>
      <c r="N186" s="201" t="n">
        <f aca="false">L186/M186*100-100</f>
        <v>34.2701454466195</v>
      </c>
      <c r="O186" s="262" t="n">
        <v>36</v>
      </c>
      <c r="P186" s="262" t="n">
        <v>110</v>
      </c>
      <c r="Q186" s="262" t="n">
        <v>36</v>
      </c>
      <c r="R186" s="202" t="n">
        <f aca="false">O186*P186</f>
        <v>3960</v>
      </c>
    </row>
    <row r="187" customFormat="false" ht="15" hidden="false" customHeight="false" outlineLevel="0" collapsed="false">
      <c r="A187" s="330"/>
      <c r="B187" s="282" t="s">
        <v>167</v>
      </c>
      <c r="C187" s="207" t="n">
        <v>411977</v>
      </c>
      <c r="D187" s="350" t="n">
        <v>494023.1408191</v>
      </c>
      <c r="E187" s="201" t="n">
        <v>0</v>
      </c>
      <c r="F187" s="207" t="n">
        <v>0</v>
      </c>
      <c r="G187" s="350" t="n">
        <v>82045.9487</v>
      </c>
      <c r="H187" s="201" t="n">
        <f aca="false">F187/G187*100-100</f>
        <v>-100</v>
      </c>
      <c r="I187" s="207" t="n">
        <v>411977</v>
      </c>
      <c r="J187" s="350" t="n">
        <v>494023.1408191</v>
      </c>
      <c r="K187" s="201" t="n">
        <f aca="false">I187/J187*100-100</f>
        <v>-16.6077525605513</v>
      </c>
      <c r="L187" s="207" t="n">
        <v>411977</v>
      </c>
      <c r="M187" s="350" t="n">
        <v>494023.1408191</v>
      </c>
      <c r="N187" s="201" t="n">
        <f aca="false">L187/M187*100-100</f>
        <v>-16.6077525605513</v>
      </c>
      <c r="O187" s="236" t="n">
        <v>3</v>
      </c>
      <c r="P187" s="236" t="n">
        <v>143</v>
      </c>
      <c r="Q187" s="236" t="n">
        <v>42</v>
      </c>
      <c r="R187" s="202" t="n">
        <f aca="false">O187*P187</f>
        <v>429</v>
      </c>
    </row>
    <row r="188" customFormat="false" ht="15" hidden="false" customHeight="false" outlineLevel="0" collapsed="false">
      <c r="A188" s="330"/>
      <c r="B188" s="282" t="s">
        <v>168</v>
      </c>
      <c r="C188" s="262" t="n">
        <v>0</v>
      </c>
      <c r="D188" s="236" t="n">
        <v>0</v>
      </c>
      <c r="E188" s="201" t="n">
        <v>0</v>
      </c>
      <c r="F188" s="262" t="n">
        <v>0</v>
      </c>
      <c r="G188" s="236" t="n">
        <v>0</v>
      </c>
      <c r="H188" s="201" t="n">
        <v>0</v>
      </c>
      <c r="I188" s="262" t="n">
        <v>0</v>
      </c>
      <c r="J188" s="236" t="n">
        <v>0</v>
      </c>
      <c r="K188" s="201" t="n">
        <v>0</v>
      </c>
      <c r="L188" s="262" t="n">
        <v>0</v>
      </c>
      <c r="M188" s="236" t="n">
        <v>0</v>
      </c>
      <c r="N188" s="201" t="n">
        <v>0</v>
      </c>
      <c r="O188" s="262" t="n">
        <v>0</v>
      </c>
      <c r="P188" s="262" t="n">
        <v>0</v>
      </c>
      <c r="Q188" s="262" t="n">
        <v>0</v>
      </c>
      <c r="R188" s="202" t="n">
        <f aca="false">O188*P188</f>
        <v>0</v>
      </c>
    </row>
    <row r="189" customFormat="false" ht="15" hidden="false" customHeight="false" outlineLevel="0" collapsed="false">
      <c r="A189" s="215" t="s">
        <v>209</v>
      </c>
      <c r="B189" s="215" t="s">
        <v>154</v>
      </c>
      <c r="C189" s="237" t="n">
        <f aca="false">SUM(C182:C188)</f>
        <v>6865230.9160695</v>
      </c>
      <c r="D189" s="237" t="n">
        <f aca="false">SUM(D182:D188)</f>
        <v>5563355.4981406</v>
      </c>
      <c r="E189" s="313" t="n">
        <f aca="false">C189/D189*100-100</f>
        <v>23.4009028968941</v>
      </c>
      <c r="F189" s="237" t="n">
        <f aca="false">SUM(F182:F188)</f>
        <v>1490053.0837697</v>
      </c>
      <c r="G189" s="237" t="n">
        <f aca="false">SUM(G182:G188)</f>
        <v>2157768.5124984</v>
      </c>
      <c r="H189" s="313" t="n">
        <f aca="false">F189/G189*100-100</f>
        <v>-30.9447201987194</v>
      </c>
      <c r="I189" s="237" t="n">
        <f aca="false">SUM(I182:I188)</f>
        <v>7571884.9160695</v>
      </c>
      <c r="J189" s="237" t="n">
        <f aca="false">SUM(J182:J188)</f>
        <v>6374864.4981406</v>
      </c>
      <c r="K189" s="313" t="n">
        <f aca="false">I189/J189*100-100</f>
        <v>18.7771899822819</v>
      </c>
      <c r="L189" s="237" t="n">
        <f aca="false">SUM(L182:L188)</f>
        <v>7571405.9160695</v>
      </c>
      <c r="M189" s="216" t="n">
        <f aca="false">SUM(M182:M188)</f>
        <v>6361436.4981406</v>
      </c>
      <c r="N189" s="313" t="n">
        <f aca="false">L189/M189*100-100</f>
        <v>19.0203803540688</v>
      </c>
      <c r="O189" s="237" t="n">
        <f aca="false">SUM(O182:O188)</f>
        <v>302</v>
      </c>
      <c r="P189" s="217" t="n">
        <f aca="false">R189/O189</f>
        <v>146.814569536424</v>
      </c>
      <c r="Q189" s="237" t="n">
        <f aca="false">SUM(Q182:Q188)</f>
        <v>341</v>
      </c>
      <c r="R189" s="232" t="n">
        <f aca="false">SUM(R182:R188)</f>
        <v>44338</v>
      </c>
    </row>
    <row r="190" customFormat="false" ht="15" hidden="false" customHeight="true" outlineLevel="0" collapsed="false">
      <c r="A190" s="330"/>
      <c r="B190" s="282"/>
      <c r="C190" s="262"/>
      <c r="D190" s="236"/>
      <c r="E190" s="201"/>
      <c r="F190" s="262"/>
      <c r="G190" s="236"/>
      <c r="H190" s="201"/>
      <c r="I190" s="262"/>
      <c r="J190" s="236"/>
      <c r="K190" s="201"/>
      <c r="L190" s="262"/>
      <c r="M190" s="236"/>
      <c r="N190" s="201"/>
      <c r="O190" s="262"/>
      <c r="P190" s="262"/>
      <c r="Q190" s="262"/>
      <c r="R190" s="202"/>
    </row>
    <row r="191" customFormat="false" ht="15" hidden="false" customHeight="false" outlineLevel="0" collapsed="false">
      <c r="A191" s="274"/>
      <c r="B191" s="331" t="s">
        <v>210</v>
      </c>
      <c r="C191" s="262"/>
      <c r="D191" s="262"/>
      <c r="E191" s="201"/>
      <c r="F191" s="262"/>
      <c r="G191" s="262"/>
      <c r="H191" s="201"/>
      <c r="I191" s="262"/>
      <c r="J191" s="262"/>
      <c r="K191" s="201"/>
      <c r="L191" s="262"/>
      <c r="M191" s="262"/>
      <c r="N191" s="201"/>
      <c r="O191" s="262"/>
      <c r="P191" s="262"/>
      <c r="Q191" s="262"/>
      <c r="R191" s="202"/>
    </row>
    <row r="192" customFormat="false" ht="15" hidden="false" customHeight="false" outlineLevel="0" collapsed="false">
      <c r="A192" s="274"/>
      <c r="B192" s="282" t="s">
        <v>160</v>
      </c>
      <c r="C192" s="262" t="n">
        <v>2085</v>
      </c>
      <c r="D192" s="262" t="n">
        <v>278</v>
      </c>
      <c r="E192" s="201" t="n">
        <v>0</v>
      </c>
      <c r="F192" s="262" t="n">
        <v>104</v>
      </c>
      <c r="G192" s="262" t="n">
        <v>0</v>
      </c>
      <c r="H192" s="201" t="n">
        <v>0</v>
      </c>
      <c r="I192" s="262" t="n">
        <v>32800</v>
      </c>
      <c r="J192" s="262" t="n">
        <v>20763</v>
      </c>
      <c r="K192" s="201" t="n">
        <f aca="false">I192/J192*100-100</f>
        <v>57.9733179213023</v>
      </c>
      <c r="L192" s="262" t="n">
        <v>0</v>
      </c>
      <c r="M192" s="262" t="n">
        <v>0</v>
      </c>
      <c r="N192" s="201" t="n">
        <v>0</v>
      </c>
      <c r="O192" s="262" t="n">
        <v>84</v>
      </c>
      <c r="P192" s="262" t="n">
        <v>124</v>
      </c>
      <c r="Q192" s="262" t="n">
        <v>84</v>
      </c>
      <c r="R192" s="202" t="n">
        <f aca="false">O192*P192</f>
        <v>10416</v>
      </c>
    </row>
    <row r="193" customFormat="false" ht="15" hidden="false" customHeight="false" outlineLevel="0" collapsed="false">
      <c r="A193" s="284" t="n">
        <v>6</v>
      </c>
      <c r="B193" s="282" t="s">
        <v>165</v>
      </c>
      <c r="C193" s="200" t="n">
        <v>0</v>
      </c>
      <c r="D193" s="200" t="n">
        <v>0</v>
      </c>
      <c r="E193" s="201" t="n">
        <v>0</v>
      </c>
      <c r="F193" s="200" t="n">
        <v>0</v>
      </c>
      <c r="G193" s="200" t="n">
        <v>0</v>
      </c>
      <c r="H193" s="201" t="n">
        <v>0</v>
      </c>
      <c r="I193" s="200" t="n">
        <v>0</v>
      </c>
      <c r="J193" s="200" t="n">
        <v>0</v>
      </c>
      <c r="K193" s="201" t="n">
        <v>0</v>
      </c>
      <c r="L193" s="200" t="n">
        <v>0</v>
      </c>
      <c r="M193" s="200" t="n">
        <v>0</v>
      </c>
      <c r="N193" s="201" t="n">
        <v>0</v>
      </c>
      <c r="O193" s="203" t="n">
        <v>0</v>
      </c>
      <c r="P193" s="204" t="n">
        <v>0</v>
      </c>
      <c r="Q193" s="203" t="n">
        <v>0</v>
      </c>
      <c r="R193" s="202" t="n">
        <f aca="false">O193*P193</f>
        <v>0</v>
      </c>
    </row>
    <row r="194" customFormat="false" ht="15" hidden="false" customHeight="false" outlineLevel="0" collapsed="false">
      <c r="A194" s="284" t="n">
        <v>10</v>
      </c>
      <c r="B194" s="282" t="s">
        <v>169</v>
      </c>
      <c r="C194" s="262" t="n">
        <v>529250</v>
      </c>
      <c r="D194" s="262" t="n">
        <v>132010</v>
      </c>
      <c r="E194" s="223" t="n">
        <f aca="false">C194/D194*100-100</f>
        <v>300.916597227483</v>
      </c>
      <c r="F194" s="262" t="n">
        <v>130583</v>
      </c>
      <c r="G194" s="262" t="n">
        <v>0</v>
      </c>
      <c r="H194" s="223" t="n">
        <v>0</v>
      </c>
      <c r="I194" s="262" t="n">
        <v>529250</v>
      </c>
      <c r="J194" s="262" t="n">
        <v>132010</v>
      </c>
      <c r="K194" s="201" t="n">
        <f aca="false">I194/J194*100-100</f>
        <v>300.916597227483</v>
      </c>
      <c r="L194" s="262" t="n">
        <v>529250</v>
      </c>
      <c r="M194" s="262" t="n">
        <v>132010</v>
      </c>
      <c r="N194" s="201" t="n">
        <f aca="false">L194/M194*100-100</f>
        <v>300.916597227483</v>
      </c>
      <c r="O194" s="262" t="n">
        <v>30</v>
      </c>
      <c r="P194" s="262" t="n">
        <v>50</v>
      </c>
      <c r="Q194" s="262" t="n">
        <v>29</v>
      </c>
      <c r="R194" s="202" t="n">
        <f aca="false">O194*P194</f>
        <v>1500</v>
      </c>
    </row>
    <row r="195" customFormat="false" ht="15" hidden="false" customHeight="false" outlineLevel="0" collapsed="false">
      <c r="A195" s="215" t="s">
        <v>170</v>
      </c>
      <c r="B195" s="215" t="s">
        <v>154</v>
      </c>
      <c r="C195" s="237" t="n">
        <f aca="false">SUM(C191:C194)</f>
        <v>531335</v>
      </c>
      <c r="D195" s="237" t="n">
        <f aca="false">SUM(D191:D194)</f>
        <v>132288</v>
      </c>
      <c r="E195" s="332" t="n">
        <f aca="false">C195/D195*100-100</f>
        <v>301.650187469763</v>
      </c>
      <c r="F195" s="237" t="n">
        <f aca="false">SUM(F191:F194)</f>
        <v>130687</v>
      </c>
      <c r="G195" s="237" t="n">
        <f aca="false">SUM(G191:G194)</f>
        <v>0</v>
      </c>
      <c r="H195" s="313" t="n">
        <v>0</v>
      </c>
      <c r="I195" s="237" t="n">
        <f aca="false">SUM(I191:I194)</f>
        <v>562050</v>
      </c>
      <c r="J195" s="237" t="n">
        <f aca="false">SUM(J191:J194)</f>
        <v>152773</v>
      </c>
      <c r="K195" s="313" t="n">
        <f aca="false">I195/J195*100-100</f>
        <v>267.898777925419</v>
      </c>
      <c r="L195" s="237" t="n">
        <f aca="false">SUM(L191:L194)</f>
        <v>529250</v>
      </c>
      <c r="M195" s="216" t="n">
        <f aca="false">SUM(M191:M194)</f>
        <v>132010</v>
      </c>
      <c r="N195" s="313" t="n">
        <f aca="false">L195/M195*100-100</f>
        <v>300.916597227483</v>
      </c>
      <c r="O195" s="237" t="n">
        <f aca="false">SUM(O191:O194)</f>
        <v>114</v>
      </c>
      <c r="P195" s="217" t="n">
        <f aca="false">R195/O195</f>
        <v>104.526315789474</v>
      </c>
      <c r="Q195" s="237" t="n">
        <f aca="false">SUM(Q191:Q194)</f>
        <v>113</v>
      </c>
      <c r="R195" s="232" t="n">
        <f aca="false">SUM(R191:R194)</f>
        <v>11916</v>
      </c>
    </row>
    <row r="196" customFormat="false" ht="15" hidden="false" customHeight="false" outlineLevel="0" collapsed="false">
      <c r="A196" s="325"/>
      <c r="B196" s="325" t="s">
        <v>211</v>
      </c>
      <c r="C196" s="320" t="n">
        <f aca="false">C189+C195</f>
        <v>7396565.9160695</v>
      </c>
      <c r="D196" s="320" t="n">
        <f aca="false">D189+D195</f>
        <v>5695643.4981406</v>
      </c>
      <c r="E196" s="310" t="n">
        <f aca="false">C196/D196*100-100</f>
        <v>29.8635688572184</v>
      </c>
      <c r="F196" s="320" t="n">
        <f aca="false">F189+F195</f>
        <v>1620740.0837697</v>
      </c>
      <c r="G196" s="320" t="n">
        <f aca="false">G189+G195</f>
        <v>2157768.5124984</v>
      </c>
      <c r="H196" s="310" t="n">
        <f aca="false">F196/G196*100-100</f>
        <v>-24.8881390945359</v>
      </c>
      <c r="I196" s="320" t="n">
        <f aca="false">I189+I195</f>
        <v>8133934.9160695</v>
      </c>
      <c r="J196" s="320" t="n">
        <f aca="false">J189+J195</f>
        <v>6527637.4981406</v>
      </c>
      <c r="K196" s="310" t="n">
        <f aca="false">I196/J196*100-100</f>
        <v>24.6076381904855</v>
      </c>
      <c r="L196" s="320" t="n">
        <f aca="false">L189+L195</f>
        <v>8100655.9160695</v>
      </c>
      <c r="M196" s="320" t="n">
        <f aca="false">M189+M195</f>
        <v>6493446.4981406</v>
      </c>
      <c r="N196" s="310" t="n">
        <f aca="false">L196/M196*100-100</f>
        <v>24.7512537200256</v>
      </c>
      <c r="O196" s="320" t="n">
        <f aca="false">O189+O195</f>
        <v>416</v>
      </c>
      <c r="P196" s="321" t="n">
        <f aca="false">R196/O196</f>
        <v>135.225961538462</v>
      </c>
      <c r="Q196" s="320" t="n">
        <f aca="false">Q189+Q195</f>
        <v>454</v>
      </c>
      <c r="R196" s="320" t="n">
        <f aca="false">R189+R195</f>
        <v>56254</v>
      </c>
    </row>
    <row r="197" customFormat="false" ht="21" hidden="false" customHeight="true" outlineLevel="0" collapsed="false">
      <c r="A197" s="333"/>
      <c r="B197" s="334"/>
      <c r="C197" s="287"/>
      <c r="D197" s="287"/>
      <c r="E197" s="283"/>
      <c r="F197" s="288"/>
      <c r="G197" s="288"/>
      <c r="H197" s="283"/>
      <c r="I197" s="203"/>
      <c r="J197" s="203"/>
      <c r="K197" s="289"/>
      <c r="L197" s="203"/>
      <c r="M197" s="203"/>
      <c r="N197" s="203"/>
      <c r="O197" s="203"/>
      <c r="P197" s="219"/>
      <c r="Q197" s="203"/>
      <c r="R197" s="189"/>
    </row>
    <row r="198" customFormat="false" ht="15" hidden="false" customHeight="false" outlineLevel="0" collapsed="false">
      <c r="A198" s="333"/>
      <c r="B198" s="270" t="s">
        <v>171</v>
      </c>
      <c r="C198" s="270"/>
      <c r="D198" s="287"/>
      <c r="E198" s="283"/>
      <c r="F198" s="288"/>
      <c r="G198" s="288"/>
      <c r="H198" s="283"/>
      <c r="I198" s="203"/>
      <c r="J198" s="203"/>
      <c r="K198" s="289"/>
      <c r="L198" s="203"/>
      <c r="M198" s="203"/>
      <c r="N198" s="203"/>
      <c r="O198" s="203"/>
      <c r="P198" s="219"/>
      <c r="Q198" s="203"/>
      <c r="R198" s="189"/>
    </row>
    <row r="199" customFormat="false" ht="15" hidden="false" customHeight="false" outlineLevel="0" collapsed="false">
      <c r="A199" s="270"/>
      <c r="B199" s="270"/>
      <c r="C199" s="195" t="n">
        <v>3</v>
      </c>
      <c r="D199" s="195" t="n">
        <v>4</v>
      </c>
      <c r="E199" s="196" t="n">
        <v>5</v>
      </c>
      <c r="F199" s="195" t="n">
        <v>6</v>
      </c>
      <c r="G199" s="195" t="n">
        <v>7</v>
      </c>
      <c r="H199" s="195" t="n">
        <v>8</v>
      </c>
      <c r="I199" s="195" t="n">
        <v>9</v>
      </c>
      <c r="J199" s="195" t="n">
        <v>10</v>
      </c>
      <c r="K199" s="195" t="n">
        <v>11</v>
      </c>
      <c r="L199" s="195" t="n">
        <v>12</v>
      </c>
      <c r="M199" s="195" t="n">
        <v>13</v>
      </c>
      <c r="N199" s="195" t="n">
        <v>14</v>
      </c>
      <c r="O199" s="195" t="n">
        <v>15</v>
      </c>
      <c r="P199" s="196" t="n">
        <v>16</v>
      </c>
      <c r="Q199" s="195" t="n">
        <v>15</v>
      </c>
      <c r="R199" s="189"/>
    </row>
    <row r="200" customFormat="false" ht="15" hidden="false" customHeight="false" outlineLevel="0" collapsed="false">
      <c r="A200" s="288" t="n">
        <v>1</v>
      </c>
      <c r="B200" s="290" t="s">
        <v>172</v>
      </c>
      <c r="C200" s="351" t="n">
        <v>397520.1</v>
      </c>
      <c r="D200" s="352" t="n">
        <v>509486.7</v>
      </c>
      <c r="E200" s="353" t="n">
        <f aca="false">C200/D200*100-100</f>
        <v>-21.9763538479022</v>
      </c>
      <c r="F200" s="351" t="n">
        <v>58822.8</v>
      </c>
      <c r="G200" s="352" t="n">
        <v>66762.6</v>
      </c>
      <c r="H200" s="353" t="n">
        <f aca="false">F200/G200*100-100</f>
        <v>-11.8925865679288</v>
      </c>
      <c r="I200" s="352" t="n">
        <v>200941.2</v>
      </c>
      <c r="J200" s="352" t="n">
        <v>402419.3</v>
      </c>
      <c r="K200" s="353" t="n">
        <f aca="false">I200/J200*100-100</f>
        <v>-50.0667090271267</v>
      </c>
      <c r="L200" s="351" t="n">
        <v>0</v>
      </c>
      <c r="M200" s="351" t="n">
        <v>0</v>
      </c>
      <c r="N200" s="354" t="n">
        <v>0</v>
      </c>
      <c r="O200" s="351" t="n">
        <v>302</v>
      </c>
      <c r="P200" s="352" t="n">
        <v>288</v>
      </c>
      <c r="Q200" s="351" t="n">
        <v>291</v>
      </c>
      <c r="R200" s="234" t="n">
        <f aca="false">O200*P200</f>
        <v>86976</v>
      </c>
    </row>
    <row r="201" customFormat="false" ht="15" hidden="false" customHeight="false" outlineLevel="0" collapsed="false">
      <c r="A201" s="288" t="n">
        <v>2</v>
      </c>
      <c r="B201" s="290" t="s">
        <v>173</v>
      </c>
      <c r="C201" s="355" t="n">
        <v>75187</v>
      </c>
      <c r="D201" s="355" t="n">
        <v>76732</v>
      </c>
      <c r="E201" s="353" t="n">
        <f aca="false">C201/D201*100-100</f>
        <v>-2.01350153781993</v>
      </c>
      <c r="F201" s="355" t="n">
        <v>11641</v>
      </c>
      <c r="G201" s="355" t="n">
        <v>11889</v>
      </c>
      <c r="H201" s="353" t="n">
        <f aca="false">F201/G201*100-100</f>
        <v>-2.08596181344099</v>
      </c>
      <c r="I201" s="356" t="n">
        <v>0</v>
      </c>
      <c r="J201" s="356" t="n">
        <v>0</v>
      </c>
      <c r="K201" s="353" t="n">
        <v>0</v>
      </c>
      <c r="L201" s="356" t="n">
        <v>0</v>
      </c>
      <c r="M201" s="356" t="n">
        <v>0</v>
      </c>
      <c r="N201" s="354" t="n">
        <f aca="false">IF(OR(L201=0,M201=0),0,L201/M201*100)</f>
        <v>0</v>
      </c>
      <c r="O201" s="356" t="n">
        <v>86</v>
      </c>
      <c r="P201" s="357" t="n">
        <v>105.5</v>
      </c>
      <c r="Q201" s="356" t="n">
        <v>87</v>
      </c>
      <c r="R201" s="234" t="n">
        <f aca="false">O201*P201</f>
        <v>9073</v>
      </c>
    </row>
    <row r="202" customFormat="false" ht="28.5" hidden="false" customHeight="true" outlineLevel="0" collapsed="false">
      <c r="A202" s="291" t="n">
        <v>3</v>
      </c>
      <c r="B202" s="292" t="s">
        <v>174</v>
      </c>
      <c r="C202" s="358" t="n">
        <v>776</v>
      </c>
      <c r="D202" s="359" t="n">
        <v>639</v>
      </c>
      <c r="E202" s="353" t="n">
        <f aca="false">C202/D202*100-100</f>
        <v>21.4397496087637</v>
      </c>
      <c r="F202" s="356" t="n">
        <v>120</v>
      </c>
      <c r="G202" s="356" t="n">
        <v>125</v>
      </c>
      <c r="H202" s="353" t="n">
        <f aca="false">F202/G202*100-100</f>
        <v>-4</v>
      </c>
      <c r="I202" s="354" t="n">
        <v>776</v>
      </c>
      <c r="J202" s="359" t="n">
        <v>639</v>
      </c>
      <c r="K202" s="353" t="n">
        <f aca="false">I202/J202*100-100</f>
        <v>21.4397496087637</v>
      </c>
      <c r="L202" s="356" t="n">
        <v>0</v>
      </c>
      <c r="M202" s="356" t="n">
        <v>0</v>
      </c>
      <c r="N202" s="354" t="n">
        <f aca="false">IF(OR(L202=0,M202=0),0,L202/M202*100)</f>
        <v>0</v>
      </c>
      <c r="O202" s="356" t="n">
        <v>30</v>
      </c>
      <c r="P202" s="357" t="n">
        <v>28.8</v>
      </c>
      <c r="Q202" s="356" t="n">
        <v>30</v>
      </c>
      <c r="R202" s="294" t="n">
        <f aca="false">O202*P202</f>
        <v>864</v>
      </c>
    </row>
    <row r="203" customFormat="false" ht="15" hidden="false" customHeight="false" outlineLevel="0" collapsed="false">
      <c r="A203" s="288" t="n">
        <v>4</v>
      </c>
      <c r="B203" s="296" t="s">
        <v>175</v>
      </c>
      <c r="C203" s="356" t="n">
        <v>20346</v>
      </c>
      <c r="D203" s="356" t="n">
        <v>10450</v>
      </c>
      <c r="E203" s="353" t="n">
        <f aca="false">C203/D203*100-100</f>
        <v>94.6985645933014</v>
      </c>
      <c r="F203" s="356" t="n">
        <v>2738</v>
      </c>
      <c r="G203" s="356" t="n">
        <v>4601</v>
      </c>
      <c r="H203" s="353" t="n">
        <f aca="false">F203/G203*100-100</f>
        <v>-40.4911975657466</v>
      </c>
      <c r="I203" s="356" t="n">
        <v>0</v>
      </c>
      <c r="J203" s="356" t="n">
        <v>0</v>
      </c>
      <c r="K203" s="353" t="n">
        <v>0</v>
      </c>
      <c r="L203" s="356" t="n">
        <v>0</v>
      </c>
      <c r="M203" s="356" t="n">
        <v>0</v>
      </c>
      <c r="N203" s="354" t="n">
        <f aca="false">IF(OR(L203=0,M203=0),0,L203/M203*100)</f>
        <v>0</v>
      </c>
      <c r="O203" s="356" t="n">
        <v>17</v>
      </c>
      <c r="P203" s="357" t="n">
        <v>61</v>
      </c>
      <c r="Q203" s="356" t="n">
        <v>17</v>
      </c>
      <c r="R203" s="202" t="n">
        <f aca="false">O203*P203</f>
        <v>1037</v>
      </c>
    </row>
    <row r="204" customFormat="false" ht="15" hidden="false" customHeight="false" outlineLevel="0" collapsed="false">
      <c r="A204" s="288" t="n">
        <v>5</v>
      </c>
      <c r="B204" s="297" t="s">
        <v>176</v>
      </c>
      <c r="C204" s="357" t="n">
        <v>7050</v>
      </c>
      <c r="D204" s="357" t="n">
        <v>6890</v>
      </c>
      <c r="E204" s="353" t="n">
        <f aca="false">C204/D204*100-100</f>
        <v>2.32220609579099</v>
      </c>
      <c r="F204" s="357" t="n">
        <v>1060</v>
      </c>
      <c r="G204" s="357" t="n">
        <v>1025</v>
      </c>
      <c r="H204" s="353" t="n">
        <f aca="false">F204/G204*100-100</f>
        <v>3.41463414634147</v>
      </c>
      <c r="I204" s="360" t="n">
        <v>0</v>
      </c>
      <c r="J204" s="360" t="n">
        <v>0</v>
      </c>
      <c r="K204" s="353" t="n">
        <v>0</v>
      </c>
      <c r="L204" s="356" t="n">
        <v>0</v>
      </c>
      <c r="M204" s="356" t="n">
        <v>0</v>
      </c>
      <c r="N204" s="354" t="n">
        <f aca="false">IF(OR(L204=0,M204=0),0,L204/M204*100)</f>
        <v>0</v>
      </c>
      <c r="O204" s="356" t="n">
        <v>12</v>
      </c>
      <c r="P204" s="357" t="n">
        <v>80.8</v>
      </c>
      <c r="Q204" s="356" t="n">
        <v>12</v>
      </c>
      <c r="R204" s="202" t="n">
        <f aca="false">O204*P204</f>
        <v>969.6</v>
      </c>
    </row>
    <row r="205" customFormat="false" ht="15" hidden="false" customHeight="false" outlineLevel="0" collapsed="false">
      <c r="A205" s="288" t="n">
        <v>6</v>
      </c>
      <c r="B205" s="290" t="s">
        <v>177</v>
      </c>
      <c r="C205" s="357" t="n">
        <v>47980</v>
      </c>
      <c r="D205" s="356" t="n">
        <v>35498</v>
      </c>
      <c r="E205" s="353" t="n">
        <f aca="false">C205/D205*100-100</f>
        <v>35.1625443686968</v>
      </c>
      <c r="F205" s="357" t="n">
        <v>8900</v>
      </c>
      <c r="G205" s="357" t="n">
        <v>4050</v>
      </c>
      <c r="H205" s="353" t="n">
        <f aca="false">F205/G205*100-100</f>
        <v>119.753086419753</v>
      </c>
      <c r="I205" s="360" t="n">
        <v>38184</v>
      </c>
      <c r="J205" s="360" t="n">
        <v>18359</v>
      </c>
      <c r="K205" s="353" t="n">
        <f aca="false">I205/J205*100-100</f>
        <v>107.985184378234</v>
      </c>
      <c r="L205" s="356" t="n">
        <v>0</v>
      </c>
      <c r="M205" s="356" t="n">
        <v>0</v>
      </c>
      <c r="N205" s="354" t="n">
        <f aca="false">IF(OR(L205=0,M205=0),0,L205/M205*100)</f>
        <v>0</v>
      </c>
      <c r="O205" s="356" t="n">
        <v>24</v>
      </c>
      <c r="P205" s="357" t="n">
        <v>142.3</v>
      </c>
      <c r="Q205" s="356" t="n">
        <v>25</v>
      </c>
      <c r="R205" s="202" t="n">
        <f aca="false">O205*P205</f>
        <v>3415.2</v>
      </c>
    </row>
    <row r="206" customFormat="false" ht="15" hidden="false" customHeight="false" outlineLevel="0" collapsed="false">
      <c r="A206" s="288" t="n">
        <v>7</v>
      </c>
      <c r="B206" s="290" t="s">
        <v>178</v>
      </c>
      <c r="C206" s="356" t="n">
        <v>3595</v>
      </c>
      <c r="D206" s="356" t="n">
        <v>75662</v>
      </c>
      <c r="E206" s="353" t="n">
        <f aca="false">C206/D206*100-100</f>
        <v>-95.2486056408765</v>
      </c>
      <c r="F206" s="356" t="n">
        <v>1187</v>
      </c>
      <c r="G206" s="356" t="n">
        <v>21728</v>
      </c>
      <c r="H206" s="353" t="n">
        <f aca="false">F206/G206*100-100</f>
        <v>-94.5370029455081</v>
      </c>
      <c r="I206" s="356" t="n">
        <v>3595</v>
      </c>
      <c r="J206" s="356" t="n">
        <v>87546</v>
      </c>
      <c r="K206" s="353" t="n">
        <f aca="false">I206/J206*100-100</f>
        <v>-95.8935873712106</v>
      </c>
      <c r="L206" s="356" t="n">
        <v>3595</v>
      </c>
      <c r="M206" s="356" t="n">
        <v>87546</v>
      </c>
      <c r="N206" s="353" t="n">
        <f aca="false">L206/M206*100-100</f>
        <v>-95.8935873712106</v>
      </c>
      <c r="O206" s="356" t="n">
        <v>39</v>
      </c>
      <c r="P206" s="357" t="n">
        <v>85.5</v>
      </c>
      <c r="Q206" s="356" t="n">
        <v>31</v>
      </c>
      <c r="R206" s="202" t="n">
        <f aca="false">O206*P206</f>
        <v>3334.5</v>
      </c>
    </row>
    <row r="207" customFormat="false" ht="15" hidden="false" customHeight="false" outlineLevel="0" collapsed="false">
      <c r="A207" s="288" t="n">
        <v>8</v>
      </c>
      <c r="B207" s="290" t="s">
        <v>179</v>
      </c>
      <c r="C207" s="356" t="n">
        <v>2535</v>
      </c>
      <c r="D207" s="356" t="n">
        <v>4424</v>
      </c>
      <c r="E207" s="353" t="n">
        <f aca="false">C207/D207*100-100</f>
        <v>-42.6989150090416</v>
      </c>
      <c r="F207" s="356" t="n">
        <v>770</v>
      </c>
      <c r="G207" s="356" t="n">
        <v>1312</v>
      </c>
      <c r="H207" s="353" t="n">
        <f aca="false">F207/G207*100-100</f>
        <v>-41.3109756097561</v>
      </c>
      <c r="I207" s="356" t="n">
        <v>2355</v>
      </c>
      <c r="J207" s="356" t="n">
        <v>3084</v>
      </c>
      <c r="K207" s="353" t="n">
        <f aca="false">I207/J207*100-100</f>
        <v>-23.6381322957199</v>
      </c>
      <c r="L207" s="356" t="n">
        <v>0</v>
      </c>
      <c r="M207" s="356" t="n">
        <v>0</v>
      </c>
      <c r="N207" s="354" t="n">
        <f aca="false">IF(OR(L207=0,M207=0),0,L207/M207*100)</f>
        <v>0</v>
      </c>
      <c r="O207" s="356" t="n">
        <v>26</v>
      </c>
      <c r="P207" s="357" t="n">
        <v>68</v>
      </c>
      <c r="Q207" s="356" t="n">
        <v>26</v>
      </c>
      <c r="R207" s="234" t="n">
        <f aca="false">O207*P207</f>
        <v>1768</v>
      </c>
    </row>
    <row r="208" customFormat="false" ht="15" hidden="false" customHeight="false" outlineLevel="0" collapsed="false">
      <c r="A208" s="288" t="n">
        <v>9</v>
      </c>
      <c r="B208" s="301" t="s">
        <v>180</v>
      </c>
      <c r="C208" s="356" t="n">
        <v>9780</v>
      </c>
      <c r="D208" s="356" t="n">
        <v>13309</v>
      </c>
      <c r="E208" s="353" t="n">
        <f aca="false">C208/D208*100-100</f>
        <v>-26.5158915019911</v>
      </c>
      <c r="F208" s="356" t="n">
        <v>1380</v>
      </c>
      <c r="G208" s="356" t="n">
        <v>3049</v>
      </c>
      <c r="H208" s="353" t="n">
        <f aca="false">F208/G208*100-100</f>
        <v>-54.7392587733683</v>
      </c>
      <c r="I208" s="356" t="n">
        <v>9780</v>
      </c>
      <c r="J208" s="356" t="n">
        <v>13309</v>
      </c>
      <c r="K208" s="353" t="n">
        <f aca="false">I208/J208*100-100</f>
        <v>-26.5158915019911</v>
      </c>
      <c r="L208" s="356" t="n">
        <v>0</v>
      </c>
      <c r="M208" s="356" t="n">
        <v>0</v>
      </c>
      <c r="N208" s="354" t="n">
        <f aca="false">IF(OR(L208=0,M208=0),0,L208/M208*100)</f>
        <v>0</v>
      </c>
      <c r="O208" s="356" t="n">
        <v>14</v>
      </c>
      <c r="P208" s="357" t="n">
        <v>65.2</v>
      </c>
      <c r="Q208" s="356" t="n">
        <v>14</v>
      </c>
      <c r="R208" s="202" t="n">
        <f aca="false">O208*P208</f>
        <v>912.8</v>
      </c>
    </row>
    <row r="209" customFormat="false" ht="15" hidden="false" customHeight="false" outlineLevel="0" collapsed="false">
      <c r="A209" s="215" t="s">
        <v>170</v>
      </c>
      <c r="B209" s="215" t="s">
        <v>154</v>
      </c>
      <c r="C209" s="361" t="n">
        <f aca="false">SUM(C200:C208)</f>
        <v>564769.1</v>
      </c>
      <c r="D209" s="361" t="n">
        <f aca="false">SUM(D200:D208)</f>
        <v>733090.7</v>
      </c>
      <c r="E209" s="362" t="n">
        <f aca="false">C209/D209*100-100</f>
        <v>-22.9605422630515</v>
      </c>
      <c r="F209" s="361" t="n">
        <f aca="false">SUM(F200:F208)</f>
        <v>86618.8</v>
      </c>
      <c r="G209" s="361" t="n">
        <f aca="false">SUM(G200:G208)</f>
        <v>114541.6</v>
      </c>
      <c r="H209" s="362" t="n">
        <f aca="false">F209/G209*100-100</f>
        <v>-24.3778679536518</v>
      </c>
      <c r="I209" s="361" t="n">
        <f aca="false">SUM(I200:I208)</f>
        <v>255631.2</v>
      </c>
      <c r="J209" s="361" t="n">
        <f aca="false">SUM(J200:J208)</f>
        <v>525356.3</v>
      </c>
      <c r="K209" s="362" t="n">
        <f aca="false">I209/J209*100-100</f>
        <v>-51.3413658501859</v>
      </c>
      <c r="L209" s="361" t="n">
        <f aca="false">SUM(L200:L208)</f>
        <v>3595</v>
      </c>
      <c r="M209" s="361" t="n">
        <f aca="false">SUM(M200:M208)</f>
        <v>87546</v>
      </c>
      <c r="N209" s="362" t="n">
        <f aca="false">L209/M209*100-100</f>
        <v>-95.8935873712106</v>
      </c>
      <c r="O209" s="363" t="n">
        <f aca="false">SUM(O200:O208)</f>
        <v>550</v>
      </c>
      <c r="P209" s="363" t="n">
        <f aca="false">R209/O209</f>
        <v>197.000181818182</v>
      </c>
      <c r="Q209" s="363" t="n">
        <f aca="false">SUM(Q200:Q208)</f>
        <v>533</v>
      </c>
      <c r="R209" s="232" t="n">
        <f aca="false">SUM(R200:R208)</f>
        <v>108350.1</v>
      </c>
    </row>
    <row r="210" customFormat="false" ht="15" hidden="false" customHeight="false" outlineLevel="0" collapsed="false">
      <c r="A210" s="303"/>
      <c r="B210" s="195"/>
      <c r="C210" s="303"/>
      <c r="D210" s="303"/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3"/>
      <c r="P210" s="303"/>
      <c r="Q210" s="303"/>
      <c r="R210" s="304"/>
    </row>
    <row r="211" customFormat="false" ht="15" hidden="false" customHeight="false" outlineLevel="0" collapsed="false">
      <c r="A211" s="305" t="s">
        <v>181</v>
      </c>
      <c r="B211" s="305"/>
      <c r="C211" s="195" t="n">
        <v>3</v>
      </c>
      <c r="D211" s="195" t="n">
        <v>4</v>
      </c>
      <c r="E211" s="196" t="n">
        <v>5</v>
      </c>
      <c r="F211" s="195" t="n">
        <v>6</v>
      </c>
      <c r="G211" s="195" t="n">
        <v>7</v>
      </c>
      <c r="H211" s="195" t="n">
        <v>8</v>
      </c>
      <c r="I211" s="195" t="n">
        <v>9</v>
      </c>
      <c r="J211" s="195" t="n">
        <v>10</v>
      </c>
      <c r="K211" s="195" t="n">
        <v>11</v>
      </c>
      <c r="L211" s="195" t="n">
        <v>12</v>
      </c>
      <c r="M211" s="195" t="n">
        <v>13</v>
      </c>
      <c r="N211" s="195" t="n">
        <v>14</v>
      </c>
      <c r="O211" s="195" t="n">
        <v>15</v>
      </c>
      <c r="P211" s="196" t="n">
        <v>16</v>
      </c>
      <c r="Q211" s="195" t="n">
        <v>15</v>
      </c>
      <c r="R211" s="179"/>
    </row>
    <row r="212" customFormat="false" ht="15" hidden="false" customHeight="false" outlineLevel="0" collapsed="false">
      <c r="A212" s="262" t="n">
        <v>1</v>
      </c>
      <c r="B212" s="306" t="s">
        <v>182</v>
      </c>
      <c r="C212" s="207" t="n">
        <v>53000</v>
      </c>
      <c r="D212" s="207" t="n">
        <v>48396</v>
      </c>
      <c r="E212" s="201" t="n">
        <f aca="false">C212/D212*100-100</f>
        <v>9.51318290767833</v>
      </c>
      <c r="F212" s="207" t="n">
        <v>6728</v>
      </c>
      <c r="G212" s="207" t="n">
        <v>14552</v>
      </c>
      <c r="H212" s="201" t="n">
        <f aca="false">F212/G212*100-100</f>
        <v>-53.7658053875756</v>
      </c>
      <c r="I212" s="207" t="n">
        <v>53000</v>
      </c>
      <c r="J212" s="207" t="n">
        <v>48396</v>
      </c>
      <c r="K212" s="201" t="n">
        <f aca="false">I212/J212*100-100</f>
        <v>9.51318290767833</v>
      </c>
      <c r="L212" s="207" t="n">
        <v>53000</v>
      </c>
      <c r="M212" s="207" t="n">
        <v>48396</v>
      </c>
      <c r="N212" s="201" t="n">
        <f aca="false">L212/M212*100-100</f>
        <v>9.51318290767833</v>
      </c>
      <c r="O212" s="192" t="n">
        <v>49</v>
      </c>
      <c r="P212" s="262" t="n">
        <v>49</v>
      </c>
      <c r="Q212" s="192" t="n">
        <v>48</v>
      </c>
      <c r="R212" s="234" t="n">
        <f aca="false">O212*P212</f>
        <v>2401</v>
      </c>
    </row>
    <row r="213" customFormat="false" ht="15" hidden="false" customHeight="false" outlineLevel="0" collapsed="false">
      <c r="A213" s="262" t="n">
        <v>2</v>
      </c>
      <c r="B213" s="306" t="s">
        <v>183</v>
      </c>
      <c r="C213" s="207" t="n">
        <v>70394</v>
      </c>
      <c r="D213" s="207" t="n">
        <v>113679</v>
      </c>
      <c r="E213" s="201" t="n">
        <f aca="false">C213/D213*100-100</f>
        <v>-38.0765136920627</v>
      </c>
      <c r="F213" s="207" t="n">
        <v>35725</v>
      </c>
      <c r="G213" s="207" t="n">
        <v>14027</v>
      </c>
      <c r="H213" s="201" t="n">
        <f aca="false">F213/G213*100-100</f>
        <v>154.687388607685</v>
      </c>
      <c r="I213" s="207" t="n">
        <v>60847</v>
      </c>
      <c r="J213" s="207" t="n">
        <v>23666</v>
      </c>
      <c r="K213" s="201" t="n">
        <f aca="false">I213/J213*100-100</f>
        <v>157.107242457534</v>
      </c>
      <c r="L213" s="207" t="n">
        <v>10861</v>
      </c>
      <c r="M213" s="207" t="n">
        <v>0</v>
      </c>
      <c r="N213" s="201" t="n">
        <v>0</v>
      </c>
      <c r="O213" s="192" t="n">
        <v>176</v>
      </c>
      <c r="P213" s="262" t="n">
        <v>185</v>
      </c>
      <c r="Q213" s="192" t="n">
        <v>176</v>
      </c>
      <c r="R213" s="234" t="n">
        <f aca="false">O213*P213</f>
        <v>32560</v>
      </c>
    </row>
    <row r="214" customFormat="false" ht="15" hidden="false" customHeight="false" outlineLevel="0" collapsed="false">
      <c r="A214" s="215" t="s">
        <v>170</v>
      </c>
      <c r="B214" s="215" t="s">
        <v>154</v>
      </c>
      <c r="C214" s="216" t="n">
        <f aca="false">SUM(C212:C213)</f>
        <v>123394</v>
      </c>
      <c r="D214" s="216" t="n">
        <f aca="false">SUM(D212:D213)</f>
        <v>162075</v>
      </c>
      <c r="E214" s="313" t="n">
        <f aca="false">C214/D214*100-100</f>
        <v>-23.8661113681937</v>
      </c>
      <c r="F214" s="216" t="n">
        <f aca="false">SUM(F212:F213)</f>
        <v>42453</v>
      </c>
      <c r="G214" s="216" t="n">
        <f aca="false">SUM(G212:G213)</f>
        <v>28579</v>
      </c>
      <c r="H214" s="313" t="n">
        <f aca="false">F214/G214*100-100</f>
        <v>48.5461352741523</v>
      </c>
      <c r="I214" s="217" t="n">
        <f aca="false">SUM(I212:I213)</f>
        <v>113847</v>
      </c>
      <c r="J214" s="216" t="n">
        <f aca="false">SUM(J212:J213)</f>
        <v>72062</v>
      </c>
      <c r="K214" s="313" t="n">
        <f aca="false">I214/J214*100-100</f>
        <v>57.9847908745247</v>
      </c>
      <c r="L214" s="237" t="n">
        <f aca="false">SUM(L212:L213)</f>
        <v>63861</v>
      </c>
      <c r="M214" s="216" t="n">
        <f aca="false">SUM(M212:M213)</f>
        <v>48396</v>
      </c>
      <c r="N214" s="332" t="n">
        <f aca="false">L214/M214*100-100</f>
        <v>31.9551202578725</v>
      </c>
      <c r="O214" s="237" t="n">
        <f aca="false">SUM(O212:O213)</f>
        <v>225</v>
      </c>
      <c r="P214" s="237" t="n">
        <f aca="false">R214/O214</f>
        <v>155.382222222222</v>
      </c>
      <c r="Q214" s="237" t="n">
        <f aca="false">SUM(Q212:Q213)</f>
        <v>224</v>
      </c>
      <c r="R214" s="232" t="n">
        <f aca="false">SUM(R212:R213)</f>
        <v>34961</v>
      </c>
    </row>
  </sheetData>
  <mergeCells count="58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4:B54"/>
    <mergeCell ref="A56:B56"/>
    <mergeCell ref="A66:B66"/>
    <mergeCell ref="A68:B68"/>
    <mergeCell ref="A77:B77"/>
    <mergeCell ref="A78:B78"/>
    <mergeCell ref="A80:B80"/>
    <mergeCell ref="A91:B91"/>
    <mergeCell ref="A93:B93"/>
    <mergeCell ref="A119:B119"/>
    <mergeCell ref="A130:B130"/>
    <mergeCell ref="A132:B132"/>
    <mergeCell ref="A138:B138"/>
    <mergeCell ref="A148:B148"/>
    <mergeCell ref="A149:B149"/>
    <mergeCell ref="A159:B159"/>
    <mergeCell ref="B161:C161"/>
    <mergeCell ref="A162:B162"/>
    <mergeCell ref="A169:B169"/>
    <mergeCell ref="A177:B177"/>
    <mergeCell ref="A181:B181"/>
    <mergeCell ref="A189:B189"/>
    <mergeCell ref="A195:B195"/>
    <mergeCell ref="B198:C198"/>
    <mergeCell ref="A199:B199"/>
    <mergeCell ref="A209:B209"/>
    <mergeCell ref="A211:B211"/>
    <mergeCell ref="A214:B2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5"/>
  <sheetViews>
    <sheetView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O108" activeCellId="0" sqref="O108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5.42"/>
    <col collapsed="false" customWidth="true" hidden="false" outlineLevel="0" max="3" min="3" style="0" width="12.14"/>
    <col collapsed="false" customWidth="false" hidden="false" outlineLevel="0" max="4" min="4" style="0" width="11.43"/>
    <col collapsed="false" customWidth="true" hidden="false" outlineLevel="0" max="5" min="5" style="0" width="6"/>
    <col collapsed="false" customWidth="true" hidden="false" outlineLevel="0" max="6" min="6" style="0" width="10.57"/>
    <col collapsed="false" customWidth="true" hidden="false" outlineLevel="0" max="7" min="7" style="0" width="10.28"/>
    <col collapsed="false" customWidth="true" hidden="false" outlineLevel="0" max="8" min="8" style="0" width="5.85"/>
    <col collapsed="false" customWidth="true" hidden="false" outlineLevel="0" max="9" min="9" style="0" width="11.85"/>
    <col collapsed="false" customWidth="true" hidden="false" outlineLevel="0" max="10" min="10" style="0" width="11.71"/>
    <col collapsed="false" customWidth="true" hidden="false" outlineLevel="0" max="11" min="11" style="0" width="6"/>
    <col collapsed="false" customWidth="true" hidden="false" outlineLevel="0" max="12" min="12" style="0" width="11.71"/>
    <col collapsed="false" customWidth="true" hidden="false" outlineLevel="0" max="13" min="13" style="0" width="11.57"/>
    <col collapsed="false" customWidth="true" hidden="false" outlineLevel="0" max="14" min="14" style="0" width="6.43"/>
    <col collapsed="false" customWidth="true" hidden="false" outlineLevel="0" max="15" min="15" style="0" width="7"/>
    <col collapsed="false" customWidth="true" hidden="false" outlineLevel="0" max="16" min="16" style="0" width="6.71"/>
    <col collapsed="false" customWidth="true" hidden="false" outlineLevel="0" max="17" min="17" style="0" width="7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228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189</v>
      </c>
      <c r="F4" s="155" t="s">
        <v>12</v>
      </c>
      <c r="G4" s="155" t="s">
        <v>10</v>
      </c>
      <c r="H4" s="160" t="s">
        <v>189</v>
      </c>
      <c r="I4" s="155" t="s">
        <v>13</v>
      </c>
      <c r="J4" s="155" t="s">
        <v>10</v>
      </c>
      <c r="K4" s="160" t="s">
        <v>189</v>
      </c>
      <c r="L4" s="155" t="s">
        <v>13</v>
      </c>
      <c r="M4" s="155" t="s">
        <v>10</v>
      </c>
      <c r="N4" s="160" t="s">
        <v>189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28.5" hidden="false" customHeight="true" outlineLevel="0" collapsed="false">
      <c r="A10" s="163" t="n">
        <v>1</v>
      </c>
      <c r="B10" s="164" t="s">
        <v>213</v>
      </c>
      <c r="C10" s="161" t="n">
        <f aca="false">C140</f>
        <v>121694487</v>
      </c>
      <c r="D10" s="161" t="n">
        <f aca="false">D140</f>
        <v>118995147</v>
      </c>
      <c r="E10" s="165" t="n">
        <f aca="false">E140</f>
        <v>2.26844545181326</v>
      </c>
      <c r="F10" s="161" t="n">
        <f aca="false">F140</f>
        <v>15351726</v>
      </c>
      <c r="G10" s="166" t="n">
        <f aca="false">G140</f>
        <v>16432071</v>
      </c>
      <c r="H10" s="167" t="n">
        <f aca="false">H140</f>
        <v>-6.57461253666686</v>
      </c>
      <c r="I10" s="166" t="n">
        <f aca="false">I140</f>
        <v>110015523</v>
      </c>
      <c r="J10" s="166" t="n">
        <f aca="false">J140</f>
        <v>112469210</v>
      </c>
      <c r="K10" s="167" t="n">
        <f aca="false">K140</f>
        <v>-2.18165220507906</v>
      </c>
      <c r="L10" s="161" t="n">
        <f aca="false">L140</f>
        <v>71639712</v>
      </c>
      <c r="M10" s="161" t="n">
        <f aca="false">M140</f>
        <v>68502324</v>
      </c>
      <c r="N10" s="165" t="n">
        <f aca="false">N140</f>
        <v>4.57997308237307</v>
      </c>
      <c r="O10" s="161" t="n">
        <f aca="false">O140</f>
        <v>2961</v>
      </c>
      <c r="P10" s="165" t="n">
        <f aca="false">P140</f>
        <v>207.656197230665</v>
      </c>
      <c r="Q10" s="161" t="n">
        <f aca="false">Q140</f>
        <v>5981</v>
      </c>
      <c r="R10" s="161" t="n">
        <f aca="false">R140</f>
        <v>614870</v>
      </c>
    </row>
    <row r="11" customFormat="false" ht="16.5" hidden="false" customHeight="false" outlineLevel="0" collapsed="false">
      <c r="A11" s="163"/>
      <c r="B11" s="164" t="s">
        <v>15</v>
      </c>
      <c r="C11" s="161" t="n">
        <f aca="false">C151</f>
        <v>107799324</v>
      </c>
      <c r="D11" s="161" t="n">
        <f aca="false">D151</f>
        <v>107405241</v>
      </c>
      <c r="E11" s="165" t="n">
        <f aca="false">E151</f>
        <v>0.366912262689297</v>
      </c>
      <c r="F11" s="161" t="n">
        <f aca="false">F151</f>
        <v>12038186</v>
      </c>
      <c r="G11" s="161" t="n">
        <f aca="false">G151</f>
        <v>14530777</v>
      </c>
      <c r="H11" s="165" t="n">
        <f aca="false">H151</f>
        <v>-17.1538727763835</v>
      </c>
      <c r="I11" s="161" t="n">
        <f aca="false">I151</f>
        <v>105020202</v>
      </c>
      <c r="J11" s="161" t="n">
        <f aca="false">J151</f>
        <v>104198608</v>
      </c>
      <c r="K11" s="165" t="n">
        <f aca="false">K151</f>
        <v>0.788488460421661</v>
      </c>
      <c r="L11" s="161" t="n">
        <f aca="false">L151</f>
        <v>99496811</v>
      </c>
      <c r="M11" s="161" t="n">
        <f aca="false">M151</f>
        <v>99725492</v>
      </c>
      <c r="N11" s="165" t="n">
        <f aca="false">N151</f>
        <v>-0.229310475600357</v>
      </c>
      <c r="O11" s="161" t="n">
        <f aca="false">O151</f>
        <v>3685</v>
      </c>
      <c r="P11" s="161" t="n">
        <f aca="false">P151</f>
        <v>130.889009497965</v>
      </c>
      <c r="Q11" s="161" t="n">
        <f aca="false">Q151</f>
        <v>3644</v>
      </c>
      <c r="R11" s="168" t="n">
        <f aca="false">O11*P11</f>
        <v>482326</v>
      </c>
    </row>
    <row r="12" customFormat="false" ht="16.5" hidden="false" customHeight="false" outlineLevel="0" collapsed="false">
      <c r="A12" s="163" t="n">
        <v>2</v>
      </c>
      <c r="B12" s="164" t="s">
        <v>16</v>
      </c>
      <c r="C12" s="161" t="n">
        <f aca="false">C162</f>
        <v>10541269</v>
      </c>
      <c r="D12" s="161" t="n">
        <f aca="false">D162</f>
        <v>8893916</v>
      </c>
      <c r="E12" s="165" t="n">
        <f aca="false">E162</f>
        <v>18.5222459937782</v>
      </c>
      <c r="F12" s="161" t="n">
        <f aca="false">F162</f>
        <v>1493871</v>
      </c>
      <c r="G12" s="166" t="n">
        <f aca="false">G162</f>
        <v>1404691</v>
      </c>
      <c r="H12" s="167" t="n">
        <f aca="false">H162</f>
        <v>6.34872722897777</v>
      </c>
      <c r="I12" s="166" t="n">
        <f aca="false">I162</f>
        <v>9445207</v>
      </c>
      <c r="J12" s="166" t="n">
        <f aca="false">J162</f>
        <v>9226630</v>
      </c>
      <c r="K12" s="167" t="n">
        <f aca="false">K162</f>
        <v>2.36897979002084</v>
      </c>
      <c r="L12" s="161" t="n">
        <f aca="false">L162</f>
        <v>2912688</v>
      </c>
      <c r="M12" s="161" t="n">
        <f aca="false">M162</f>
        <v>1127172</v>
      </c>
      <c r="N12" s="165" t="n">
        <f aca="false">N162</f>
        <v>158.406702792475</v>
      </c>
      <c r="O12" s="161" t="n">
        <f aca="false">O162</f>
        <v>1268</v>
      </c>
      <c r="P12" s="165" t="n">
        <f aca="false">P162</f>
        <v>102.284700315457</v>
      </c>
      <c r="Q12" s="161" t="n">
        <f aca="false">Q162</f>
        <v>1264</v>
      </c>
      <c r="R12" s="168" t="n">
        <f aca="false">O12*P12</f>
        <v>129697</v>
      </c>
    </row>
    <row r="13" customFormat="false" ht="33" hidden="false" customHeight="false" outlineLevel="0" collapsed="false">
      <c r="A13" s="163" t="n">
        <v>3</v>
      </c>
      <c r="B13" s="164" t="s">
        <v>17</v>
      </c>
      <c r="C13" s="161" t="n">
        <f aca="false">C207</f>
        <v>10340204</v>
      </c>
      <c r="D13" s="161" t="n">
        <f aca="false">D207</f>
        <v>9022984</v>
      </c>
      <c r="E13" s="165" t="n">
        <f aca="false">E207</f>
        <v>14.5984964619244</v>
      </c>
      <c r="F13" s="161" t="n">
        <f aca="false">F207</f>
        <v>1066598</v>
      </c>
      <c r="G13" s="161" t="n">
        <f aca="false">G207</f>
        <v>1219563</v>
      </c>
      <c r="H13" s="161" t="n">
        <f aca="false">H207</f>
        <v>-12.5426074749726</v>
      </c>
      <c r="I13" s="161" t="n">
        <f aca="false">I207</f>
        <v>10353821</v>
      </c>
      <c r="J13" s="161" t="n">
        <f aca="false">J207</f>
        <v>8718086</v>
      </c>
      <c r="K13" s="165" t="n">
        <f aca="false">K207</f>
        <v>18.7625471921245</v>
      </c>
      <c r="L13" s="161" t="n">
        <f aca="false">L207</f>
        <v>6631021</v>
      </c>
      <c r="M13" s="161" t="n">
        <f aca="false">M207</f>
        <v>5784063</v>
      </c>
      <c r="N13" s="165" t="n">
        <f aca="false">N207</f>
        <v>14.6429594560087</v>
      </c>
      <c r="O13" s="161" t="n">
        <f aca="false">O207</f>
        <v>575</v>
      </c>
      <c r="P13" s="161" t="n">
        <f aca="false">P207</f>
        <v>133.766956521739</v>
      </c>
      <c r="Q13" s="161" t="n">
        <f aca="false">Q207</f>
        <v>416</v>
      </c>
      <c r="R13" s="161" t="n">
        <f aca="false">R207</f>
        <v>76916</v>
      </c>
    </row>
    <row r="14" customFormat="false" ht="33" hidden="false" customHeight="false" outlineLevel="0" collapsed="false">
      <c r="A14" s="163" t="n">
        <v>4</v>
      </c>
      <c r="B14" s="164" t="s">
        <v>229</v>
      </c>
      <c r="C14" s="161" t="n">
        <f aca="false">C55</f>
        <v>1720928</v>
      </c>
      <c r="D14" s="166" t="n">
        <f aca="false">D55</f>
        <v>2734544</v>
      </c>
      <c r="E14" s="167" t="n">
        <f aca="false">E55</f>
        <v>-37.0670941846246</v>
      </c>
      <c r="F14" s="166" t="n">
        <f aca="false">F55</f>
        <v>242049</v>
      </c>
      <c r="G14" s="166" t="n">
        <f aca="false">G55</f>
        <v>349207</v>
      </c>
      <c r="H14" s="167" t="n">
        <f aca="false">H55</f>
        <v>-30.6860973577276</v>
      </c>
      <c r="I14" s="166" t="n">
        <f aca="false">I55</f>
        <v>1771382</v>
      </c>
      <c r="J14" s="166" t="n">
        <f aca="false">J55</f>
        <v>2117969</v>
      </c>
      <c r="K14" s="167" t="n">
        <f aca="false">K55</f>
        <v>-16.3641205324535</v>
      </c>
      <c r="L14" s="166" t="n">
        <f aca="false">L55</f>
        <v>839413</v>
      </c>
      <c r="M14" s="166" t="n">
        <f aca="false">M55</f>
        <v>1245086</v>
      </c>
      <c r="N14" s="167" t="n">
        <f aca="false">N55</f>
        <v>-32.5819260677576</v>
      </c>
      <c r="O14" s="166" t="n">
        <f aca="false">O55</f>
        <v>839</v>
      </c>
      <c r="P14" s="167" t="n">
        <f aca="false">P55</f>
        <v>120.292014302741</v>
      </c>
      <c r="Q14" s="166" t="n">
        <f aca="false">Q55</f>
        <v>847</v>
      </c>
      <c r="R14" s="168" t="n">
        <f aca="false">O14*P14</f>
        <v>100925</v>
      </c>
    </row>
    <row r="15" customFormat="false" ht="16.5" hidden="false" customHeight="false" outlineLevel="0" collapsed="false">
      <c r="A15" s="163" t="n">
        <v>5</v>
      </c>
      <c r="B15" s="164" t="s">
        <v>19</v>
      </c>
      <c r="C15" s="161" t="n">
        <f aca="false">C67</f>
        <v>1259947</v>
      </c>
      <c r="D15" s="166" t="n">
        <f aca="false">D67</f>
        <v>1089514</v>
      </c>
      <c r="E15" s="167" t="n">
        <f aca="false">E67</f>
        <v>15.6430298279783</v>
      </c>
      <c r="F15" s="166" t="n">
        <f aca="false">F67</f>
        <v>160027</v>
      </c>
      <c r="G15" s="166" t="n">
        <f aca="false">G67</f>
        <v>133632</v>
      </c>
      <c r="H15" s="167" t="n">
        <f aca="false">H67</f>
        <v>19.7520055076628</v>
      </c>
      <c r="I15" s="166" t="n">
        <f aca="false">I67</f>
        <v>1033577</v>
      </c>
      <c r="J15" s="166" t="n">
        <f aca="false">J67</f>
        <v>1125826</v>
      </c>
      <c r="K15" s="167" t="n">
        <f aca="false">K67</f>
        <v>-8.1938949713366</v>
      </c>
      <c r="L15" s="166" t="n">
        <f aca="false">L67</f>
        <v>618734</v>
      </c>
      <c r="M15" s="166" t="n">
        <f aca="false">M67</f>
        <v>735552</v>
      </c>
      <c r="N15" s="167" t="n">
        <f aca="false">N67</f>
        <v>-15.8816779778996</v>
      </c>
      <c r="O15" s="166" t="n">
        <f aca="false">O67</f>
        <v>556</v>
      </c>
      <c r="P15" s="167" t="n">
        <f aca="false">P67</f>
        <v>85.6384892086331</v>
      </c>
      <c r="Q15" s="166" t="n">
        <f aca="false">Q67</f>
        <v>547</v>
      </c>
      <c r="R15" s="168" t="n">
        <f aca="false">O15*P15</f>
        <v>47615</v>
      </c>
    </row>
    <row r="16" customFormat="false" ht="16.5" hidden="false" customHeight="false" outlineLevel="0" collapsed="false">
      <c r="A16" s="163" t="n">
        <v>6</v>
      </c>
      <c r="B16" s="164" t="s">
        <v>20</v>
      </c>
      <c r="C16" s="161" t="n">
        <f aca="false">C78</f>
        <v>1042237</v>
      </c>
      <c r="D16" s="166" t="n">
        <f aca="false">D78</f>
        <v>1182815</v>
      </c>
      <c r="E16" s="167" t="n">
        <f aca="false">E78</f>
        <v>-11.8850369668968</v>
      </c>
      <c r="F16" s="166" t="n">
        <f aca="false">F78</f>
        <v>129022</v>
      </c>
      <c r="G16" s="166" t="n">
        <f aca="false">G78</f>
        <v>234829</v>
      </c>
      <c r="H16" s="167" t="n">
        <f aca="false">H78</f>
        <v>-45.0570415067986</v>
      </c>
      <c r="I16" s="166" t="n">
        <f aca="false">I78</f>
        <v>1068265</v>
      </c>
      <c r="J16" s="166" t="n">
        <f aca="false">J78</f>
        <v>1175263</v>
      </c>
      <c r="K16" s="167" t="n">
        <f aca="false">K78</f>
        <v>-9.10417498040864</v>
      </c>
      <c r="L16" s="166" t="n">
        <f aca="false">L78</f>
        <v>591638</v>
      </c>
      <c r="M16" s="166" t="n">
        <f aca="false">M78</f>
        <v>604623</v>
      </c>
      <c r="N16" s="167" t="n">
        <f aca="false">N78</f>
        <v>-2.14761926026632</v>
      </c>
      <c r="O16" s="166" t="n">
        <f aca="false">O78</f>
        <v>552</v>
      </c>
      <c r="P16" s="167" t="n">
        <f aca="false">P78</f>
        <v>104.675724637681</v>
      </c>
      <c r="Q16" s="166" t="n">
        <f aca="false">Q78</f>
        <v>556</v>
      </c>
      <c r="R16" s="168" t="n">
        <f aca="false">O16*P16</f>
        <v>57781</v>
      </c>
    </row>
    <row r="17" customFormat="false" ht="37.5" hidden="false" customHeight="true" outlineLevel="0" collapsed="false">
      <c r="A17" s="163" t="n">
        <v>7</v>
      </c>
      <c r="B17" s="164" t="s">
        <v>21</v>
      </c>
      <c r="C17" s="161" t="n">
        <f aca="false">C93</f>
        <v>4549489</v>
      </c>
      <c r="D17" s="166" t="n">
        <f aca="false">D93</f>
        <v>3918881</v>
      </c>
      <c r="E17" s="167" t="n">
        <f aca="false">E93</f>
        <v>16.0915322511707</v>
      </c>
      <c r="F17" s="166" t="n">
        <f aca="false">F93</f>
        <v>458391</v>
      </c>
      <c r="G17" s="166" t="n">
        <f aca="false">G93</f>
        <v>641223</v>
      </c>
      <c r="H17" s="167" t="n">
        <f aca="false">H93</f>
        <v>-28.5130134134303</v>
      </c>
      <c r="I17" s="166" t="n">
        <f aca="false">I93</f>
        <v>6940990</v>
      </c>
      <c r="J17" s="166" t="n">
        <f aca="false">J93</f>
        <v>6650461</v>
      </c>
      <c r="K17" s="167" t="n">
        <f aca="false">K93</f>
        <v>4.36855430022069</v>
      </c>
      <c r="L17" s="166" t="n">
        <f aca="false">L93</f>
        <v>2244713</v>
      </c>
      <c r="M17" s="166" t="n">
        <f aca="false">M93</f>
        <v>1833299</v>
      </c>
      <c r="N17" s="167" t="n">
        <f aca="false">N93</f>
        <v>22.4411838985348</v>
      </c>
      <c r="O17" s="166" t="n">
        <f aca="false">O93</f>
        <v>3826</v>
      </c>
      <c r="P17" s="167" t="n">
        <f aca="false">P93</f>
        <v>114.670151594354</v>
      </c>
      <c r="Q17" s="166" t="n">
        <f aca="false">Q93</f>
        <v>3841</v>
      </c>
      <c r="R17" s="168" t="n">
        <f aca="false">O17*P17</f>
        <v>438728</v>
      </c>
    </row>
    <row r="18" customFormat="false" ht="45" hidden="false" customHeight="true" outlineLevel="0" collapsed="false">
      <c r="A18" s="163" t="n">
        <v>8</v>
      </c>
      <c r="B18" s="164" t="s">
        <v>22</v>
      </c>
      <c r="C18" s="161" t="n">
        <f aca="false">C188</f>
        <v>74606513</v>
      </c>
      <c r="D18" s="161" t="n">
        <f aca="false">D188</f>
        <v>65086972</v>
      </c>
      <c r="E18" s="165" t="n">
        <f aca="false">E188</f>
        <v>14.6258778177605</v>
      </c>
      <c r="F18" s="161" t="n">
        <f aca="false">F188</f>
        <v>10351339</v>
      </c>
      <c r="G18" s="161" t="n">
        <f aca="false">G188</f>
        <v>9315879</v>
      </c>
      <c r="H18" s="165" t="n">
        <f aca="false">H188</f>
        <v>11.1150005275938</v>
      </c>
      <c r="I18" s="161" t="n">
        <f aca="false">I188</f>
        <v>64703824</v>
      </c>
      <c r="J18" s="161" t="n">
        <f aca="false">J188</f>
        <v>56760092</v>
      </c>
      <c r="K18" s="165" t="n">
        <f aca="false">K188</f>
        <v>13.9952768223138</v>
      </c>
      <c r="L18" s="161" t="n">
        <f aca="false">L188</f>
        <v>29782903</v>
      </c>
      <c r="M18" s="161" t="n">
        <f aca="false">M188</f>
        <v>23921218</v>
      </c>
      <c r="N18" s="165" t="n">
        <f aca="false">N188</f>
        <v>24.504124330124</v>
      </c>
      <c r="O18" s="161" t="n">
        <f aca="false">O188</f>
        <v>4672</v>
      </c>
      <c r="P18" s="165" t="n">
        <f aca="false">P188</f>
        <v>59.3859160958904</v>
      </c>
      <c r="Q18" s="161" t="n">
        <f aca="false">Q188</f>
        <v>2747</v>
      </c>
      <c r="R18" s="161" t="n">
        <f aca="false">R188</f>
        <v>277451</v>
      </c>
    </row>
    <row r="19" customFormat="false" ht="32.25" hidden="false" customHeight="true" outlineLevel="0" collapsed="false">
      <c r="A19" s="163" t="n">
        <v>9</v>
      </c>
      <c r="B19" s="164" t="s">
        <v>23</v>
      </c>
      <c r="C19" s="161" t="n">
        <f aca="false">C121</f>
        <v>2390939</v>
      </c>
      <c r="D19" s="166" t="n">
        <f aca="false">D121</f>
        <v>2318046</v>
      </c>
      <c r="E19" s="167" t="n">
        <f aca="false">E121</f>
        <v>3.1445881574395</v>
      </c>
      <c r="F19" s="166" t="n">
        <f aca="false">F121</f>
        <v>316600</v>
      </c>
      <c r="G19" s="166" t="n">
        <f aca="false">G121</f>
        <v>315613</v>
      </c>
      <c r="H19" s="167" t="n">
        <f aca="false">H121</f>
        <v>0.312724761020618</v>
      </c>
      <c r="I19" s="166" t="n">
        <f aca="false">I121</f>
        <v>2322514</v>
      </c>
      <c r="J19" s="166" t="n">
        <f aca="false">J121</f>
        <v>2381787</v>
      </c>
      <c r="K19" s="167" t="n">
        <f aca="false">K121</f>
        <v>-2.4885936483825</v>
      </c>
      <c r="L19" s="166" t="n">
        <f aca="false">L121</f>
        <v>1332697</v>
      </c>
      <c r="M19" s="166" t="n">
        <f aca="false">M121</f>
        <v>1106317</v>
      </c>
      <c r="N19" s="167" t="n">
        <f aca="false">N121</f>
        <v>20.4624895034606</v>
      </c>
      <c r="O19" s="166" t="n">
        <f aca="false">O121</f>
        <v>1970</v>
      </c>
      <c r="P19" s="167" t="n">
        <f aca="false">P121</f>
        <v>75.5304568527919</v>
      </c>
      <c r="Q19" s="166" t="n">
        <f aca="false">Q121</f>
        <v>1985</v>
      </c>
      <c r="R19" s="168" t="n">
        <f aca="false">O19*P19</f>
        <v>148795</v>
      </c>
    </row>
    <row r="20" customFormat="false" ht="27.75" hidden="false" customHeight="true" outlineLevel="0" collapsed="false">
      <c r="A20" s="163" t="n">
        <v>10</v>
      </c>
      <c r="B20" s="164" t="s">
        <v>24</v>
      </c>
      <c r="C20" s="161" t="n">
        <f aca="false">C132</f>
        <v>132559</v>
      </c>
      <c r="D20" s="166" t="n">
        <f aca="false">D132</f>
        <v>203946</v>
      </c>
      <c r="E20" s="167" t="n">
        <f aca="false">E132</f>
        <v>-35.0028929226364</v>
      </c>
      <c r="F20" s="166" t="n">
        <f aca="false">F132</f>
        <v>23832</v>
      </c>
      <c r="G20" s="166" t="n">
        <f aca="false">G132</f>
        <v>21932</v>
      </c>
      <c r="H20" s="167" t="n">
        <f aca="false">H132</f>
        <v>8.66314061645083</v>
      </c>
      <c r="I20" s="166" t="n">
        <f aca="false">I132</f>
        <v>95261</v>
      </c>
      <c r="J20" s="166" t="n">
        <f aca="false">J132</f>
        <v>228617</v>
      </c>
      <c r="K20" s="167" t="n">
        <f aca="false">K132</f>
        <v>-58.3316201332359</v>
      </c>
      <c r="L20" s="166" t="n">
        <f aca="false">L132</f>
        <v>19451</v>
      </c>
      <c r="M20" s="166" t="n">
        <f aca="false">M132</f>
        <v>0</v>
      </c>
      <c r="N20" s="167" t="n">
        <f aca="false">N132</f>
        <v>0</v>
      </c>
      <c r="O20" s="166" t="n">
        <f aca="false">O132</f>
        <v>107</v>
      </c>
      <c r="P20" s="167" t="n">
        <f aca="false">P132</f>
        <v>83.7383177570093</v>
      </c>
      <c r="Q20" s="166" t="n">
        <f aca="false">Q132</f>
        <v>107</v>
      </c>
      <c r="R20" s="168" t="n">
        <f aca="false">O20*P20</f>
        <v>8960</v>
      </c>
    </row>
    <row r="21" customFormat="false" ht="45" hidden="false" customHeight="true" outlineLevel="0" collapsed="false">
      <c r="A21" s="163" t="n">
        <v>11</v>
      </c>
      <c r="B21" s="164" t="s">
        <v>25</v>
      </c>
      <c r="C21" s="161" t="n">
        <f aca="false">C220</f>
        <v>643714.7</v>
      </c>
      <c r="D21" s="166" t="n">
        <f aca="false">D220</f>
        <v>825421.7</v>
      </c>
      <c r="E21" s="167" t="n">
        <f aca="false">E220</f>
        <v>-22.0138385021862</v>
      </c>
      <c r="F21" s="166" t="n">
        <f aca="false">F220</f>
        <v>78945.6</v>
      </c>
      <c r="G21" s="166" t="n">
        <f aca="false">G220</f>
        <v>92156</v>
      </c>
      <c r="H21" s="167" t="n">
        <f aca="false">H220</f>
        <v>-14.3348235600504</v>
      </c>
      <c r="I21" s="166" t="n">
        <f aca="false">I220</f>
        <v>293665.1</v>
      </c>
      <c r="J21" s="166" t="n">
        <f aca="false">J220</f>
        <v>584284.2</v>
      </c>
      <c r="K21" s="167" t="n">
        <f aca="false">K220</f>
        <v>-49.7393391777494</v>
      </c>
      <c r="L21" s="166" t="n">
        <f aca="false">L220</f>
        <v>3595</v>
      </c>
      <c r="M21" s="166" t="n">
        <f aca="false">M220</f>
        <v>93536</v>
      </c>
      <c r="N21" s="167" t="n">
        <f aca="false">N220</f>
        <v>-96.1565600410537</v>
      </c>
      <c r="O21" s="166" t="n">
        <f aca="false">O220</f>
        <v>540</v>
      </c>
      <c r="P21" s="167" t="n">
        <f aca="false">P220</f>
        <v>179.412037037037</v>
      </c>
      <c r="Q21" s="166" t="n">
        <f aca="false">Q220</f>
        <v>550</v>
      </c>
      <c r="R21" s="168" t="n">
        <f aca="false">O21*P21</f>
        <v>96882.5</v>
      </c>
    </row>
    <row r="22" customFormat="false" ht="31.5" hidden="false" customHeight="true" outlineLevel="0" collapsed="false">
      <c r="A22" s="163" t="n">
        <v>12</v>
      </c>
      <c r="B22" s="164" t="s">
        <v>26</v>
      </c>
      <c r="C22" s="161" t="n">
        <f aca="false">C225</f>
        <v>146334</v>
      </c>
      <c r="D22" s="166" t="n">
        <f aca="false">D225</f>
        <v>196794</v>
      </c>
      <c r="E22" s="167" t="n">
        <f aca="false">E225</f>
        <v>-25.6410256410256</v>
      </c>
      <c r="F22" s="166" t="n">
        <f aca="false">F225</f>
        <v>20368</v>
      </c>
      <c r="G22" s="166" t="n">
        <f aca="false">G225</f>
        <v>28538</v>
      </c>
      <c r="H22" s="167" t="n">
        <f aca="false">H225</f>
        <v>-28.6284953395473</v>
      </c>
      <c r="I22" s="166" t="n">
        <f aca="false">I225</f>
        <v>140100</v>
      </c>
      <c r="J22" s="166" t="n">
        <f aca="false">J225</f>
        <v>196780</v>
      </c>
      <c r="K22" s="167" t="n">
        <f aca="false">K225</f>
        <v>-28.8037402175018</v>
      </c>
      <c r="L22" s="166" t="n">
        <f aca="false">L225</f>
        <v>67473</v>
      </c>
      <c r="M22" s="166" t="n">
        <f aca="false">M225</f>
        <v>75779</v>
      </c>
      <c r="N22" s="167" t="n">
        <f aca="false">N225</f>
        <v>-10.9608202800248</v>
      </c>
      <c r="O22" s="166" t="n">
        <f aca="false">O225</f>
        <v>216</v>
      </c>
      <c r="P22" s="167" t="n">
        <f aca="false">P225</f>
        <v>161.277777777778</v>
      </c>
      <c r="Q22" s="166" t="n">
        <f aca="false">Q225</f>
        <v>225</v>
      </c>
      <c r="R22" s="168" t="n">
        <f aca="false">O22*P22</f>
        <v>34836</v>
      </c>
    </row>
    <row r="23" customFormat="false" ht="15" hidden="false" customHeight="false" outlineLevel="0" collapsed="false">
      <c r="A23" s="307"/>
      <c r="B23" s="308" t="s">
        <v>27</v>
      </c>
      <c r="C23" s="309" t="n">
        <f aca="false">SUM(C10:C22)</f>
        <v>336867944.7</v>
      </c>
      <c r="D23" s="309" t="n">
        <f aca="false">SUM(D10:D22)</f>
        <v>321874221.7</v>
      </c>
      <c r="E23" s="310" t="n">
        <f aca="false">C23/D23*100-100</f>
        <v>4.65825530258672</v>
      </c>
      <c r="F23" s="309" t="n">
        <f aca="false">SUM(F10:F22)</f>
        <v>41730954.6</v>
      </c>
      <c r="G23" s="309" t="n">
        <f aca="false">SUM(G10:G22)</f>
        <v>44720111</v>
      </c>
      <c r="H23" s="310" t="n">
        <f aca="false">F23/G23*100-100</f>
        <v>-6.68414351654896</v>
      </c>
      <c r="I23" s="309" t="n">
        <f aca="false">SUM(I10:I22)</f>
        <v>313204331.1</v>
      </c>
      <c r="J23" s="309" t="n">
        <f aca="false">SUM(J10:J22)</f>
        <v>305833613.2</v>
      </c>
      <c r="K23" s="310" t="n">
        <f aca="false">I23/J23*100-100</f>
        <v>2.41004179458193</v>
      </c>
      <c r="L23" s="309" t="n">
        <f aca="false">SUM(L10:L22)</f>
        <v>216180849</v>
      </c>
      <c r="M23" s="309" t="n">
        <f aca="false">SUM(M10:M22)</f>
        <v>204754461</v>
      </c>
      <c r="N23" s="310" t="n">
        <f aca="false">L23/M23*100-100</f>
        <v>5.58053189375933</v>
      </c>
      <c r="O23" s="309" t="n">
        <f aca="false">SUM(O10:O22)</f>
        <v>21767</v>
      </c>
      <c r="P23" s="311" t="n">
        <f aca="false">R23/O23</f>
        <v>115.577824229338</v>
      </c>
      <c r="Q23" s="309" t="n">
        <f aca="false">SUM(Q10:Q22)</f>
        <v>22710</v>
      </c>
      <c r="R23" s="312" t="n">
        <f aca="false">SUM(R10:R22)</f>
        <v>2515782.5</v>
      </c>
    </row>
    <row r="24" customFormat="false" ht="15" hidden="false" customHeight="fals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15" hidden="false" customHeight="fals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4.25" hidden="false" customHeight="tru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15" hidden="false" customHeight="fals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fals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30.75" hidden="fals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32.25" hidden="false" customHeight="true" outlineLevel="0" collapsed="false">
      <c r="A30" s="178" t="s">
        <v>230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</row>
    <row r="31" customFormat="false" ht="9.75" hidden="false" customHeight="true" outlineLevel="0" collapsed="false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9"/>
    </row>
    <row r="32" customFormat="false" ht="3.75" hidden="true" customHeight="true" outlineLevel="0" collapsed="false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80"/>
    </row>
    <row r="33" customFormat="false" ht="18.7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65.25" hidden="false" customHeight="true" outlineLevel="0" collapsed="false">
      <c r="A34" s="181"/>
      <c r="B34" s="182"/>
      <c r="C34" s="186" t="s">
        <v>9</v>
      </c>
      <c r="D34" s="186" t="s">
        <v>33</v>
      </c>
      <c r="E34" s="188" t="s">
        <v>189</v>
      </c>
      <c r="F34" s="186" t="s">
        <v>12</v>
      </c>
      <c r="G34" s="186" t="s">
        <v>35</v>
      </c>
      <c r="H34" s="188" t="s">
        <v>189</v>
      </c>
      <c r="I34" s="186" t="s">
        <v>13</v>
      </c>
      <c r="J34" s="186" t="s">
        <v>33</v>
      </c>
      <c r="K34" s="188" t="s">
        <v>189</v>
      </c>
      <c r="L34" s="186" t="s">
        <v>13</v>
      </c>
      <c r="M34" s="186" t="s">
        <v>33</v>
      </c>
      <c r="N34" s="188" t="s">
        <v>189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84669</v>
      </c>
      <c r="D37" s="200" t="n">
        <v>116132</v>
      </c>
      <c r="E37" s="201" t="n">
        <f aca="false">C37/D37*100-100</f>
        <v>-27.0924465263666</v>
      </c>
      <c r="F37" s="200" t="n">
        <v>5139</v>
      </c>
      <c r="G37" s="200" t="n">
        <v>8754</v>
      </c>
      <c r="H37" s="201" t="n">
        <f aca="false">F37/G37*100-100</f>
        <v>-41.2954078135709</v>
      </c>
      <c r="I37" s="200" t="n">
        <v>84669</v>
      </c>
      <c r="J37" s="200" t="n">
        <v>107716</v>
      </c>
      <c r="K37" s="201" t="n">
        <f aca="false">I37/J37*100-100</f>
        <v>-21.3960785769988</v>
      </c>
      <c r="L37" s="200" t="n">
        <v>1672</v>
      </c>
      <c r="M37" s="200" t="n">
        <v>5501</v>
      </c>
      <c r="N37" s="201" t="n">
        <f aca="false">L37/M37*100-100</f>
        <v>-69.6055262679513</v>
      </c>
      <c r="O37" s="200" t="n">
        <v>80</v>
      </c>
      <c r="P37" s="200" t="n">
        <v>115</v>
      </c>
      <c r="Q37" s="200" t="n">
        <v>81</v>
      </c>
      <c r="R37" s="202" t="n">
        <f aca="false">O37*P37</f>
        <v>9200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185016</v>
      </c>
      <c r="D38" s="200" t="n">
        <v>198328</v>
      </c>
      <c r="E38" s="201" t="n">
        <f aca="false">C38/D38*100-100</f>
        <v>-6.71211326691137</v>
      </c>
      <c r="F38" s="200" t="n">
        <v>10236</v>
      </c>
      <c r="G38" s="200" t="n">
        <v>16361</v>
      </c>
      <c r="H38" s="201" t="n">
        <v>0</v>
      </c>
      <c r="I38" s="200" t="n">
        <v>185016</v>
      </c>
      <c r="J38" s="200" t="n">
        <v>198328</v>
      </c>
      <c r="K38" s="201" t="n">
        <f aca="false">I38/J38*100-100</f>
        <v>-6.71211326691137</v>
      </c>
      <c r="L38" s="200" t="n">
        <v>119376</v>
      </c>
      <c r="M38" s="200" t="n">
        <v>148144</v>
      </c>
      <c r="N38" s="201" t="n">
        <v>0</v>
      </c>
      <c r="O38" s="203" t="n">
        <v>94</v>
      </c>
      <c r="P38" s="204" t="n">
        <v>178</v>
      </c>
      <c r="Q38" s="203" t="n">
        <v>95</v>
      </c>
      <c r="R38" s="202" t="n">
        <f aca="false">O38*P38</f>
        <v>16732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49517</v>
      </c>
      <c r="D39" s="200" t="n">
        <v>52558</v>
      </c>
      <c r="E39" s="201" t="n">
        <f aca="false">C39/D39*100-100</f>
        <v>-5.78598881235968</v>
      </c>
      <c r="F39" s="200" t="n">
        <v>8844</v>
      </c>
      <c r="G39" s="200" t="n">
        <v>6213</v>
      </c>
      <c r="H39" s="201" t="n">
        <f aca="false">F39/G39*100-100</f>
        <v>42.3466924191212</v>
      </c>
      <c r="I39" s="200" t="n">
        <v>91862</v>
      </c>
      <c r="J39" s="200" t="n">
        <v>91771</v>
      </c>
      <c r="K39" s="201" t="n">
        <f aca="false">I39/J39*100-100</f>
        <v>0.0991598653169206</v>
      </c>
      <c r="L39" s="200" t="n">
        <v>0</v>
      </c>
      <c r="M39" s="200" t="n">
        <v>0</v>
      </c>
      <c r="N39" s="201" t="n">
        <v>0</v>
      </c>
      <c r="O39" s="203" t="n">
        <v>31</v>
      </c>
      <c r="P39" s="204" t="n">
        <v>90</v>
      </c>
      <c r="Q39" s="203" t="n">
        <v>31</v>
      </c>
      <c r="R39" s="202" t="n">
        <f aca="false">O39*P39</f>
        <v>2790</v>
      </c>
    </row>
    <row r="40" customFormat="false" ht="15" hidden="false" customHeight="false" outlineLevel="0" collapsed="false">
      <c r="A40" s="198" t="n">
        <v>4</v>
      </c>
      <c r="B40" s="199" t="s">
        <v>215</v>
      </c>
      <c r="C40" s="200" t="n">
        <v>14430</v>
      </c>
      <c r="D40" s="200" t="n">
        <v>10300</v>
      </c>
      <c r="E40" s="201" t="n">
        <f aca="false">C40/D40*100-100</f>
        <v>40.0970873786408</v>
      </c>
      <c r="F40" s="200" t="n">
        <v>2800</v>
      </c>
      <c r="G40" s="200" t="n">
        <v>2100</v>
      </c>
      <c r="H40" s="201" t="n">
        <f aca="false">F40/G40*100-100</f>
        <v>33.3333333333333</v>
      </c>
      <c r="I40" s="200" t="n">
        <v>17004</v>
      </c>
      <c r="J40" s="200" t="n">
        <v>13452</v>
      </c>
      <c r="K40" s="201" t="n">
        <f aca="false">I40/J40*100-100</f>
        <v>26.4049955396967</v>
      </c>
      <c r="L40" s="200" t="n">
        <v>17004</v>
      </c>
      <c r="M40" s="200" t="n">
        <v>13452</v>
      </c>
      <c r="N40" s="201" t="n">
        <v>0</v>
      </c>
      <c r="O40" s="203" t="n">
        <v>15</v>
      </c>
      <c r="P40" s="204" t="n">
        <v>60</v>
      </c>
      <c r="Q40" s="203" t="n">
        <v>15</v>
      </c>
      <c r="R40" s="202" t="n">
        <f aca="false">O40*P40</f>
        <v>900</v>
      </c>
    </row>
    <row r="41" customFormat="false" ht="15" hidden="false" customHeight="false" outlineLevel="0" collapsed="false">
      <c r="A41" s="198" t="n">
        <v>5</v>
      </c>
      <c r="B41" s="199" t="s">
        <v>42</v>
      </c>
      <c r="C41" s="206" t="n">
        <v>27658</v>
      </c>
      <c r="D41" s="206" t="n">
        <v>34704</v>
      </c>
      <c r="E41" s="201" t="n">
        <f aca="false">C41/D41*100-100</f>
        <v>-20.3031350852928</v>
      </c>
      <c r="F41" s="206" t="n">
        <v>2351</v>
      </c>
      <c r="G41" s="206" t="n">
        <v>4419</v>
      </c>
      <c r="H41" s="201" t="n">
        <f aca="false">F41/G41*100-100</f>
        <v>-46.7979180810138</v>
      </c>
      <c r="I41" s="206" t="n">
        <v>39122</v>
      </c>
      <c r="J41" s="206" t="n">
        <v>40085</v>
      </c>
      <c r="K41" s="201" t="n">
        <f aca="false">I41/J41*100-100</f>
        <v>-2.40239491081452</v>
      </c>
      <c r="L41" s="206" t="n">
        <v>5695</v>
      </c>
      <c r="M41" s="206" t="n">
        <v>3310</v>
      </c>
      <c r="N41" s="201" t="n">
        <f aca="false">L41/M41*100-100</f>
        <v>72.0543806646526</v>
      </c>
      <c r="O41" s="203" t="n">
        <v>59</v>
      </c>
      <c r="P41" s="204" t="n">
        <v>55</v>
      </c>
      <c r="Q41" s="203" t="n">
        <v>56</v>
      </c>
      <c r="R41" s="202" t="n">
        <f aca="false">O41*P41</f>
        <v>3245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94829</v>
      </c>
      <c r="D42" s="200" t="n">
        <v>65026</v>
      </c>
      <c r="E42" s="201" t="n">
        <f aca="false">C42/D42*100-100</f>
        <v>45.8324362562667</v>
      </c>
      <c r="F42" s="200" t="n">
        <v>12501</v>
      </c>
      <c r="G42" s="200" t="n">
        <v>15015</v>
      </c>
      <c r="H42" s="201" t="n">
        <f aca="false">F42/G42*100-100</f>
        <v>-16.7432567432567</v>
      </c>
      <c r="I42" s="200" t="n">
        <v>88249</v>
      </c>
      <c r="J42" s="200" t="n">
        <v>66818</v>
      </c>
      <c r="K42" s="201" t="n">
        <f aca="false">I42/J42*100-100</f>
        <v>32.0736927175312</v>
      </c>
      <c r="L42" s="200" t="n">
        <v>0</v>
      </c>
      <c r="M42" s="200" t="n">
        <v>0</v>
      </c>
      <c r="N42" s="201" t="n">
        <v>0</v>
      </c>
      <c r="O42" s="203" t="n">
        <v>67</v>
      </c>
      <c r="P42" s="204" t="n">
        <v>90</v>
      </c>
      <c r="Q42" s="203" t="n">
        <v>64</v>
      </c>
      <c r="R42" s="202" t="n">
        <f aca="false">O42*P42</f>
        <v>6030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0</v>
      </c>
      <c r="D43" s="200" t="n">
        <v>0</v>
      </c>
      <c r="E43" s="201" t="n">
        <v>0</v>
      </c>
      <c r="F43" s="200" t="n">
        <v>0</v>
      </c>
      <c r="G43" s="200" t="n">
        <v>0</v>
      </c>
      <c r="H43" s="201" t="n">
        <v>0</v>
      </c>
      <c r="I43" s="200" t="n">
        <v>0</v>
      </c>
      <c r="J43" s="200" t="n">
        <v>0</v>
      </c>
      <c r="K43" s="201" t="n">
        <v>0</v>
      </c>
      <c r="L43" s="200" t="n">
        <v>0</v>
      </c>
      <c r="M43" s="200" t="n">
        <v>0</v>
      </c>
      <c r="N43" s="201" t="n">
        <v>0</v>
      </c>
      <c r="O43" s="203" t="n">
        <v>0</v>
      </c>
      <c r="P43" s="204" t="n">
        <v>0</v>
      </c>
      <c r="Q43" s="203" t="n">
        <v>0</v>
      </c>
      <c r="R43" s="202" t="n">
        <f aca="false">O43*P43</f>
        <v>0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6" t="n">
        <v>96037</v>
      </c>
      <c r="D44" s="206" t="n">
        <v>63324</v>
      </c>
      <c r="E44" s="201" t="n">
        <f aca="false">C44/D44*100-100</f>
        <v>51.659718274272</v>
      </c>
      <c r="F44" s="206" t="n">
        <v>19805</v>
      </c>
      <c r="G44" s="206" t="n">
        <v>9452</v>
      </c>
      <c r="H44" s="201" t="n">
        <f aca="false">F44/G44*100-100</f>
        <v>109.532374100719</v>
      </c>
      <c r="I44" s="206" t="n">
        <v>96037</v>
      </c>
      <c r="J44" s="206" t="n">
        <v>65756</v>
      </c>
      <c r="K44" s="201" t="n">
        <f aca="false">I44/J44*100-100</f>
        <v>46.0505505201046</v>
      </c>
      <c r="L44" s="200" t="n">
        <v>0</v>
      </c>
      <c r="M44" s="200" t="n">
        <v>0</v>
      </c>
      <c r="N44" s="201" t="n">
        <v>0</v>
      </c>
      <c r="O44" s="203" t="n">
        <v>47</v>
      </c>
      <c r="P44" s="204" t="n">
        <v>97</v>
      </c>
      <c r="Q44" s="203" t="n">
        <v>47</v>
      </c>
      <c r="R44" s="202" t="n">
        <f aca="false">O44*P44</f>
        <v>4559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203383</v>
      </c>
      <c r="D45" s="200" t="n">
        <v>177112</v>
      </c>
      <c r="E45" s="201" t="n">
        <f aca="false">C45/D45*100-100</f>
        <v>14.8329870364515</v>
      </c>
      <c r="F45" s="208" t="n">
        <v>38604</v>
      </c>
      <c r="G45" s="200" t="n">
        <v>33912</v>
      </c>
      <c r="H45" s="201" t="n">
        <f aca="false">F45/G45*100-100</f>
        <v>13.8358103326256</v>
      </c>
      <c r="I45" s="200" t="n">
        <v>206419</v>
      </c>
      <c r="J45" s="200" t="n">
        <v>126022</v>
      </c>
      <c r="K45" s="201" t="n">
        <f aca="false">I45/J45*100-100</f>
        <v>63.7960038723398</v>
      </c>
      <c r="L45" s="200" t="n">
        <v>0</v>
      </c>
      <c r="M45" s="200" t="n">
        <v>0</v>
      </c>
      <c r="N45" s="201" t="n">
        <v>0</v>
      </c>
      <c r="O45" s="203" t="n">
        <v>74</v>
      </c>
      <c r="P45" s="204" t="n">
        <v>135</v>
      </c>
      <c r="Q45" s="203" t="n">
        <v>74</v>
      </c>
      <c r="R45" s="202" t="n">
        <f aca="false">O45*P45</f>
        <v>9990</v>
      </c>
    </row>
    <row r="46" customFormat="false" ht="15" hidden="false" customHeight="false" outlineLevel="0" collapsed="false">
      <c r="A46" s="210" t="n">
        <v>10</v>
      </c>
      <c r="B46" s="199" t="s">
        <v>47</v>
      </c>
      <c r="C46" s="208" t="n">
        <v>507739</v>
      </c>
      <c r="D46" s="200" t="n">
        <v>743969</v>
      </c>
      <c r="E46" s="201" t="n">
        <f aca="false">C46/D46*100-100</f>
        <v>-31.7526671138179</v>
      </c>
      <c r="F46" s="208" t="n">
        <v>83247</v>
      </c>
      <c r="G46" s="200" t="n">
        <v>110431</v>
      </c>
      <c r="H46" s="201" t="n">
        <f aca="false">F46/G46*100-100</f>
        <v>-24.6162762267841</v>
      </c>
      <c r="I46" s="200" t="n">
        <v>516498</v>
      </c>
      <c r="J46" s="200" t="n">
        <v>623197</v>
      </c>
      <c r="K46" s="201" t="n">
        <f aca="false">I46/J46*100-100</f>
        <v>-17.1212313281354</v>
      </c>
      <c r="L46" s="200" t="n">
        <v>513914</v>
      </c>
      <c r="M46" s="200" t="n">
        <v>619181</v>
      </c>
      <c r="N46" s="201" t="n">
        <f aca="false">L46/M46*100-100</f>
        <v>-17.0010061678249</v>
      </c>
      <c r="O46" s="203" t="n">
        <v>188</v>
      </c>
      <c r="P46" s="204" t="n">
        <v>84</v>
      </c>
      <c r="Q46" s="203" t="n">
        <v>192</v>
      </c>
      <c r="R46" s="202" t="n">
        <f aca="false">O46*P46</f>
        <v>15792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1771</v>
      </c>
      <c r="D47" s="200" t="n">
        <v>17253</v>
      </c>
      <c r="E47" s="201" t="n">
        <f aca="false">C47/D47*100-100</f>
        <v>-89.7351185301107</v>
      </c>
      <c r="F47" s="200" t="n">
        <v>501</v>
      </c>
      <c r="G47" s="200" t="n">
        <v>1037</v>
      </c>
      <c r="H47" s="201" t="n">
        <v>0</v>
      </c>
      <c r="I47" s="200" t="n">
        <v>2475</v>
      </c>
      <c r="J47" s="200" t="n">
        <v>23770</v>
      </c>
      <c r="K47" s="201" t="n">
        <v>0</v>
      </c>
      <c r="L47" s="200" t="n">
        <v>2475</v>
      </c>
      <c r="M47" s="200" t="n">
        <v>23770</v>
      </c>
      <c r="N47" s="201" t="n">
        <v>0</v>
      </c>
      <c r="O47" s="203" t="n">
        <v>26</v>
      </c>
      <c r="P47" s="204" t="n">
        <v>90</v>
      </c>
      <c r="Q47" s="203" t="n">
        <v>26</v>
      </c>
      <c r="R47" s="202" t="n">
        <f aca="false">O47*P47</f>
        <v>2340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64876</v>
      </c>
      <c r="D48" s="200" t="n">
        <v>70988</v>
      </c>
      <c r="E48" s="201" t="n">
        <f aca="false">C48/D48*100-100</f>
        <v>-8.60990589958867</v>
      </c>
      <c r="F48" s="212" t="n">
        <v>15926</v>
      </c>
      <c r="G48" s="212" t="n">
        <v>14650</v>
      </c>
      <c r="H48" s="201" t="n">
        <f aca="false">F48/G48*100-100</f>
        <v>8.70989761092149</v>
      </c>
      <c r="I48" s="212" t="n">
        <v>79223</v>
      </c>
      <c r="J48" s="212" t="n">
        <v>80423</v>
      </c>
      <c r="K48" s="201" t="n">
        <f aca="false">I48/J48*100-100</f>
        <v>-1.49211046591149</v>
      </c>
      <c r="L48" s="213" t="n">
        <v>62543</v>
      </c>
      <c r="M48" s="212" t="n">
        <v>74862</v>
      </c>
      <c r="N48" s="201" t="n">
        <f aca="false">L48/M48*100-100</f>
        <v>-16.4556116587855</v>
      </c>
      <c r="O48" s="203" t="n">
        <v>15</v>
      </c>
      <c r="P48" s="204" t="n">
        <v>138</v>
      </c>
      <c r="Q48" s="203" t="n">
        <v>15</v>
      </c>
      <c r="R48" s="202" t="n">
        <f aca="false">O48*P48</f>
        <v>2070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227164</v>
      </c>
      <c r="D49" s="207" t="n">
        <v>260649</v>
      </c>
      <c r="E49" s="201" t="n">
        <f aca="false">C49/D49*100-100</f>
        <v>-12.8467786179882</v>
      </c>
      <c r="F49" s="207" t="n">
        <v>36700</v>
      </c>
      <c r="G49" s="207" t="n">
        <v>30903</v>
      </c>
      <c r="H49" s="201" t="n">
        <f aca="false">F49/G49*100-100</f>
        <v>18.7586965666764</v>
      </c>
      <c r="I49" s="200" t="n">
        <v>212186</v>
      </c>
      <c r="J49" s="200" t="n">
        <v>256698</v>
      </c>
      <c r="K49" s="201" t="n">
        <f aca="false">I49/J49*100-100</f>
        <v>-17.3402208042135</v>
      </c>
      <c r="L49" s="207" t="n">
        <v>0</v>
      </c>
      <c r="M49" s="207" t="n">
        <v>3429</v>
      </c>
      <c r="N49" s="201" t="n">
        <v>0</v>
      </c>
      <c r="O49" s="203" t="n">
        <v>65</v>
      </c>
      <c r="P49" s="204" t="n">
        <v>136</v>
      </c>
      <c r="Q49" s="203" t="n">
        <v>72</v>
      </c>
      <c r="R49" s="202" t="n">
        <f aca="false">O49*P49</f>
        <v>8840</v>
      </c>
    </row>
    <row r="50" customFormat="false" ht="15" hidden="false" customHeight="false" outlineLevel="0" collapsed="false">
      <c r="A50" s="198" t="n">
        <v>14</v>
      </c>
      <c r="B50" s="199" t="s">
        <v>216</v>
      </c>
      <c r="C50" s="203" t="n">
        <v>12606</v>
      </c>
      <c r="D50" s="203" t="n">
        <v>11972</v>
      </c>
      <c r="E50" s="201" t="n">
        <f aca="false">C50/D50*100-100</f>
        <v>5.2956899432008</v>
      </c>
      <c r="F50" s="203" t="n">
        <v>0</v>
      </c>
      <c r="G50" s="203" t="n">
        <v>0</v>
      </c>
      <c r="H50" s="201" t="n">
        <v>0</v>
      </c>
      <c r="I50" s="203" t="n">
        <v>11026</v>
      </c>
      <c r="J50" s="203" t="n">
        <v>14148</v>
      </c>
      <c r="K50" s="201" t="n">
        <f aca="false">I50/J50*100-100</f>
        <v>-22.0667232117614</v>
      </c>
      <c r="L50" s="203" t="n">
        <v>1576</v>
      </c>
      <c r="M50" s="203" t="n">
        <v>0</v>
      </c>
      <c r="N50" s="201" t="n">
        <v>0</v>
      </c>
      <c r="O50" s="203" t="n">
        <v>13</v>
      </c>
      <c r="P50" s="204" t="n">
        <v>80</v>
      </c>
      <c r="Q50" s="203" t="n">
        <v>14</v>
      </c>
      <c r="R50" s="202" t="n">
        <f aca="false">O50*P50</f>
        <v>1040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131318</v>
      </c>
      <c r="D51" s="203" t="n">
        <v>225123</v>
      </c>
      <c r="E51" s="203" t="n">
        <f aca="false">C51/D51*100-100</f>
        <v>-41.66833242272</v>
      </c>
      <c r="F51" s="203" t="n">
        <v>4630</v>
      </c>
      <c r="G51" s="203" t="n">
        <v>55960</v>
      </c>
      <c r="H51" s="203" t="n">
        <f aca="false">F51/G51*100-100</f>
        <v>-91.7262330235883</v>
      </c>
      <c r="I51" s="203" t="n">
        <v>121681</v>
      </c>
      <c r="J51" s="203" t="n">
        <v>350479</v>
      </c>
      <c r="K51" s="203" t="n">
        <f aca="false">I51/J51*100-100</f>
        <v>-65.2815147269879</v>
      </c>
      <c r="L51" s="203" t="n">
        <v>115158</v>
      </c>
      <c r="M51" s="203" t="n">
        <v>353437</v>
      </c>
      <c r="N51" s="201" t="n">
        <f aca="false">L51/M51*100-100</f>
        <v>-67.4176727394133</v>
      </c>
      <c r="O51" s="203" t="n">
        <v>58</v>
      </c>
      <c r="P51" s="204" t="n">
        <v>114</v>
      </c>
      <c r="Q51" s="203" t="n">
        <v>58</v>
      </c>
      <c r="R51" s="202" t="n">
        <f aca="false">O51*P51</f>
        <v>6612</v>
      </c>
    </row>
    <row r="52" customFormat="false" ht="18" hidden="false" customHeight="true" outlineLevel="0" collapsed="false">
      <c r="A52" s="198" t="n">
        <v>16</v>
      </c>
      <c r="B52" s="199" t="s">
        <v>53</v>
      </c>
      <c r="C52" s="200" t="n">
        <v>2494</v>
      </c>
      <c r="D52" s="209" t="n">
        <v>3106</v>
      </c>
      <c r="E52" s="201" t="n">
        <f aca="false">C52/D52*100-100</f>
        <v>-19.703799098519</v>
      </c>
      <c r="F52" s="200" t="n">
        <v>265</v>
      </c>
      <c r="G52" s="200" t="n">
        <v>0</v>
      </c>
      <c r="H52" s="201" t="n">
        <v>0</v>
      </c>
      <c r="I52" s="200" t="n">
        <v>2494</v>
      </c>
      <c r="J52" s="200" t="n">
        <v>3106</v>
      </c>
      <c r="K52" s="201" t="n">
        <f aca="false">I52/J52*100-100</f>
        <v>-19.703799098519</v>
      </c>
      <c r="L52" s="200" t="n">
        <v>0</v>
      </c>
      <c r="M52" s="200" t="n">
        <v>0</v>
      </c>
      <c r="N52" s="201" t="n">
        <v>0</v>
      </c>
      <c r="O52" s="203" t="n">
        <v>3</v>
      </c>
      <c r="P52" s="204" t="n">
        <v>45</v>
      </c>
      <c r="Q52" s="203" t="n">
        <v>3</v>
      </c>
      <c r="R52" s="202" t="n">
        <f aca="false">O52*P52</f>
        <v>135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17421</v>
      </c>
      <c r="D53" s="203" t="n">
        <v>684000</v>
      </c>
      <c r="E53" s="201" t="n">
        <f aca="false">C53/D53*100-100</f>
        <v>-97.4530701754386</v>
      </c>
      <c r="F53" s="203" t="n">
        <v>500</v>
      </c>
      <c r="G53" s="203" t="n">
        <v>40000</v>
      </c>
      <c r="H53" s="201" t="n">
        <f aca="false">F53/G53*100-100</f>
        <v>-98.75</v>
      </c>
      <c r="I53" s="203" t="n">
        <v>17421</v>
      </c>
      <c r="J53" s="203" t="n">
        <v>56200</v>
      </c>
      <c r="K53" s="223" t="n">
        <f aca="false">I53/J53*100-100</f>
        <v>-69.0017793594306</v>
      </c>
      <c r="L53" s="203" t="n">
        <v>0</v>
      </c>
      <c r="M53" s="203" t="n">
        <v>0</v>
      </c>
      <c r="N53" s="201" t="n">
        <v>0</v>
      </c>
      <c r="O53" s="203" t="n">
        <v>4</v>
      </c>
      <c r="P53" s="204" t="n">
        <v>70</v>
      </c>
      <c r="Q53" s="203" t="n">
        <v>4</v>
      </c>
      <c r="R53" s="202" t="n">
        <f aca="false">O53*P53</f>
        <v>280</v>
      </c>
    </row>
    <row r="54" customFormat="false" ht="15" hidden="false" customHeight="false" outlineLevel="0" collapsed="false">
      <c r="A54" s="198" t="n">
        <v>18</v>
      </c>
      <c r="B54" s="220" t="s">
        <v>231</v>
      </c>
      <c r="C54" s="203" t="n">
        <v>533340</v>
      </c>
      <c r="D54" s="203" t="n">
        <v>0</v>
      </c>
      <c r="E54" s="201" t="n">
        <v>0</v>
      </c>
      <c r="F54" s="203" t="n">
        <v>81971</v>
      </c>
      <c r="G54" s="203" t="n">
        <v>0</v>
      </c>
      <c r="H54" s="201" t="n">
        <v>0</v>
      </c>
      <c r="I54" s="203" t="n">
        <v>533340</v>
      </c>
      <c r="J54" s="203" t="n">
        <v>0</v>
      </c>
      <c r="K54" s="201" t="n">
        <v>0</v>
      </c>
      <c r="L54" s="203" t="n">
        <v>517520</v>
      </c>
      <c r="M54" s="203" t="n">
        <v>0</v>
      </c>
      <c r="N54" s="201" t="n">
        <v>0</v>
      </c>
      <c r="O54" s="203" t="n">
        <v>122</v>
      </c>
      <c r="P54" s="204" t="n">
        <v>85</v>
      </c>
      <c r="Q54" s="203" t="n">
        <v>122</v>
      </c>
      <c r="R54" s="202" t="n">
        <f aca="false">O54*P54</f>
        <v>10370</v>
      </c>
    </row>
    <row r="55" customFormat="false" ht="15" hidden="false" customHeight="false" outlineLevel="0" collapsed="false">
      <c r="A55" s="215" t="s">
        <v>55</v>
      </c>
      <c r="B55" s="215"/>
      <c r="C55" s="216" t="n">
        <f aca="false">SUM(C37:C53)</f>
        <v>1720928</v>
      </c>
      <c r="D55" s="216" t="n">
        <f aca="false">SUM(D37:D53)</f>
        <v>2734544</v>
      </c>
      <c r="E55" s="313" t="n">
        <f aca="false">C55/D55*100-100</f>
        <v>-37.0670941846246</v>
      </c>
      <c r="F55" s="216" t="n">
        <f aca="false">SUM(F37:F53)</f>
        <v>242049</v>
      </c>
      <c r="G55" s="216" t="n">
        <f aca="false">SUM(G37:G53)</f>
        <v>349207</v>
      </c>
      <c r="H55" s="313" t="n">
        <f aca="false">F55/G55*100-100</f>
        <v>-30.6860973577276</v>
      </c>
      <c r="I55" s="216" t="n">
        <f aca="false">SUM(I37:I53)</f>
        <v>1771382</v>
      </c>
      <c r="J55" s="216" t="n">
        <f aca="false">SUM(J37:J53)</f>
        <v>2117969</v>
      </c>
      <c r="K55" s="313" t="n">
        <f aca="false">I55/J55*100-100</f>
        <v>-16.3641205324535</v>
      </c>
      <c r="L55" s="216" t="n">
        <f aca="false">SUM(L37:L53)</f>
        <v>839413</v>
      </c>
      <c r="M55" s="216" t="n">
        <f aca="false">SUM(M37:M53)</f>
        <v>1245086</v>
      </c>
      <c r="N55" s="313" t="n">
        <f aca="false">L55/M55*100-100</f>
        <v>-32.5819260677576</v>
      </c>
      <c r="O55" s="216" t="n">
        <f aca="false">SUM(O37:O53)</f>
        <v>839</v>
      </c>
      <c r="P55" s="217" t="n">
        <f aca="false">R55/O55</f>
        <v>120.292014302741</v>
      </c>
      <c r="Q55" s="216" t="n">
        <f aca="false">SUM(Q37:Q53)</f>
        <v>847</v>
      </c>
      <c r="R55" s="216" t="n">
        <f aca="false">SUM(R37:R54)</f>
        <v>100925</v>
      </c>
    </row>
    <row r="56" customFormat="false" ht="15" hidden="false" customHeight="false" outlineLevel="0" collapsed="false">
      <c r="A56" s="203"/>
      <c r="B56" s="218"/>
      <c r="C56" s="203"/>
      <c r="D56" s="203"/>
      <c r="E56" s="203"/>
      <c r="F56" s="203"/>
      <c r="G56" s="203"/>
      <c r="H56" s="203"/>
      <c r="I56" s="203"/>
      <c r="J56" s="203"/>
      <c r="K56" s="192"/>
      <c r="L56" s="203"/>
      <c r="M56" s="203"/>
      <c r="N56" s="203"/>
      <c r="O56" s="203"/>
      <c r="P56" s="219"/>
      <c r="Q56" s="203"/>
      <c r="R56" s="197"/>
    </row>
    <row r="57" customFormat="false" ht="15" hidden="false" customHeight="false" outlineLevel="0" collapsed="false">
      <c r="A57" s="195" t="s">
        <v>56</v>
      </c>
      <c r="B57" s="195"/>
      <c r="C57" s="195" t="n">
        <v>3</v>
      </c>
      <c r="D57" s="195" t="n">
        <v>4</v>
      </c>
      <c r="E57" s="196" t="n">
        <v>5</v>
      </c>
      <c r="F57" s="195" t="n">
        <v>6</v>
      </c>
      <c r="G57" s="195" t="n">
        <v>7</v>
      </c>
      <c r="H57" s="195" t="n">
        <v>8</v>
      </c>
      <c r="I57" s="195" t="n">
        <v>9</v>
      </c>
      <c r="J57" s="195" t="n">
        <v>10</v>
      </c>
      <c r="K57" s="195" t="n">
        <v>11</v>
      </c>
      <c r="L57" s="195" t="n">
        <v>12</v>
      </c>
      <c r="M57" s="195" t="n">
        <v>13</v>
      </c>
      <c r="N57" s="195" t="n">
        <v>14</v>
      </c>
      <c r="O57" s="195" t="n">
        <v>15</v>
      </c>
      <c r="P57" s="196" t="n">
        <v>16</v>
      </c>
      <c r="Q57" s="195" t="n">
        <v>15</v>
      </c>
      <c r="R57" s="197"/>
    </row>
    <row r="58" customFormat="false" ht="15" hidden="false" customHeight="false" outlineLevel="0" collapsed="false">
      <c r="A58" s="204" t="n">
        <v>1</v>
      </c>
      <c r="B58" s="220" t="s">
        <v>57</v>
      </c>
      <c r="C58" s="221" t="n">
        <v>318688</v>
      </c>
      <c r="D58" s="222" t="n">
        <v>377655</v>
      </c>
      <c r="E58" s="201" t="n">
        <f aca="false">C58/D58*100-100</f>
        <v>-15.6139863102567</v>
      </c>
      <c r="F58" s="222" t="n">
        <v>43666</v>
      </c>
      <c r="G58" s="223" t="n">
        <v>33305</v>
      </c>
      <c r="H58" s="223" t="n">
        <f aca="false">F58/G58*100-100</f>
        <v>31.1094430265726</v>
      </c>
      <c r="I58" s="222" t="n">
        <v>309849</v>
      </c>
      <c r="J58" s="222" t="n">
        <v>344720</v>
      </c>
      <c r="K58" s="201" t="n">
        <f aca="false">I58/J58*100-100</f>
        <v>-10.1157461127872</v>
      </c>
      <c r="L58" s="222" t="n">
        <v>307303</v>
      </c>
      <c r="M58" s="222" t="n">
        <v>343841</v>
      </c>
      <c r="N58" s="201" t="n">
        <f aca="false">L58/M58*100-100</f>
        <v>-10.626423259588</v>
      </c>
      <c r="O58" s="223" t="n">
        <v>158</v>
      </c>
      <c r="P58" s="222" t="n">
        <v>90</v>
      </c>
      <c r="Q58" s="223" t="n">
        <v>158</v>
      </c>
      <c r="R58" s="202" t="n">
        <f aca="false">O58*P58</f>
        <v>14220</v>
      </c>
    </row>
    <row r="59" customFormat="false" ht="15" hidden="false" customHeight="false" outlineLevel="0" collapsed="false">
      <c r="A59" s="224" t="n">
        <v>2</v>
      </c>
      <c r="B59" s="220" t="s">
        <v>58</v>
      </c>
      <c r="C59" s="200" t="n">
        <v>64636</v>
      </c>
      <c r="D59" s="200" t="n">
        <v>119994</v>
      </c>
      <c r="E59" s="201" t="n">
        <f aca="false">C59/D59*100-100</f>
        <v>-46.1339733653349</v>
      </c>
      <c r="F59" s="223" t="n">
        <v>6580</v>
      </c>
      <c r="G59" s="223" t="n">
        <v>30268</v>
      </c>
      <c r="H59" s="223" t="n">
        <f aca="false">F59/G59*100-100</f>
        <v>-78.2608695652174</v>
      </c>
      <c r="I59" s="223" t="n">
        <v>42714</v>
      </c>
      <c r="J59" s="223" t="n">
        <v>109495</v>
      </c>
      <c r="K59" s="201" t="n">
        <f aca="false">I59/J59*100-100</f>
        <v>-60.9899995433582</v>
      </c>
      <c r="L59" s="223" t="n">
        <v>0</v>
      </c>
      <c r="M59" s="223" t="n">
        <v>0</v>
      </c>
      <c r="N59" s="201" t="n">
        <v>0</v>
      </c>
      <c r="O59" s="223" t="n">
        <v>100</v>
      </c>
      <c r="P59" s="223" t="n">
        <v>105</v>
      </c>
      <c r="Q59" s="223" t="n">
        <v>101</v>
      </c>
      <c r="R59" s="202" t="n">
        <f aca="false">O59*P59</f>
        <v>10500</v>
      </c>
    </row>
    <row r="60" customFormat="false" ht="15" hidden="false" customHeight="false" outlineLevel="0" collapsed="false">
      <c r="A60" s="224" t="n">
        <v>3</v>
      </c>
      <c r="B60" s="220" t="s">
        <v>59</v>
      </c>
      <c r="C60" s="223" t="n">
        <v>215795</v>
      </c>
      <c r="D60" s="223" t="n">
        <v>171421</v>
      </c>
      <c r="E60" s="201" t="n">
        <f aca="false">C60/D60*100-100</f>
        <v>25.8859766306345</v>
      </c>
      <c r="F60" s="223" t="n">
        <v>32915</v>
      </c>
      <c r="G60" s="223" t="n">
        <v>37331</v>
      </c>
      <c r="H60" s="201" t="n">
        <f aca="false">F60/G60*100-100</f>
        <v>-11.829310760494</v>
      </c>
      <c r="I60" s="223" t="n">
        <v>215795</v>
      </c>
      <c r="J60" s="223" t="n">
        <v>171421</v>
      </c>
      <c r="K60" s="201" t="n">
        <f aca="false">I60/J60*100-100</f>
        <v>25.8859766306345</v>
      </c>
      <c r="L60" s="223" t="n">
        <v>0</v>
      </c>
      <c r="M60" s="223" t="n">
        <v>0</v>
      </c>
      <c r="N60" s="201" t="n">
        <v>0</v>
      </c>
      <c r="O60" s="223" t="n">
        <v>109</v>
      </c>
      <c r="P60" s="223" t="n">
        <v>50</v>
      </c>
      <c r="Q60" s="223" t="n">
        <v>105</v>
      </c>
      <c r="R60" s="202" t="n">
        <f aca="false">O60*P60</f>
        <v>5450</v>
      </c>
    </row>
    <row r="61" customFormat="false" ht="15" hidden="false" customHeight="false" outlineLevel="0" collapsed="false">
      <c r="A61" s="204" t="n">
        <v>4</v>
      </c>
      <c r="B61" s="220" t="s">
        <v>60</v>
      </c>
      <c r="C61" s="223" t="n">
        <v>237803</v>
      </c>
      <c r="D61" s="223" t="n">
        <v>193452</v>
      </c>
      <c r="E61" s="201" t="n">
        <f aca="false">C61/D61*100-100</f>
        <v>22.926100531398</v>
      </c>
      <c r="F61" s="223" t="n">
        <v>52704</v>
      </c>
      <c r="G61" s="223" t="n">
        <v>22347</v>
      </c>
      <c r="H61" s="201" t="n">
        <f aca="false">F61/G61*100-100</f>
        <v>135.843737414418</v>
      </c>
      <c r="I61" s="206" t="n">
        <v>238867</v>
      </c>
      <c r="J61" s="206" t="n">
        <v>207582</v>
      </c>
      <c r="K61" s="201" t="n">
        <f aca="false">I61/J61*100-100</f>
        <v>15.0711526047538</v>
      </c>
      <c r="L61" s="223" t="n">
        <f aca="false">82485+2620</f>
        <v>85105</v>
      </c>
      <c r="M61" s="223" t="n">
        <f aca="false">96603+2761</f>
        <v>99364</v>
      </c>
      <c r="N61" s="201" t="n">
        <v>0</v>
      </c>
      <c r="O61" s="223" t="n">
        <v>70</v>
      </c>
      <c r="P61" s="223" t="n">
        <v>124</v>
      </c>
      <c r="Q61" s="223" t="n">
        <v>70</v>
      </c>
      <c r="R61" s="202" t="n">
        <f aca="false">O61*P61</f>
        <v>8680</v>
      </c>
    </row>
    <row r="62" customFormat="false" ht="15" hidden="false" customHeight="false" outlineLevel="0" collapsed="false">
      <c r="A62" s="224" t="n">
        <v>5</v>
      </c>
      <c r="B62" s="220" t="s">
        <v>61</v>
      </c>
      <c r="C62" s="200" t="n">
        <v>0</v>
      </c>
      <c r="D62" s="200" t="n">
        <v>0</v>
      </c>
      <c r="E62" s="201" t="n">
        <v>0</v>
      </c>
      <c r="F62" s="200" t="n">
        <v>0</v>
      </c>
      <c r="G62" s="200" t="n">
        <v>0</v>
      </c>
      <c r="H62" s="201" t="n">
        <v>0</v>
      </c>
      <c r="I62" s="200" t="n">
        <v>0</v>
      </c>
      <c r="J62" s="200" t="n">
        <v>0</v>
      </c>
      <c r="K62" s="201" t="n">
        <v>0</v>
      </c>
      <c r="L62" s="200" t="n">
        <v>0</v>
      </c>
      <c r="M62" s="200" t="n">
        <v>0</v>
      </c>
      <c r="N62" s="201" t="n">
        <v>0</v>
      </c>
      <c r="O62" s="203" t="n">
        <v>0</v>
      </c>
      <c r="P62" s="204" t="n">
        <v>0</v>
      </c>
      <c r="Q62" s="203" t="n">
        <v>0</v>
      </c>
      <c r="R62" s="202" t="n">
        <f aca="false">O62*P62</f>
        <v>0</v>
      </c>
    </row>
    <row r="63" customFormat="false" ht="15" hidden="false" customHeight="false" outlineLevel="0" collapsed="false">
      <c r="A63" s="224" t="n">
        <v>6</v>
      </c>
      <c r="B63" s="220" t="s">
        <v>217</v>
      </c>
      <c r="C63" s="223" t="n">
        <v>34572</v>
      </c>
      <c r="D63" s="223" t="n">
        <v>36510</v>
      </c>
      <c r="E63" s="201" t="n">
        <f aca="false">C63/D63*100-100</f>
        <v>-5.30813475760066</v>
      </c>
      <c r="F63" s="223" t="n">
        <v>1430</v>
      </c>
      <c r="G63" s="223" t="n">
        <v>5171</v>
      </c>
      <c r="H63" s="201" t="n">
        <f aca="false">F63/G63*100-100</f>
        <v>-72.3457745116999</v>
      </c>
      <c r="I63" s="223" t="n">
        <v>36459</v>
      </c>
      <c r="J63" s="223" t="n">
        <v>38346</v>
      </c>
      <c r="K63" s="201" t="n">
        <f aca="false">I63/J63*100-100</f>
        <v>-4.92098263182601</v>
      </c>
      <c r="L63" s="223" t="n">
        <v>36459</v>
      </c>
      <c r="M63" s="223" t="n">
        <v>38211</v>
      </c>
      <c r="N63" s="201" t="n">
        <f aca="false">L63/M63*100-100</f>
        <v>-4.58506712726702</v>
      </c>
      <c r="O63" s="223" t="n">
        <v>47</v>
      </c>
      <c r="P63" s="223" t="n">
        <v>61</v>
      </c>
      <c r="Q63" s="223" t="n">
        <v>43</v>
      </c>
      <c r="R63" s="202" t="n">
        <f aca="false">O63*P63</f>
        <v>2867</v>
      </c>
    </row>
    <row r="64" customFormat="false" ht="15" hidden="false" customHeight="false" outlineLevel="0" collapsed="false">
      <c r="A64" s="204" t="n">
        <v>7</v>
      </c>
      <c r="B64" s="220" t="s">
        <v>63</v>
      </c>
      <c r="C64" s="200" t="n">
        <v>251153</v>
      </c>
      <c r="D64" s="200" t="n">
        <v>37382</v>
      </c>
      <c r="E64" s="201" t="n">
        <f aca="false">C64/D64*100-100</f>
        <v>571.855438446311</v>
      </c>
      <c r="F64" s="200" t="n">
        <v>3232</v>
      </c>
      <c r="G64" s="200" t="n">
        <v>5210</v>
      </c>
      <c r="H64" s="201" t="n">
        <v>0</v>
      </c>
      <c r="I64" s="200" t="n">
        <v>46414</v>
      </c>
      <c r="J64" s="200" t="n">
        <v>38535</v>
      </c>
      <c r="K64" s="201" t="n">
        <f aca="false">I64/J64*100-100</f>
        <v>20.4463474763202</v>
      </c>
      <c r="L64" s="225" t="n">
        <v>46388</v>
      </c>
      <c r="M64" s="200" t="n">
        <v>38409</v>
      </c>
      <c r="N64" s="201" t="n">
        <f aca="false">L64/M64*100-100</f>
        <v>20.7737769793538</v>
      </c>
      <c r="O64" s="223" t="n">
        <v>37</v>
      </c>
      <c r="P64" s="223" t="n">
        <v>79</v>
      </c>
      <c r="Q64" s="223" t="n">
        <v>35</v>
      </c>
      <c r="R64" s="202" t="n">
        <f aca="false">O64*P64</f>
        <v>2923</v>
      </c>
    </row>
    <row r="65" customFormat="false" ht="15" hidden="false" customHeight="false" outlineLevel="0" collapsed="false">
      <c r="A65" s="224" t="n">
        <v>8</v>
      </c>
      <c r="B65" s="220" t="s">
        <v>64</v>
      </c>
      <c r="C65" s="226" t="n">
        <v>137300</v>
      </c>
      <c r="D65" s="200" t="n">
        <v>153100</v>
      </c>
      <c r="E65" s="201" t="n">
        <f aca="false">C65/D65*100-100</f>
        <v>-10.3200522534291</v>
      </c>
      <c r="F65" s="200" t="n">
        <v>19500</v>
      </c>
      <c r="G65" s="227" t="n">
        <v>0</v>
      </c>
      <c r="H65" s="201" t="n">
        <v>0</v>
      </c>
      <c r="I65" s="200" t="n">
        <v>143479</v>
      </c>
      <c r="J65" s="227" t="n">
        <v>215727</v>
      </c>
      <c r="K65" s="201" t="n">
        <f aca="false">I65/J65*100-100</f>
        <v>-33.49047638914</v>
      </c>
      <c r="L65" s="200" t="n">
        <v>143479</v>
      </c>
      <c r="M65" s="227" t="n">
        <v>215727</v>
      </c>
      <c r="N65" s="201" t="n">
        <f aca="false">L65/M65*100-100</f>
        <v>-33.49047638914</v>
      </c>
      <c r="O65" s="223" t="n">
        <v>35</v>
      </c>
      <c r="P65" s="222" t="n">
        <v>85</v>
      </c>
      <c r="Q65" s="223" t="n">
        <v>35</v>
      </c>
      <c r="R65" s="202" t="n">
        <f aca="false">O65*P65</f>
        <v>2975</v>
      </c>
    </row>
    <row r="66" customFormat="false" ht="15" hidden="false" customHeight="false" outlineLevel="0" collapsed="false">
      <c r="A66" s="224" t="n">
        <v>9</v>
      </c>
      <c r="B66" s="220" t="s">
        <v>65</v>
      </c>
      <c r="C66" s="200" t="n">
        <v>0</v>
      </c>
      <c r="D66" s="200" t="n">
        <v>0</v>
      </c>
      <c r="E66" s="201" t="n">
        <v>0</v>
      </c>
      <c r="F66" s="200" t="n">
        <v>0</v>
      </c>
      <c r="G66" s="200" t="n">
        <v>0</v>
      </c>
      <c r="H66" s="201" t="n">
        <v>0</v>
      </c>
      <c r="I66" s="200" t="n">
        <v>0</v>
      </c>
      <c r="J66" s="200" t="n">
        <v>0</v>
      </c>
      <c r="K66" s="201" t="n">
        <v>0</v>
      </c>
      <c r="L66" s="200" t="n">
        <v>0</v>
      </c>
      <c r="M66" s="200" t="n">
        <v>0</v>
      </c>
      <c r="N66" s="201" t="n">
        <v>0</v>
      </c>
      <c r="O66" s="203" t="n">
        <v>0</v>
      </c>
      <c r="P66" s="204" t="n">
        <v>0</v>
      </c>
      <c r="Q66" s="203" t="n">
        <v>0</v>
      </c>
      <c r="R66" s="202" t="n">
        <f aca="false">O66*P66</f>
        <v>0</v>
      </c>
    </row>
    <row r="67" customFormat="false" ht="15" hidden="false" customHeight="false" outlineLevel="0" collapsed="false">
      <c r="A67" s="228" t="s">
        <v>66</v>
      </c>
      <c r="B67" s="228"/>
      <c r="C67" s="229" t="n">
        <f aca="false">SUM(C58:C66)</f>
        <v>1259947</v>
      </c>
      <c r="D67" s="229" t="n">
        <f aca="false">SUM(D58:D66)</f>
        <v>1089514</v>
      </c>
      <c r="E67" s="313" t="n">
        <f aca="false">C67/D67*100-100</f>
        <v>15.6430298279783</v>
      </c>
      <c r="F67" s="229" t="n">
        <f aca="false">SUM(F58:F66)</f>
        <v>160027</v>
      </c>
      <c r="G67" s="229" t="n">
        <f aca="false">SUM(G58:G66)</f>
        <v>133632</v>
      </c>
      <c r="H67" s="313" t="n">
        <f aca="false">F67/G67*100-100</f>
        <v>19.7520055076628</v>
      </c>
      <c r="I67" s="231" t="n">
        <f aca="false">SUM(I58:I66)</f>
        <v>1033577</v>
      </c>
      <c r="J67" s="229" t="n">
        <f aca="false">SUM(J58:J66)</f>
        <v>1125826</v>
      </c>
      <c r="K67" s="313" t="n">
        <f aca="false">I67/J67*100-100</f>
        <v>-8.1938949713366</v>
      </c>
      <c r="L67" s="229" t="n">
        <f aca="false">SUM(L58:L66)</f>
        <v>618734</v>
      </c>
      <c r="M67" s="229" t="n">
        <f aca="false">SUM(M58:M66)</f>
        <v>735552</v>
      </c>
      <c r="N67" s="313" t="n">
        <f aca="false">L67/M67*100-100</f>
        <v>-15.8816779778996</v>
      </c>
      <c r="O67" s="231" t="n">
        <f aca="false">SUM(O58:O66)</f>
        <v>556</v>
      </c>
      <c r="P67" s="230" t="n">
        <f aca="false">R67/O67</f>
        <v>85.6384892086331</v>
      </c>
      <c r="Q67" s="231" t="n">
        <f aca="false">SUM(Q58:Q66)</f>
        <v>547</v>
      </c>
      <c r="R67" s="232" t="n">
        <f aca="false">SUM(R58:R66)</f>
        <v>47615</v>
      </c>
    </row>
    <row r="68" customFormat="false" ht="15" hidden="false" customHeight="false" outlineLevel="0" collapsed="false">
      <c r="A68" s="197"/>
      <c r="B68" s="233"/>
      <c r="C68" s="197"/>
      <c r="D68" s="197"/>
      <c r="E68" s="197"/>
      <c r="F68" s="197"/>
      <c r="G68" s="197"/>
      <c r="H68" s="197"/>
      <c r="I68" s="197"/>
      <c r="J68" s="197"/>
      <c r="K68" s="234"/>
      <c r="L68" s="197"/>
      <c r="M68" s="197"/>
      <c r="N68" s="197"/>
      <c r="O68" s="197"/>
      <c r="P68" s="235"/>
      <c r="Q68" s="197"/>
      <c r="R68" s="197"/>
    </row>
    <row r="69" customFormat="false" ht="15" hidden="false" customHeight="false" outlineLevel="0" collapsed="false">
      <c r="A69" s="195" t="s">
        <v>67</v>
      </c>
      <c r="B69" s="195"/>
      <c r="C69" s="195" t="n">
        <v>3</v>
      </c>
      <c r="D69" s="195" t="n">
        <v>4</v>
      </c>
      <c r="E69" s="196" t="n">
        <v>5</v>
      </c>
      <c r="F69" s="195" t="n">
        <v>6</v>
      </c>
      <c r="G69" s="195" t="n">
        <v>7</v>
      </c>
      <c r="H69" s="195" t="n">
        <v>8</v>
      </c>
      <c r="I69" s="195" t="n">
        <v>9</v>
      </c>
      <c r="J69" s="195" t="n">
        <v>10</v>
      </c>
      <c r="K69" s="195" t="n">
        <v>11</v>
      </c>
      <c r="L69" s="195" t="n">
        <v>12</v>
      </c>
      <c r="M69" s="195" t="n">
        <v>13</v>
      </c>
      <c r="N69" s="195" t="n">
        <v>14</v>
      </c>
      <c r="O69" s="195" t="n">
        <v>15</v>
      </c>
      <c r="P69" s="196" t="n">
        <v>16</v>
      </c>
      <c r="Q69" s="195" t="n">
        <v>15</v>
      </c>
      <c r="R69" s="197"/>
    </row>
    <row r="70" customFormat="false" ht="15" hidden="false" customHeight="false" outlineLevel="0" collapsed="false">
      <c r="A70" s="198" t="n">
        <v>1</v>
      </c>
      <c r="B70" s="199" t="s">
        <v>68</v>
      </c>
      <c r="C70" s="203" t="n">
        <v>8687</v>
      </c>
      <c r="D70" s="203" t="n">
        <v>49905</v>
      </c>
      <c r="E70" s="201" t="n">
        <f aca="false">C70/D70*100-100</f>
        <v>-82.5929265604649</v>
      </c>
      <c r="F70" s="203" t="n">
        <v>300</v>
      </c>
      <c r="G70" s="203" t="n">
        <v>466</v>
      </c>
      <c r="H70" s="223" t="n">
        <f aca="false">F70/G70*100-100</f>
        <v>-35.6223175965665</v>
      </c>
      <c r="I70" s="203" t="n">
        <v>16782</v>
      </c>
      <c r="J70" s="203" t="n">
        <v>128094</v>
      </c>
      <c r="K70" s="214" t="n">
        <f aca="false">I70/J70*100</f>
        <v>13.1013162209003</v>
      </c>
      <c r="L70" s="203" t="n">
        <v>14671</v>
      </c>
      <c r="M70" s="203" t="n">
        <v>53172</v>
      </c>
      <c r="N70" s="201" t="n">
        <f aca="false">L70/M70*100-100</f>
        <v>-72.4084104415858</v>
      </c>
      <c r="O70" s="203" t="n">
        <v>146</v>
      </c>
      <c r="P70" s="219" t="n">
        <v>55</v>
      </c>
      <c r="Q70" s="203" t="n">
        <v>148</v>
      </c>
      <c r="R70" s="202" t="n">
        <f aca="false">O70*P70</f>
        <v>8030</v>
      </c>
    </row>
    <row r="71" customFormat="false" ht="15" hidden="false" customHeight="false" outlineLevel="0" collapsed="false">
      <c r="A71" s="198" t="n">
        <v>2</v>
      </c>
      <c r="B71" s="199" t="s">
        <v>69</v>
      </c>
      <c r="C71" s="208" t="n">
        <v>406967</v>
      </c>
      <c r="D71" s="208" t="n">
        <v>375095</v>
      </c>
      <c r="E71" s="201" t="n">
        <f aca="false">C71/D71*100-100</f>
        <v>8.49704741465496</v>
      </c>
      <c r="F71" s="208" t="n">
        <v>61671</v>
      </c>
      <c r="G71" s="208" t="n">
        <v>70461</v>
      </c>
      <c r="H71" s="201" t="n">
        <f aca="false">F71/G71*100-100</f>
        <v>-12.474986162558</v>
      </c>
      <c r="I71" s="208" t="n">
        <v>380280</v>
      </c>
      <c r="J71" s="208" t="n">
        <v>374871</v>
      </c>
      <c r="K71" s="201" t="n">
        <f aca="false">I71/J71*100-100</f>
        <v>1.44289635634658</v>
      </c>
      <c r="L71" s="208" t="n">
        <v>380280</v>
      </c>
      <c r="M71" s="208" t="n">
        <v>374871</v>
      </c>
      <c r="N71" s="201" t="n">
        <f aca="false">L71/M71*100-100</f>
        <v>1.44289635634658</v>
      </c>
      <c r="O71" s="203" t="n">
        <v>23</v>
      </c>
      <c r="P71" s="204" t="n">
        <v>91</v>
      </c>
      <c r="Q71" s="203" t="n">
        <v>23</v>
      </c>
      <c r="R71" s="202" t="n">
        <f aca="false">O71*P71</f>
        <v>2093</v>
      </c>
    </row>
    <row r="72" customFormat="false" ht="15" hidden="false" customHeight="false" outlineLevel="0" collapsed="false">
      <c r="A72" s="198" t="n">
        <v>3</v>
      </c>
      <c r="B72" s="199" t="s">
        <v>70</v>
      </c>
      <c r="C72" s="203" t="n">
        <v>20138</v>
      </c>
      <c r="D72" s="203" t="n">
        <v>29608</v>
      </c>
      <c r="E72" s="201" t="n">
        <f aca="false">C72/D72*100-100</f>
        <v>-31.9845987570927</v>
      </c>
      <c r="F72" s="203" t="n">
        <v>2115</v>
      </c>
      <c r="G72" s="203" t="n">
        <v>1909</v>
      </c>
      <c r="H72" s="201" t="n">
        <f aca="false">F72/G72*100-100</f>
        <v>10.7909900471451</v>
      </c>
      <c r="I72" s="203" t="n">
        <v>19596</v>
      </c>
      <c r="J72" s="203" t="n">
        <v>28208</v>
      </c>
      <c r="K72" s="201" t="n">
        <f aca="false">I72/J72*100-100</f>
        <v>-30.5303460011344</v>
      </c>
      <c r="L72" s="203" t="n">
        <v>7659</v>
      </c>
      <c r="M72" s="203" t="n">
        <v>4160</v>
      </c>
      <c r="N72" s="201" t="n">
        <f aca="false">L72/M72*100-100</f>
        <v>84.1105769230769</v>
      </c>
      <c r="O72" s="203" t="n">
        <v>52</v>
      </c>
      <c r="P72" s="219" t="n">
        <v>55</v>
      </c>
      <c r="Q72" s="203" t="n">
        <v>52</v>
      </c>
      <c r="R72" s="202" t="n">
        <f aca="false">O72*P72</f>
        <v>2860</v>
      </c>
    </row>
    <row r="73" customFormat="false" ht="15" hidden="false" customHeight="false" outlineLevel="0" collapsed="false">
      <c r="A73" s="198" t="n">
        <v>4</v>
      </c>
      <c r="B73" s="199" t="s">
        <v>218</v>
      </c>
      <c r="C73" s="203" t="n">
        <v>45772</v>
      </c>
      <c r="D73" s="203" t="n">
        <v>29035</v>
      </c>
      <c r="E73" s="201" t="n">
        <f aca="false">C73/D73*100-100</f>
        <v>57.6442224900981</v>
      </c>
      <c r="F73" s="203" t="n">
        <v>10177</v>
      </c>
      <c r="G73" s="203" t="n">
        <v>5497</v>
      </c>
      <c r="H73" s="201" t="n">
        <f aca="false">F73/G73*100-100</f>
        <v>85.1373476441695</v>
      </c>
      <c r="I73" s="203" t="n">
        <v>44139</v>
      </c>
      <c r="J73" s="203" t="n">
        <v>38423</v>
      </c>
      <c r="K73" s="201" t="n">
        <f aca="false">I73/J73*100-100</f>
        <v>14.8765062592718</v>
      </c>
      <c r="L73" s="203" t="n">
        <v>34491</v>
      </c>
      <c r="M73" s="203" t="n">
        <v>23341</v>
      </c>
      <c r="N73" s="201" t="n">
        <f aca="false">L73/M73*100-100</f>
        <v>47.7700184225183</v>
      </c>
      <c r="O73" s="203" t="n">
        <v>74</v>
      </c>
      <c r="P73" s="236" t="n">
        <v>50</v>
      </c>
      <c r="Q73" s="203" t="n">
        <v>74</v>
      </c>
      <c r="R73" s="202" t="n">
        <f aca="false">O73*P73</f>
        <v>3700</v>
      </c>
    </row>
    <row r="74" customFormat="false" ht="15" hidden="false" customHeight="false" outlineLevel="0" collapsed="false">
      <c r="A74" s="198" t="n">
        <v>5</v>
      </c>
      <c r="B74" s="199" t="s">
        <v>72</v>
      </c>
      <c r="C74" s="203" t="n">
        <v>59712</v>
      </c>
      <c r="D74" s="203" t="n">
        <v>55647</v>
      </c>
      <c r="E74" s="201" t="n">
        <f aca="false">C74/D74*100-100</f>
        <v>7.30497600948839</v>
      </c>
      <c r="F74" s="203" t="n">
        <v>2327</v>
      </c>
      <c r="G74" s="203" t="n">
        <v>275</v>
      </c>
      <c r="H74" s="201" t="n">
        <f aca="false">F74/G74*100-100</f>
        <v>746.181818181818</v>
      </c>
      <c r="I74" s="203" t="n">
        <v>59712</v>
      </c>
      <c r="J74" s="203" t="n">
        <v>56359</v>
      </c>
      <c r="K74" s="201" t="n">
        <f aca="false">I74/J74*100-100</f>
        <v>5.9493603506095</v>
      </c>
      <c r="L74" s="203" t="n">
        <v>47792</v>
      </c>
      <c r="M74" s="203" t="n">
        <f aca="false">41935+2033</f>
        <v>43968</v>
      </c>
      <c r="N74" s="201" t="n">
        <f aca="false">L74/M74*100-100</f>
        <v>8.69723435225617</v>
      </c>
      <c r="O74" s="203" t="n">
        <v>78</v>
      </c>
      <c r="P74" s="219" t="n">
        <v>147</v>
      </c>
      <c r="Q74" s="203" t="n">
        <v>80</v>
      </c>
      <c r="R74" s="202" t="n">
        <f aca="false">O74*P74</f>
        <v>11466</v>
      </c>
    </row>
    <row r="75" customFormat="false" ht="15" hidden="false" customHeight="false" outlineLevel="0" collapsed="false">
      <c r="A75" s="210" t="n">
        <v>6</v>
      </c>
      <c r="B75" s="199" t="s">
        <v>232</v>
      </c>
      <c r="C75" s="203" t="n">
        <v>36003</v>
      </c>
      <c r="D75" s="203" t="n">
        <v>2156</v>
      </c>
      <c r="E75" s="223" t="n">
        <f aca="false">C75/D75*100-100</f>
        <v>1569.89795918367</v>
      </c>
      <c r="F75" s="203" t="n">
        <v>0</v>
      </c>
      <c r="G75" s="203" t="n">
        <v>0</v>
      </c>
      <c r="H75" s="201" t="n">
        <v>0</v>
      </c>
      <c r="I75" s="203" t="n">
        <v>55314</v>
      </c>
      <c r="J75" s="203" t="n">
        <v>2156</v>
      </c>
      <c r="K75" s="223" t="n">
        <f aca="false">I75/J75*100-100</f>
        <v>2465.58441558442</v>
      </c>
      <c r="L75" s="203" t="n">
        <v>33961</v>
      </c>
      <c r="M75" s="203" t="n">
        <v>48</v>
      </c>
      <c r="N75" s="223" t="n">
        <f aca="false">L75/M75*100-100</f>
        <v>70652.0833333333</v>
      </c>
      <c r="O75" s="203" t="n">
        <v>8</v>
      </c>
      <c r="P75" s="219" t="n">
        <v>69</v>
      </c>
      <c r="Q75" s="203" t="n">
        <v>8</v>
      </c>
      <c r="R75" s="202" t="n">
        <f aca="false">O75*P75</f>
        <v>552</v>
      </c>
    </row>
    <row r="76" customFormat="false" ht="15" hidden="false" customHeight="false" outlineLevel="0" collapsed="false">
      <c r="A76" s="198" t="n">
        <v>7</v>
      </c>
      <c r="B76" s="199" t="s">
        <v>74</v>
      </c>
      <c r="C76" s="203" t="n">
        <v>388690</v>
      </c>
      <c r="D76" s="203" t="n">
        <v>638653</v>
      </c>
      <c r="E76" s="201" t="n">
        <f aca="false">C76/D76*100-100</f>
        <v>-39.139094312561</v>
      </c>
      <c r="F76" s="203" t="n">
        <v>38967</v>
      </c>
      <c r="G76" s="203" t="n">
        <v>156221</v>
      </c>
      <c r="H76" s="201" t="n">
        <f aca="false">F76/G76*100-100</f>
        <v>-75.0564904846339</v>
      </c>
      <c r="I76" s="203" t="n">
        <v>416174</v>
      </c>
      <c r="J76" s="203" t="n">
        <v>544164</v>
      </c>
      <c r="K76" s="201" t="n">
        <f aca="false">I76/J76*100-100</f>
        <v>-23.5204827956278</v>
      </c>
      <c r="L76" s="203" t="n">
        <f aca="false">21475+50264</f>
        <v>71739</v>
      </c>
      <c r="M76" s="203" t="n">
        <f aca="false">17865+87198</f>
        <v>105063</v>
      </c>
      <c r="N76" s="201" t="n">
        <f aca="false">L76/M76*100-100</f>
        <v>-31.7181119899489</v>
      </c>
      <c r="O76" s="203" t="n">
        <v>139</v>
      </c>
      <c r="P76" s="204" t="n">
        <v>200</v>
      </c>
      <c r="Q76" s="203" t="n">
        <v>139</v>
      </c>
      <c r="R76" s="202" t="n">
        <f aca="false">O76*P76</f>
        <v>27800</v>
      </c>
    </row>
    <row r="77" customFormat="false" ht="15" hidden="false" customHeight="false" outlineLevel="0" collapsed="false">
      <c r="A77" s="198" t="n">
        <v>8</v>
      </c>
      <c r="B77" s="199" t="s">
        <v>75</v>
      </c>
      <c r="C77" s="203" t="n">
        <v>76268</v>
      </c>
      <c r="D77" s="203" t="n">
        <v>2716</v>
      </c>
      <c r="E77" s="223" t="n">
        <f aca="false">C77/D77*100-100</f>
        <v>2708.10014727541</v>
      </c>
      <c r="F77" s="203" t="n">
        <v>13465</v>
      </c>
      <c r="G77" s="203" t="n">
        <v>0</v>
      </c>
      <c r="H77" s="201" t="n">
        <v>0</v>
      </c>
      <c r="I77" s="203" t="n">
        <v>76268</v>
      </c>
      <c r="J77" s="203" t="n">
        <v>2988</v>
      </c>
      <c r="K77" s="223" t="n">
        <f aca="false">I77/J77*100-100</f>
        <v>2452.4765729585</v>
      </c>
      <c r="L77" s="203" t="n">
        <v>1045</v>
      </c>
      <c r="M77" s="203" t="n">
        <v>0</v>
      </c>
      <c r="N77" s="201" t="n">
        <v>0</v>
      </c>
      <c r="O77" s="203" t="n">
        <v>32</v>
      </c>
      <c r="P77" s="219" t="n">
        <v>40</v>
      </c>
      <c r="Q77" s="203" t="n">
        <v>32</v>
      </c>
      <c r="R77" s="202" t="n">
        <f aca="false">O77*P77</f>
        <v>1280</v>
      </c>
    </row>
    <row r="78" customFormat="false" ht="15" hidden="false" customHeight="false" outlineLevel="0" collapsed="false">
      <c r="A78" s="215" t="s">
        <v>76</v>
      </c>
      <c r="B78" s="215" t="s">
        <v>77</v>
      </c>
      <c r="C78" s="216" t="n">
        <f aca="false">SUM(C70:C77)</f>
        <v>1042237</v>
      </c>
      <c r="D78" s="216" t="n">
        <f aca="false">SUM(D70:D77)</f>
        <v>1182815</v>
      </c>
      <c r="E78" s="313" t="n">
        <f aca="false">C78/D78*100-100</f>
        <v>-11.8850369668968</v>
      </c>
      <c r="F78" s="216" t="n">
        <f aca="false">SUM(F70:F77)</f>
        <v>129022</v>
      </c>
      <c r="G78" s="216" t="n">
        <f aca="false">SUM(G70:G77)</f>
        <v>234829</v>
      </c>
      <c r="H78" s="313" t="n">
        <f aca="false">F78/G78*100-100</f>
        <v>-45.0570415067986</v>
      </c>
      <c r="I78" s="216" t="n">
        <f aca="false">SUM(I70:I77)</f>
        <v>1068265</v>
      </c>
      <c r="J78" s="216" t="n">
        <f aca="false">SUM(J70:J77)</f>
        <v>1175263</v>
      </c>
      <c r="K78" s="313" t="n">
        <f aca="false">I78/J78*100-100</f>
        <v>-9.10417498040864</v>
      </c>
      <c r="L78" s="216" t="n">
        <f aca="false">SUM(L70:L77)</f>
        <v>591638</v>
      </c>
      <c r="M78" s="216" t="n">
        <f aca="false">SUM(M70:M77)</f>
        <v>604623</v>
      </c>
      <c r="N78" s="313" t="n">
        <f aca="false">L78/M78*100-100</f>
        <v>-2.14761926026632</v>
      </c>
      <c r="O78" s="216" t="n">
        <f aca="false">SUM(O70:O77)</f>
        <v>552</v>
      </c>
      <c r="P78" s="217" t="n">
        <f aca="false">R78/O78</f>
        <v>104.675724637681</v>
      </c>
      <c r="Q78" s="216" t="n">
        <f aca="false">SUM(Q70:Q77)</f>
        <v>556</v>
      </c>
      <c r="R78" s="232" t="n">
        <f aca="false">SUM(R70:R77)</f>
        <v>57781</v>
      </c>
    </row>
    <row r="79" customFormat="false" ht="15" hidden="false" customHeight="false" outlineLevel="0" collapsed="false">
      <c r="A79" s="314" t="s">
        <v>78</v>
      </c>
      <c r="B79" s="314" t="s">
        <v>78</v>
      </c>
      <c r="C79" s="315" t="n">
        <f aca="false">C55+C67+C78</f>
        <v>4023112</v>
      </c>
      <c r="D79" s="315" t="n">
        <f aca="false">D55+D67+D78</f>
        <v>5006873</v>
      </c>
      <c r="E79" s="316" t="n">
        <f aca="false">C79/D79*100-100</f>
        <v>-19.6482115683781</v>
      </c>
      <c r="F79" s="315" t="n">
        <f aca="false">F55+F67+F78</f>
        <v>531098</v>
      </c>
      <c r="G79" s="315" t="n">
        <f aca="false">G55+G67+G78</f>
        <v>717668</v>
      </c>
      <c r="H79" s="316" t="n">
        <f aca="false">F79/G79*100-100</f>
        <v>-25.9967004241516</v>
      </c>
      <c r="I79" s="315" t="n">
        <f aca="false">I55+I67+I78</f>
        <v>3873224</v>
      </c>
      <c r="J79" s="315" t="n">
        <f aca="false">J55+J67+J78</f>
        <v>4419058</v>
      </c>
      <c r="K79" s="316" t="n">
        <f aca="false">I79/J79*100-100</f>
        <v>-12.3518179666345</v>
      </c>
      <c r="L79" s="315" t="n">
        <f aca="false">L55+L67+L78</f>
        <v>2049785</v>
      </c>
      <c r="M79" s="315" t="n">
        <f aca="false">M55+M67+M78</f>
        <v>2585261</v>
      </c>
      <c r="N79" s="316" t="n">
        <f aca="false">L79/M79*100-100</f>
        <v>-20.7126475818109</v>
      </c>
      <c r="O79" s="315" t="n">
        <f aca="false">O55+O67+O78</f>
        <v>1947</v>
      </c>
      <c r="P79" s="317" t="n">
        <f aca="false">R79/O79</f>
        <v>105.968669748331</v>
      </c>
      <c r="Q79" s="315" t="n">
        <f aca="false">Q55+Q67+Q78</f>
        <v>1950</v>
      </c>
      <c r="R79" s="318" t="n">
        <f aca="false">R55+R67+R78</f>
        <v>206321</v>
      </c>
    </row>
    <row r="80" customFormat="false" ht="15" hidden="false" customHeight="false" outlineLevel="0" collapsed="false">
      <c r="A80" s="203"/>
      <c r="B80" s="218"/>
      <c r="C80" s="203"/>
      <c r="D80" s="203"/>
      <c r="E80" s="203"/>
      <c r="F80" s="203"/>
      <c r="G80" s="203"/>
      <c r="H80" s="203"/>
      <c r="I80" s="203"/>
      <c r="J80" s="203"/>
      <c r="K80" s="192"/>
      <c r="L80" s="203"/>
      <c r="M80" s="203"/>
      <c r="N80" s="203"/>
      <c r="O80" s="203"/>
      <c r="P80" s="219"/>
      <c r="Q80" s="203"/>
      <c r="R80" s="197"/>
    </row>
    <row r="81" customFormat="false" ht="15" hidden="false" customHeight="false" outlineLevel="0" collapsed="false">
      <c r="A81" s="190" t="s">
        <v>79</v>
      </c>
      <c r="B81" s="190"/>
      <c r="C81" s="195" t="n">
        <v>3</v>
      </c>
      <c r="D81" s="195" t="n">
        <v>4</v>
      </c>
      <c r="E81" s="196" t="n">
        <v>5</v>
      </c>
      <c r="F81" s="195" t="n">
        <v>6</v>
      </c>
      <c r="G81" s="195" t="n">
        <v>7</v>
      </c>
      <c r="H81" s="195" t="n">
        <v>8</v>
      </c>
      <c r="I81" s="195" t="n">
        <v>9</v>
      </c>
      <c r="J81" s="195" t="n">
        <v>10</v>
      </c>
      <c r="K81" s="195" t="n">
        <v>11</v>
      </c>
      <c r="L81" s="195" t="n">
        <v>12</v>
      </c>
      <c r="M81" s="195" t="n">
        <v>13</v>
      </c>
      <c r="N81" s="195" t="n">
        <v>14</v>
      </c>
      <c r="O81" s="195" t="n">
        <v>15</v>
      </c>
      <c r="P81" s="196" t="n">
        <v>16</v>
      </c>
      <c r="Q81" s="195" t="n">
        <v>15</v>
      </c>
      <c r="R81" s="197"/>
    </row>
    <row r="82" customFormat="false" ht="15" hidden="false" customHeight="false" outlineLevel="0" collapsed="false">
      <c r="A82" s="242" t="n">
        <v>1</v>
      </c>
      <c r="B82" s="243" t="s">
        <v>80</v>
      </c>
      <c r="C82" s="208" t="n">
        <v>3097</v>
      </c>
      <c r="D82" s="208" t="n">
        <v>11106</v>
      </c>
      <c r="E82" s="201" t="n">
        <f aca="false">C82/D82*100-100</f>
        <v>-72.1141725193589</v>
      </c>
      <c r="F82" s="208" t="n">
        <v>203</v>
      </c>
      <c r="G82" s="208" t="n">
        <v>181</v>
      </c>
      <c r="H82" s="201" t="n">
        <f aca="false">F82/G82*100-100</f>
        <v>12.1546961325967</v>
      </c>
      <c r="I82" s="208" t="n">
        <v>3097</v>
      </c>
      <c r="J82" s="208" t="n">
        <v>8533</v>
      </c>
      <c r="K82" s="201" t="n">
        <f aca="false">I82/J82*100-100</f>
        <v>-63.7056135005274</v>
      </c>
      <c r="L82" s="203" t="n">
        <v>0</v>
      </c>
      <c r="M82" s="208" t="n">
        <v>0</v>
      </c>
      <c r="N82" s="201" t="n">
        <v>0</v>
      </c>
      <c r="O82" s="203" t="n">
        <v>2560</v>
      </c>
      <c r="P82" s="208" t="n">
        <v>113</v>
      </c>
      <c r="Q82" s="203" t="n">
        <v>2560</v>
      </c>
      <c r="R82" s="202" t="n">
        <f aca="false">O82*P82</f>
        <v>289280</v>
      </c>
    </row>
    <row r="83" customFormat="false" ht="15" hidden="false" customHeight="false" outlineLevel="0" collapsed="false">
      <c r="A83" s="244" t="n">
        <v>2</v>
      </c>
      <c r="B83" s="243" t="s">
        <v>81</v>
      </c>
      <c r="C83" s="208" t="n">
        <v>323614</v>
      </c>
      <c r="D83" s="208" t="n">
        <v>404148</v>
      </c>
      <c r="E83" s="201" t="n">
        <f aca="false">C83/D83*100-100</f>
        <v>-19.9268584775874</v>
      </c>
      <c r="F83" s="208" t="n">
        <v>1765</v>
      </c>
      <c r="G83" s="208" t="n">
        <v>68539</v>
      </c>
      <c r="H83" s="201" t="n">
        <f aca="false">F83/G83*100-100</f>
        <v>-97.4248238229329</v>
      </c>
      <c r="I83" s="208" t="n">
        <v>373942</v>
      </c>
      <c r="J83" s="208" t="n">
        <v>441849</v>
      </c>
      <c r="K83" s="201" t="n">
        <f aca="false">I83/J83*100-100</f>
        <v>-15.3688250963564</v>
      </c>
      <c r="L83" s="208" t="n">
        <v>361588</v>
      </c>
      <c r="M83" s="208" t="n">
        <v>435545</v>
      </c>
      <c r="N83" s="201" t="n">
        <f aca="false">L83/M83*100-100</f>
        <v>-16.980334982608</v>
      </c>
      <c r="O83" s="203" t="n">
        <v>737</v>
      </c>
      <c r="P83" s="208" t="n">
        <v>109</v>
      </c>
      <c r="Q83" s="203" t="n">
        <v>761</v>
      </c>
      <c r="R83" s="202" t="n">
        <f aca="false">O83*P83</f>
        <v>80333</v>
      </c>
    </row>
    <row r="84" customFormat="false" ht="15" hidden="false" customHeight="false" outlineLevel="0" collapsed="false">
      <c r="A84" s="242" t="n">
        <v>3</v>
      </c>
      <c r="B84" s="243" t="s">
        <v>82</v>
      </c>
      <c r="C84" s="208" t="n">
        <v>809597</v>
      </c>
      <c r="D84" s="208" t="n">
        <v>608282</v>
      </c>
      <c r="E84" s="201" t="n">
        <f aca="false">C84/D84*100-100</f>
        <v>33.0956694427913</v>
      </c>
      <c r="F84" s="208" t="n">
        <v>74137</v>
      </c>
      <c r="G84" s="208" t="n">
        <v>196643</v>
      </c>
      <c r="H84" s="201" t="n">
        <f aca="false">F84/G84*100-100</f>
        <v>-62.2986834008838</v>
      </c>
      <c r="I84" s="208" t="n">
        <v>889216</v>
      </c>
      <c r="J84" s="208" t="n">
        <v>1321254</v>
      </c>
      <c r="K84" s="201" t="n">
        <f aca="false">I84/J84*100-100</f>
        <v>-32.6990873821385</v>
      </c>
      <c r="L84" s="208" t="n">
        <v>230937</v>
      </c>
      <c r="M84" s="208" t="n">
        <v>297563</v>
      </c>
      <c r="N84" s="201" t="n">
        <f aca="false">L84/M84*100-100</f>
        <v>-22.3905525888635</v>
      </c>
      <c r="O84" s="203" t="n">
        <v>28</v>
      </c>
      <c r="P84" s="208" t="n">
        <v>306</v>
      </c>
      <c r="Q84" s="203" t="n">
        <v>28</v>
      </c>
      <c r="R84" s="202" t="n">
        <f aca="false">O84*P84</f>
        <v>8568</v>
      </c>
    </row>
    <row r="85" customFormat="false" ht="15" hidden="false" customHeight="false" outlineLevel="0" collapsed="false">
      <c r="A85" s="244" t="n">
        <v>4</v>
      </c>
      <c r="B85" s="243" t="s">
        <v>83</v>
      </c>
      <c r="C85" s="208" t="n">
        <v>681652</v>
      </c>
      <c r="D85" s="208" t="n">
        <v>567395</v>
      </c>
      <c r="E85" s="201" t="n">
        <f aca="false">C85/D85*100-100</f>
        <v>20.1371178808414</v>
      </c>
      <c r="F85" s="208" t="n">
        <v>102801</v>
      </c>
      <c r="G85" s="208" t="n">
        <v>84017</v>
      </c>
      <c r="H85" s="201" t="n">
        <f aca="false">F85/G85*100-100</f>
        <v>22.3573800540367</v>
      </c>
      <c r="I85" s="208" t="n">
        <v>681693</v>
      </c>
      <c r="J85" s="208" t="n">
        <v>556582</v>
      </c>
      <c r="K85" s="201" t="n">
        <f aca="false">I85/J85*100-100</f>
        <v>22.4784488179639</v>
      </c>
      <c r="L85" s="203" t="n">
        <v>475636</v>
      </c>
      <c r="M85" s="208" t="n">
        <v>323386</v>
      </c>
      <c r="N85" s="201" t="n">
        <f aca="false">L85/M85*100-100</f>
        <v>47.079960171436</v>
      </c>
      <c r="O85" s="203" t="n">
        <v>190</v>
      </c>
      <c r="P85" s="208" t="n">
        <v>40</v>
      </c>
      <c r="Q85" s="203" t="n">
        <v>180</v>
      </c>
      <c r="R85" s="202" t="n">
        <f aca="false">O85*P85</f>
        <v>7600</v>
      </c>
    </row>
    <row r="86" customFormat="false" ht="15" hidden="false" customHeight="false" outlineLevel="0" collapsed="false">
      <c r="A86" s="242" t="n">
        <v>5</v>
      </c>
      <c r="B86" s="243" t="s">
        <v>84</v>
      </c>
      <c r="C86" s="219" t="n">
        <v>246735</v>
      </c>
      <c r="D86" s="219" t="n">
        <v>214955</v>
      </c>
      <c r="E86" s="201" t="n">
        <f aca="false">C86/D86*100-100</f>
        <v>14.7844897769301</v>
      </c>
      <c r="F86" s="219" t="n">
        <v>38318</v>
      </c>
      <c r="G86" s="219" t="n">
        <v>33230</v>
      </c>
      <c r="H86" s="201" t="n">
        <f aca="false">F86/G86*100-100</f>
        <v>15.3114655431839</v>
      </c>
      <c r="I86" s="219" t="n">
        <v>246781</v>
      </c>
      <c r="J86" s="219" t="n">
        <v>202986</v>
      </c>
      <c r="K86" s="201" t="n">
        <f aca="false">I86/J86*100-100</f>
        <v>21.5753795828284</v>
      </c>
      <c r="L86" s="203" t="n">
        <v>135721</v>
      </c>
      <c r="M86" s="219" t="n">
        <v>94144</v>
      </c>
      <c r="N86" s="201" t="n">
        <f aca="false">L86/M86*100-100</f>
        <v>44.1631968048946</v>
      </c>
      <c r="O86" s="203" t="n">
        <v>93</v>
      </c>
      <c r="P86" s="219" t="n">
        <v>74</v>
      </c>
      <c r="Q86" s="203" t="n">
        <v>93</v>
      </c>
      <c r="R86" s="202" t="n">
        <f aca="false">O86*P86</f>
        <v>6882</v>
      </c>
    </row>
    <row r="87" customFormat="false" ht="15" hidden="false" customHeight="false" outlineLevel="0" collapsed="false">
      <c r="A87" s="244" t="n">
        <v>6</v>
      </c>
      <c r="B87" s="243" t="s">
        <v>85</v>
      </c>
      <c r="C87" s="200" t="n">
        <v>0</v>
      </c>
      <c r="D87" s="200" t="n">
        <v>0</v>
      </c>
      <c r="E87" s="201" t="n">
        <v>0</v>
      </c>
      <c r="F87" s="200" t="n">
        <v>0</v>
      </c>
      <c r="G87" s="200" t="n">
        <v>0</v>
      </c>
      <c r="H87" s="201" t="n">
        <v>0</v>
      </c>
      <c r="I87" s="200" t="n">
        <v>0</v>
      </c>
      <c r="J87" s="200" t="n">
        <v>0</v>
      </c>
      <c r="K87" s="201" t="n">
        <v>0</v>
      </c>
      <c r="L87" s="200" t="n">
        <v>0</v>
      </c>
      <c r="M87" s="200" t="n">
        <v>0</v>
      </c>
      <c r="N87" s="201" t="n">
        <v>0</v>
      </c>
      <c r="O87" s="203" t="n">
        <v>0</v>
      </c>
      <c r="P87" s="204" t="n">
        <v>0</v>
      </c>
      <c r="Q87" s="203" t="n">
        <v>0</v>
      </c>
      <c r="R87" s="202" t="n">
        <f aca="false">O87*P87</f>
        <v>0</v>
      </c>
    </row>
    <row r="88" customFormat="false" ht="15" hidden="false" customHeight="false" outlineLevel="0" collapsed="false">
      <c r="A88" s="244" t="n">
        <v>7</v>
      </c>
      <c r="B88" s="245" t="s">
        <v>87</v>
      </c>
      <c r="C88" s="219" t="n">
        <v>442129</v>
      </c>
      <c r="D88" s="219" t="n">
        <v>657720</v>
      </c>
      <c r="E88" s="201" t="n">
        <f aca="false">C88/D88*100-100</f>
        <v>-32.7785379796874</v>
      </c>
      <c r="F88" s="219" t="n">
        <v>93560</v>
      </c>
      <c r="G88" s="219" t="n">
        <v>128966</v>
      </c>
      <c r="H88" s="201" t="n">
        <f aca="false">F88/G88*100-100</f>
        <v>-27.4537474993409</v>
      </c>
      <c r="I88" s="219" t="n">
        <v>743997</v>
      </c>
      <c r="J88" s="219" t="n">
        <v>723916</v>
      </c>
      <c r="K88" s="201" t="n">
        <f aca="false">I88/J88*100-100</f>
        <v>2.7739406229452</v>
      </c>
      <c r="L88" s="203" t="n">
        <v>211940</v>
      </c>
      <c r="M88" s="219" t="n">
        <v>141529</v>
      </c>
      <c r="N88" s="201" t="n">
        <f aca="false">L88/M88*100-100</f>
        <v>49.7502278684934</v>
      </c>
      <c r="O88" s="203" t="n">
        <v>65</v>
      </c>
      <c r="P88" s="208" t="n">
        <v>128</v>
      </c>
      <c r="Q88" s="203" t="n">
        <v>65</v>
      </c>
      <c r="R88" s="202" t="n">
        <f aca="false">O88*P88</f>
        <v>8320</v>
      </c>
    </row>
    <row r="89" customFormat="false" ht="15" hidden="false" customHeight="false" outlineLevel="0" collapsed="false">
      <c r="A89" s="242" t="n">
        <v>8</v>
      </c>
      <c r="B89" s="243" t="s">
        <v>89</v>
      </c>
      <c r="C89" s="208" t="n">
        <v>988007</v>
      </c>
      <c r="D89" s="208" t="n">
        <v>779494</v>
      </c>
      <c r="E89" s="201" t="n">
        <f aca="false">C89/D89*100-100</f>
        <v>26.7497889656623</v>
      </c>
      <c r="F89" s="208" t="n">
        <v>47437</v>
      </c>
      <c r="G89" s="208" t="n">
        <v>49309</v>
      </c>
      <c r="H89" s="201" t="n">
        <f aca="false">F89/G89*100-100</f>
        <v>-3.79646717637753</v>
      </c>
      <c r="I89" s="208" t="n">
        <v>989826</v>
      </c>
      <c r="J89" s="208" t="n">
        <v>745418</v>
      </c>
      <c r="K89" s="201" t="n">
        <f aca="false">I89/J89*100-100</f>
        <v>32.7880464383742</v>
      </c>
      <c r="L89" s="203" t="n">
        <f aca="false">235597+344020</f>
        <v>579617</v>
      </c>
      <c r="M89" s="208" t="n">
        <f aca="false">160104+201725</f>
        <v>361829</v>
      </c>
      <c r="N89" s="201" t="n">
        <f aca="false">L89/M89*100-100</f>
        <v>60.1908636400067</v>
      </c>
      <c r="O89" s="203" t="n">
        <v>101</v>
      </c>
      <c r="P89" s="208" t="n">
        <v>245</v>
      </c>
      <c r="Q89" s="203" t="n">
        <v>102</v>
      </c>
      <c r="R89" s="202" t="n">
        <f aca="false">O89*P89</f>
        <v>24745</v>
      </c>
    </row>
    <row r="90" customFormat="false" ht="15" hidden="false" customHeight="false" outlineLevel="0" collapsed="false">
      <c r="A90" s="242" t="n">
        <v>9</v>
      </c>
      <c r="B90" s="243" t="s">
        <v>233</v>
      </c>
      <c r="C90" s="208" t="n">
        <v>671263</v>
      </c>
      <c r="D90" s="208" t="n">
        <v>419222</v>
      </c>
      <c r="E90" s="201" t="n">
        <f aca="false">C90/D90*100-100</f>
        <v>60.121129139215</v>
      </c>
      <c r="F90" s="208" t="n">
        <v>65690</v>
      </c>
      <c r="G90" s="208" t="n">
        <v>44672</v>
      </c>
      <c r="H90" s="201" t="n">
        <f aca="false">F90/G90*100-100</f>
        <v>47.049606017192</v>
      </c>
      <c r="I90" s="208" t="n">
        <v>560165</v>
      </c>
      <c r="J90" s="208" t="n">
        <v>416744</v>
      </c>
      <c r="K90" s="201" t="n">
        <f aca="false">I90/J90*100-100</f>
        <v>34.4146526404699</v>
      </c>
      <c r="L90" s="203" t="n">
        <f aca="false">114669+41713</f>
        <v>156382</v>
      </c>
      <c r="M90" s="208" t="n">
        <f aca="false">104885+18067</f>
        <v>122952</v>
      </c>
      <c r="N90" s="201" t="n">
        <f aca="false">L90/M90*100-100</f>
        <v>27.1894723143991</v>
      </c>
      <c r="O90" s="203"/>
      <c r="P90" s="208"/>
      <c r="Q90" s="203"/>
      <c r="R90" s="202"/>
    </row>
    <row r="91" customFormat="false" ht="15" hidden="false" customHeight="false" outlineLevel="0" collapsed="false">
      <c r="A91" s="242" t="n">
        <v>10</v>
      </c>
      <c r="B91" s="243" t="s">
        <v>234</v>
      </c>
      <c r="C91" s="208" t="n">
        <v>151926</v>
      </c>
      <c r="D91" s="208" t="n">
        <v>64995</v>
      </c>
      <c r="E91" s="201" t="n">
        <f aca="false">C91/D91*100-100</f>
        <v>133.75028848373</v>
      </c>
      <c r="F91" s="208" t="n">
        <v>10467</v>
      </c>
      <c r="G91" s="208" t="n">
        <v>6353</v>
      </c>
      <c r="H91" s="201" t="n">
        <f aca="false">F91/G91*100-100</f>
        <v>64.7568078073351</v>
      </c>
      <c r="I91" s="208" t="n">
        <v>151926</v>
      </c>
      <c r="J91" s="208" t="n">
        <v>64995</v>
      </c>
      <c r="K91" s="201" t="n">
        <f aca="false">I91/J91*100-100</f>
        <v>133.75028848373</v>
      </c>
      <c r="L91" s="203" t="n">
        <f aca="false">17893+65990</f>
        <v>83883</v>
      </c>
      <c r="M91" s="208" t="n">
        <f aca="false">19491+5157</f>
        <v>24648</v>
      </c>
      <c r="N91" s="201" t="n">
        <f aca="false">L91/M91*100-100</f>
        <v>240.323758519961</v>
      </c>
      <c r="O91" s="203"/>
      <c r="P91" s="208"/>
      <c r="Q91" s="203"/>
      <c r="R91" s="202"/>
    </row>
    <row r="92" customFormat="false" ht="15" hidden="false" customHeight="false" outlineLevel="0" collapsed="false">
      <c r="A92" s="244" t="n">
        <v>11</v>
      </c>
      <c r="B92" s="243" t="s">
        <v>90</v>
      </c>
      <c r="C92" s="242" t="n">
        <v>231469</v>
      </c>
      <c r="D92" s="364" t="n">
        <v>191564</v>
      </c>
      <c r="E92" s="201" t="n">
        <f aca="false">C92/D92*100-100</f>
        <v>20.8311582552045</v>
      </c>
      <c r="F92" s="208" t="n">
        <v>24013</v>
      </c>
      <c r="G92" s="208" t="n">
        <v>29313</v>
      </c>
      <c r="H92" s="201" t="n">
        <f aca="false">F92/G92*100-100</f>
        <v>-18.080715041108</v>
      </c>
      <c r="I92" s="247" t="n">
        <v>2300347</v>
      </c>
      <c r="J92" s="248" t="n">
        <v>2168184</v>
      </c>
      <c r="K92" s="201" t="n">
        <f aca="false">I92/J92*100-100</f>
        <v>6.09556200027303</v>
      </c>
      <c r="L92" s="247" t="n">
        <v>9009</v>
      </c>
      <c r="M92" s="248" t="n">
        <v>31703</v>
      </c>
      <c r="N92" s="201" t="n">
        <f aca="false">L92/M92*100-100</f>
        <v>-71.583130933981</v>
      </c>
      <c r="O92" s="203" t="n">
        <v>52</v>
      </c>
      <c r="P92" s="208" t="n">
        <v>250</v>
      </c>
      <c r="Q92" s="203" t="n">
        <v>52</v>
      </c>
      <c r="R92" s="202" t="n">
        <f aca="false">O92*P92</f>
        <v>13000</v>
      </c>
    </row>
    <row r="93" customFormat="false" ht="15" hidden="false" customHeight="false" outlineLevel="0" collapsed="false">
      <c r="A93" s="215" t="s">
        <v>91</v>
      </c>
      <c r="B93" s="215" t="s">
        <v>92</v>
      </c>
      <c r="C93" s="237" t="n">
        <f aca="false">SUM(C82:C92)</f>
        <v>4549489</v>
      </c>
      <c r="D93" s="237" t="n">
        <f aca="false">SUM(D82:D92)</f>
        <v>3918881</v>
      </c>
      <c r="E93" s="313" t="n">
        <f aca="false">C93/D93*100-100</f>
        <v>16.0915322511707</v>
      </c>
      <c r="F93" s="237" t="n">
        <f aca="false">SUM(F82:F92)</f>
        <v>458391</v>
      </c>
      <c r="G93" s="237" t="n">
        <f aca="false">SUM(G82:G92)</f>
        <v>641223</v>
      </c>
      <c r="H93" s="313" t="n">
        <f aca="false">F93/G93*100-100</f>
        <v>-28.5130134134303</v>
      </c>
      <c r="I93" s="237" t="n">
        <f aca="false">SUM(I82:I92)</f>
        <v>6940990</v>
      </c>
      <c r="J93" s="237" t="n">
        <f aca="false">SUM(J82:J92)</f>
        <v>6650461</v>
      </c>
      <c r="K93" s="313" t="n">
        <f aca="false">I93/J93*100-100</f>
        <v>4.36855430022069</v>
      </c>
      <c r="L93" s="237" t="n">
        <f aca="false">SUM(L82:L92)</f>
        <v>2244713</v>
      </c>
      <c r="M93" s="237" t="n">
        <f aca="false">SUM(M82:M92)</f>
        <v>1833299</v>
      </c>
      <c r="N93" s="313" t="n">
        <f aca="false">L93/M93*100-100</f>
        <v>22.4411838985348</v>
      </c>
      <c r="O93" s="216" t="n">
        <f aca="false">SUM(O82:O92)</f>
        <v>3826</v>
      </c>
      <c r="P93" s="217" t="n">
        <f aca="false">R93/O93</f>
        <v>114.670151594354</v>
      </c>
      <c r="Q93" s="216" t="n">
        <f aca="false">SUM(Q82:Q92)</f>
        <v>3841</v>
      </c>
      <c r="R93" s="232" t="n">
        <f aca="false">SUM(R82:R92)</f>
        <v>438728</v>
      </c>
    </row>
    <row r="94" customFormat="false" ht="15" hidden="false" customHeight="false" outlineLevel="0" collapsed="false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192"/>
      <c r="L94" s="203"/>
      <c r="M94" s="203"/>
      <c r="N94" s="203"/>
      <c r="O94" s="203"/>
      <c r="P94" s="219"/>
      <c r="Q94" s="203"/>
      <c r="R94" s="197"/>
    </row>
    <row r="95" customFormat="false" ht="15" hidden="false" customHeight="false" outlineLevel="0" collapsed="false">
      <c r="A95" s="190" t="s">
        <v>93</v>
      </c>
      <c r="B95" s="190"/>
      <c r="C95" s="195" t="n">
        <v>3</v>
      </c>
      <c r="D95" s="195" t="n">
        <v>4</v>
      </c>
      <c r="E95" s="196" t="n">
        <v>5</v>
      </c>
      <c r="F95" s="195" t="n">
        <v>6</v>
      </c>
      <c r="G95" s="195" t="n">
        <v>7</v>
      </c>
      <c r="H95" s="195" t="n">
        <v>8</v>
      </c>
      <c r="I95" s="195" t="n">
        <v>9</v>
      </c>
      <c r="J95" s="195" t="n">
        <v>10</v>
      </c>
      <c r="K95" s="195" t="n">
        <v>11</v>
      </c>
      <c r="L95" s="195" t="n">
        <v>12</v>
      </c>
      <c r="M95" s="195" t="n">
        <v>13</v>
      </c>
      <c r="N95" s="195" t="n">
        <v>14</v>
      </c>
      <c r="O95" s="195" t="n">
        <v>15</v>
      </c>
      <c r="P95" s="196" t="n">
        <v>16</v>
      </c>
      <c r="Q95" s="195" t="n">
        <v>15</v>
      </c>
      <c r="R95" s="197"/>
    </row>
    <row r="96" customFormat="false" ht="15" hidden="false" customHeight="false" outlineLevel="0" collapsed="false">
      <c r="A96" s="249" t="n">
        <v>1</v>
      </c>
      <c r="B96" s="245" t="s">
        <v>94</v>
      </c>
      <c r="C96" s="250" t="n">
        <v>242139</v>
      </c>
      <c r="D96" s="250" t="n">
        <v>179643</v>
      </c>
      <c r="E96" s="201" t="n">
        <f aca="false">C96/D96*100-100</f>
        <v>34.7889981797231</v>
      </c>
      <c r="F96" s="250" t="n">
        <v>45685</v>
      </c>
      <c r="G96" s="250" t="n">
        <v>8995</v>
      </c>
      <c r="H96" s="201" t="n">
        <f aca="false">F96/G96*100-100</f>
        <v>407.893274041134</v>
      </c>
      <c r="I96" s="250" t="n">
        <v>234613</v>
      </c>
      <c r="J96" s="251" t="n">
        <v>175842</v>
      </c>
      <c r="K96" s="201" t="n">
        <f aca="false">I96/J96*100-100</f>
        <v>33.422618032097</v>
      </c>
      <c r="L96" s="250" t="n">
        <v>234593</v>
      </c>
      <c r="M96" s="250" t="n">
        <v>175797</v>
      </c>
      <c r="N96" s="201" t="n">
        <f aca="false">L96/M96*100-100</f>
        <v>33.4453944037726</v>
      </c>
      <c r="O96" s="250" t="n">
        <v>307</v>
      </c>
      <c r="P96" s="250" t="n">
        <v>90</v>
      </c>
      <c r="Q96" s="250" t="n">
        <v>311</v>
      </c>
      <c r="R96" s="202" t="n">
        <f aca="false">O96*P96</f>
        <v>27630</v>
      </c>
    </row>
    <row r="97" customFormat="false" ht="15" hidden="false" customHeight="false" outlineLevel="0" collapsed="false">
      <c r="A97" s="249" t="n">
        <v>2</v>
      </c>
      <c r="B97" s="245" t="s">
        <v>95</v>
      </c>
      <c r="C97" s="200" t="n">
        <v>0</v>
      </c>
      <c r="D97" s="200" t="n">
        <v>0</v>
      </c>
      <c r="E97" s="201" t="n">
        <v>0</v>
      </c>
      <c r="F97" s="200" t="n">
        <v>0</v>
      </c>
      <c r="G97" s="200" t="n">
        <v>0</v>
      </c>
      <c r="H97" s="201" t="n">
        <v>0</v>
      </c>
      <c r="I97" s="200" t="n">
        <v>0</v>
      </c>
      <c r="J97" s="200" t="n">
        <v>0</v>
      </c>
      <c r="K97" s="201" t="n">
        <v>0</v>
      </c>
      <c r="L97" s="200" t="n">
        <v>0</v>
      </c>
      <c r="M97" s="200" t="n">
        <v>0</v>
      </c>
      <c r="N97" s="201" t="n">
        <v>0</v>
      </c>
      <c r="O97" s="250" t="n">
        <v>0</v>
      </c>
      <c r="P97" s="250" t="n">
        <v>0</v>
      </c>
      <c r="Q97" s="250" t="n">
        <v>0</v>
      </c>
      <c r="R97" s="202" t="n">
        <f aca="false">O97*P97</f>
        <v>0</v>
      </c>
    </row>
    <row r="98" customFormat="false" ht="15" hidden="false" customHeight="false" outlineLevel="0" collapsed="false">
      <c r="A98" s="249" t="n">
        <v>3</v>
      </c>
      <c r="B98" s="243" t="s">
        <v>96</v>
      </c>
      <c r="C98" s="200" t="n">
        <v>0</v>
      </c>
      <c r="D98" s="200" t="n">
        <v>0</v>
      </c>
      <c r="E98" s="201" t="n">
        <v>0</v>
      </c>
      <c r="F98" s="200" t="n">
        <v>0</v>
      </c>
      <c r="G98" s="200" t="n">
        <v>0</v>
      </c>
      <c r="H98" s="201" t="n">
        <v>0</v>
      </c>
      <c r="I98" s="200" t="n">
        <v>0</v>
      </c>
      <c r="J98" s="200" t="n">
        <v>0</v>
      </c>
      <c r="K98" s="201" t="n">
        <v>0</v>
      </c>
      <c r="L98" s="200" t="n">
        <v>0</v>
      </c>
      <c r="M98" s="200" t="n">
        <v>0</v>
      </c>
      <c r="N98" s="201" t="n">
        <v>0</v>
      </c>
      <c r="O98" s="250" t="n">
        <v>0</v>
      </c>
      <c r="P98" s="250" t="n">
        <v>0</v>
      </c>
      <c r="Q98" s="250" t="n">
        <v>0</v>
      </c>
      <c r="R98" s="202" t="n">
        <v>0</v>
      </c>
      <c r="S98" s="347"/>
    </row>
    <row r="99" customFormat="false" ht="15" hidden="false" customHeight="false" outlineLevel="0" collapsed="false">
      <c r="A99" s="249" t="n">
        <v>4</v>
      </c>
      <c r="B99" s="243" t="s">
        <v>97</v>
      </c>
      <c r="C99" s="200" t="n">
        <v>20625</v>
      </c>
      <c r="D99" s="200" t="n">
        <v>0</v>
      </c>
      <c r="E99" s="201" t="n">
        <v>0</v>
      </c>
      <c r="F99" s="200" t="n">
        <v>0</v>
      </c>
      <c r="G99" s="200" t="n">
        <v>0</v>
      </c>
      <c r="H99" s="201" t="n">
        <v>0</v>
      </c>
      <c r="I99" s="200" t="n">
        <v>11207</v>
      </c>
      <c r="J99" s="200" t="n">
        <v>9664</v>
      </c>
      <c r="K99" s="201" t="n">
        <v>0</v>
      </c>
      <c r="L99" s="200" t="n">
        <v>0</v>
      </c>
      <c r="M99" s="200" t="n">
        <v>0</v>
      </c>
      <c r="N99" s="201" t="n">
        <v>0</v>
      </c>
      <c r="O99" s="250" t="n">
        <v>35</v>
      </c>
      <c r="P99" s="250" t="n">
        <v>160</v>
      </c>
      <c r="Q99" s="250" t="n">
        <v>34</v>
      </c>
      <c r="R99" s="202" t="n">
        <f aca="false">O99*P99</f>
        <v>5600</v>
      </c>
    </row>
    <row r="100" customFormat="false" ht="15" hidden="false" customHeight="false" outlineLevel="0" collapsed="false">
      <c r="A100" s="249" t="n">
        <v>5</v>
      </c>
      <c r="B100" s="245" t="s">
        <v>98</v>
      </c>
      <c r="C100" s="250" t="n">
        <v>390881</v>
      </c>
      <c r="D100" s="250" t="n">
        <v>349969</v>
      </c>
      <c r="E100" s="201" t="n">
        <f aca="false">C100/D100*100-100</f>
        <v>11.6901782729328</v>
      </c>
      <c r="F100" s="250" t="n">
        <v>14549</v>
      </c>
      <c r="G100" s="250" t="n">
        <v>27349</v>
      </c>
      <c r="H100" s="201" t="n">
        <v>0</v>
      </c>
      <c r="I100" s="250" t="n">
        <v>371503</v>
      </c>
      <c r="J100" s="250" t="n">
        <v>416487</v>
      </c>
      <c r="K100" s="201" t="n">
        <f aca="false">I100/J100*100-100</f>
        <v>-10.8008173124251</v>
      </c>
      <c r="L100" s="250" t="n">
        <f aca="false">4542+366961</f>
        <v>371503</v>
      </c>
      <c r="M100" s="250" t="n">
        <v>416487</v>
      </c>
      <c r="N100" s="201" t="n">
        <f aca="false">L100/M100*100-100</f>
        <v>-10.8008173124251</v>
      </c>
      <c r="O100" s="250" t="n">
        <v>408</v>
      </c>
      <c r="P100" s="250" t="n">
        <v>52</v>
      </c>
      <c r="Q100" s="250" t="n">
        <v>408</v>
      </c>
      <c r="R100" s="202" t="n">
        <f aca="false">O100*P100</f>
        <v>21216</v>
      </c>
    </row>
    <row r="101" customFormat="false" ht="15" hidden="false" customHeight="false" outlineLevel="0" collapsed="false">
      <c r="A101" s="249" t="n">
        <v>6</v>
      </c>
      <c r="B101" s="245" t="s">
        <v>99</v>
      </c>
      <c r="C101" s="200" t="n">
        <v>0</v>
      </c>
      <c r="D101" s="200" t="n">
        <v>0</v>
      </c>
      <c r="E101" s="201" t="n">
        <v>0</v>
      </c>
      <c r="F101" s="200" t="n">
        <v>0</v>
      </c>
      <c r="G101" s="200" t="n">
        <v>0</v>
      </c>
      <c r="H101" s="201" t="n">
        <v>0</v>
      </c>
      <c r="I101" s="200" t="n">
        <v>0</v>
      </c>
      <c r="J101" s="200" t="n">
        <v>0</v>
      </c>
      <c r="K101" s="201" t="n">
        <v>0</v>
      </c>
      <c r="L101" s="200" t="n">
        <v>0</v>
      </c>
      <c r="M101" s="200" t="n">
        <v>0</v>
      </c>
      <c r="N101" s="201" t="n">
        <v>0</v>
      </c>
      <c r="O101" s="250" t="n">
        <v>0</v>
      </c>
      <c r="P101" s="250" t="n">
        <v>0</v>
      </c>
      <c r="Q101" s="250" t="n">
        <v>0</v>
      </c>
      <c r="R101" s="202" t="n">
        <f aca="false">O101*P101</f>
        <v>0</v>
      </c>
    </row>
    <row r="102" customFormat="false" ht="15" hidden="false" customHeight="false" outlineLevel="0" collapsed="false">
      <c r="A102" s="249" t="n">
        <v>7</v>
      </c>
      <c r="B102" s="243" t="s">
        <v>100</v>
      </c>
      <c r="C102" s="200" t="n">
        <v>0</v>
      </c>
      <c r="D102" s="200" t="n">
        <v>0</v>
      </c>
      <c r="E102" s="201" t="n">
        <v>0</v>
      </c>
      <c r="F102" s="200" t="n">
        <v>0</v>
      </c>
      <c r="G102" s="200" t="n">
        <v>0</v>
      </c>
      <c r="H102" s="201" t="n">
        <v>0</v>
      </c>
      <c r="I102" s="200" t="n">
        <v>0</v>
      </c>
      <c r="J102" s="200" t="n">
        <v>0</v>
      </c>
      <c r="K102" s="201" t="n">
        <v>0</v>
      </c>
      <c r="L102" s="200" t="n">
        <v>0</v>
      </c>
      <c r="M102" s="200" t="n">
        <v>0</v>
      </c>
      <c r="N102" s="201" t="n">
        <v>0</v>
      </c>
      <c r="O102" s="250" t="n">
        <v>0</v>
      </c>
      <c r="P102" s="250" t="n">
        <v>0</v>
      </c>
      <c r="Q102" s="250" t="n">
        <v>0</v>
      </c>
      <c r="R102" s="202" t="n">
        <f aca="false">O102*P102</f>
        <v>0</v>
      </c>
    </row>
    <row r="103" customFormat="false" ht="15" hidden="false" customHeight="false" outlineLevel="0" collapsed="false">
      <c r="A103" s="249" t="n">
        <v>8</v>
      </c>
      <c r="B103" s="245" t="s">
        <v>101</v>
      </c>
      <c r="C103" s="208" t="n">
        <v>277285</v>
      </c>
      <c r="D103" s="208" t="n">
        <v>207217</v>
      </c>
      <c r="E103" s="201" t="n">
        <f aca="false">C103/D103*100-100</f>
        <v>33.8138280160412</v>
      </c>
      <c r="F103" s="208" t="n">
        <v>24475</v>
      </c>
      <c r="G103" s="208" t="n">
        <v>27711</v>
      </c>
      <c r="H103" s="201" t="n">
        <f aca="false">F103/G103*100-100</f>
        <v>-11.6776731261954</v>
      </c>
      <c r="I103" s="208" t="n">
        <v>282350</v>
      </c>
      <c r="J103" s="208" t="n">
        <v>158255</v>
      </c>
      <c r="K103" s="201" t="n">
        <f aca="false">I103/J103*100-100</f>
        <v>78.4145840573757</v>
      </c>
      <c r="L103" s="208" t="n">
        <f aca="false">22587+69157</f>
        <v>91744</v>
      </c>
      <c r="M103" s="208" t="n">
        <f aca="false">1971+37149</f>
        <v>39120</v>
      </c>
      <c r="N103" s="223" t="n">
        <f aca="false">L103/M103*100-100</f>
        <v>134.519427402863</v>
      </c>
      <c r="O103" s="250" t="n">
        <v>144</v>
      </c>
      <c r="P103" s="250" t="n">
        <v>146</v>
      </c>
      <c r="Q103" s="250" t="n">
        <v>148</v>
      </c>
      <c r="R103" s="202" t="n">
        <f aca="false">O103*P103</f>
        <v>21024</v>
      </c>
    </row>
    <row r="104" customFormat="false" ht="15" hidden="false" customHeight="false" outlineLevel="0" collapsed="false">
      <c r="A104" s="249" t="n">
        <v>9</v>
      </c>
      <c r="B104" s="245" t="s">
        <v>102</v>
      </c>
      <c r="C104" s="200" t="n">
        <v>0</v>
      </c>
      <c r="D104" s="200" t="n">
        <v>0</v>
      </c>
      <c r="E104" s="201" t="n">
        <v>0</v>
      </c>
      <c r="F104" s="200" t="n">
        <v>0</v>
      </c>
      <c r="G104" s="200" t="n">
        <v>0</v>
      </c>
      <c r="H104" s="201" t="n">
        <v>0</v>
      </c>
      <c r="I104" s="200" t="n">
        <v>0</v>
      </c>
      <c r="J104" s="200" t="n">
        <v>0</v>
      </c>
      <c r="K104" s="201" t="n">
        <v>0</v>
      </c>
      <c r="L104" s="200" t="n">
        <v>0</v>
      </c>
      <c r="M104" s="200" t="n">
        <v>0</v>
      </c>
      <c r="N104" s="201" t="n">
        <v>0</v>
      </c>
      <c r="O104" s="250" t="n">
        <v>0</v>
      </c>
      <c r="P104" s="250" t="n">
        <v>0</v>
      </c>
      <c r="Q104" s="250" t="n">
        <v>0</v>
      </c>
      <c r="R104" s="202" t="n">
        <f aca="false">O104*P104</f>
        <v>0</v>
      </c>
    </row>
    <row r="105" customFormat="false" ht="15" hidden="false" customHeight="false" outlineLevel="0" collapsed="false">
      <c r="A105" s="249" t="n">
        <v>10</v>
      </c>
      <c r="B105" s="243" t="s">
        <v>220</v>
      </c>
      <c r="C105" s="203" t="n">
        <v>105063</v>
      </c>
      <c r="D105" s="203" t="n">
        <v>74817</v>
      </c>
      <c r="E105" s="201" t="n">
        <f aca="false">C105/D105*100-100</f>
        <v>40.4266410040499</v>
      </c>
      <c r="F105" s="203" t="n">
        <v>0</v>
      </c>
      <c r="G105" s="203" t="n">
        <v>20554</v>
      </c>
      <c r="H105" s="201" t="n">
        <v>0</v>
      </c>
      <c r="I105" s="203" t="n">
        <v>105063</v>
      </c>
      <c r="J105" s="203" t="n">
        <v>74817</v>
      </c>
      <c r="K105" s="201" t="n">
        <f aca="false">I105/J105*100-100</f>
        <v>40.4266410040499</v>
      </c>
      <c r="L105" s="203" t="n">
        <v>105063</v>
      </c>
      <c r="M105" s="203" t="n">
        <v>74817</v>
      </c>
      <c r="N105" s="201" t="n">
        <f aca="false">L105/M105*100-100</f>
        <v>40.4266410040499</v>
      </c>
      <c r="O105" s="250" t="n">
        <v>90</v>
      </c>
      <c r="P105" s="250" t="n">
        <v>60</v>
      </c>
      <c r="Q105" s="250" t="n">
        <v>86</v>
      </c>
      <c r="R105" s="202" t="n">
        <f aca="false">O105*P105</f>
        <v>5400</v>
      </c>
    </row>
    <row r="106" customFormat="false" ht="15" hidden="false" customHeight="false" outlineLevel="0" collapsed="false">
      <c r="A106" s="249" t="n">
        <v>11</v>
      </c>
      <c r="B106" s="245" t="s">
        <v>104</v>
      </c>
      <c r="C106" s="200" t="n">
        <v>0</v>
      </c>
      <c r="D106" s="200" t="n">
        <v>0</v>
      </c>
      <c r="E106" s="201" t="n">
        <v>0</v>
      </c>
      <c r="F106" s="200" t="n">
        <v>0</v>
      </c>
      <c r="G106" s="200" t="n">
        <v>0</v>
      </c>
      <c r="H106" s="201" t="n">
        <v>0</v>
      </c>
      <c r="I106" s="200" t="n">
        <v>0</v>
      </c>
      <c r="J106" s="200" t="n">
        <v>0</v>
      </c>
      <c r="K106" s="201" t="n">
        <v>0</v>
      </c>
      <c r="L106" s="200" t="n">
        <v>0</v>
      </c>
      <c r="M106" s="200" t="n">
        <v>0</v>
      </c>
      <c r="N106" s="201" t="n">
        <v>0</v>
      </c>
      <c r="O106" s="250" t="n">
        <v>0</v>
      </c>
      <c r="P106" s="250" t="n">
        <v>0</v>
      </c>
      <c r="Q106" s="250" t="n">
        <v>0</v>
      </c>
      <c r="R106" s="202" t="n">
        <f aca="false">O106*P106</f>
        <v>0</v>
      </c>
    </row>
    <row r="107" customFormat="false" ht="15" hidden="false" customHeight="false" outlineLevel="0" collapsed="false">
      <c r="A107" s="249" t="n">
        <v>12</v>
      </c>
      <c r="B107" s="245" t="s">
        <v>221</v>
      </c>
      <c r="C107" s="251" t="n">
        <v>55230</v>
      </c>
      <c r="D107" s="250" t="n">
        <v>61984</v>
      </c>
      <c r="E107" s="201" t="n">
        <f aca="false">C107/D107*100-100</f>
        <v>-10.8963603510583</v>
      </c>
      <c r="F107" s="251" t="n">
        <v>8500</v>
      </c>
      <c r="G107" s="250" t="n">
        <v>9537</v>
      </c>
      <c r="H107" s="201" t="n">
        <f aca="false">F107/G107*100-100</f>
        <v>-10.873440285205</v>
      </c>
      <c r="I107" s="251" t="n">
        <v>51200</v>
      </c>
      <c r="J107" s="251" t="n">
        <v>58200</v>
      </c>
      <c r="K107" s="201" t="n">
        <f aca="false">I107/J107*100-100</f>
        <v>-12.0274914089347</v>
      </c>
      <c r="L107" s="250" t="n">
        <v>0</v>
      </c>
      <c r="M107" s="250" t="n">
        <v>0</v>
      </c>
      <c r="N107" s="201" t="n">
        <v>0</v>
      </c>
      <c r="O107" s="250" t="n">
        <v>15</v>
      </c>
      <c r="P107" s="250" t="n">
        <v>58</v>
      </c>
      <c r="Q107" s="250" t="n">
        <v>15</v>
      </c>
      <c r="R107" s="202" t="n">
        <f aca="false">O107*P107</f>
        <v>870</v>
      </c>
    </row>
    <row r="108" customFormat="false" ht="15" hidden="false" customHeight="false" outlineLevel="0" collapsed="false">
      <c r="A108" s="249" t="n">
        <v>13</v>
      </c>
      <c r="B108" s="245" t="s">
        <v>222</v>
      </c>
      <c r="C108" s="251" t="n">
        <v>12601</v>
      </c>
      <c r="D108" s="251" t="n">
        <v>39798</v>
      </c>
      <c r="E108" s="251" t="n">
        <f aca="false">C108/D108*100-100</f>
        <v>-68.3376049047691</v>
      </c>
      <c r="F108" s="251" t="n">
        <v>2342</v>
      </c>
      <c r="G108" s="251" t="n">
        <v>2394</v>
      </c>
      <c r="H108" s="251" t="n">
        <f aca="false">F108/G108*100-100</f>
        <v>-2.17209690893901</v>
      </c>
      <c r="I108" s="251" t="n">
        <v>9730</v>
      </c>
      <c r="J108" s="251" t="n">
        <v>81113</v>
      </c>
      <c r="K108" s="260" t="n">
        <f aca="false">I108/J108*100-100</f>
        <v>-88.0043889388877</v>
      </c>
      <c r="L108" s="251" t="n">
        <v>1529</v>
      </c>
      <c r="M108" s="251" t="n">
        <v>70528</v>
      </c>
      <c r="N108" s="260" t="n">
        <f aca="false">L108/M108*100-100</f>
        <v>-97.8320666969147</v>
      </c>
      <c r="O108" s="251" t="n">
        <v>57</v>
      </c>
      <c r="P108" s="251" t="n">
        <v>69</v>
      </c>
      <c r="Q108" s="250" t="n">
        <v>58</v>
      </c>
      <c r="R108" s="202" t="n">
        <f aca="false">O108*P108</f>
        <v>3933</v>
      </c>
    </row>
    <row r="109" customFormat="false" ht="15" hidden="false" customHeight="false" outlineLevel="0" collapsed="false">
      <c r="A109" s="249" t="n">
        <v>14</v>
      </c>
      <c r="B109" s="245" t="s">
        <v>223</v>
      </c>
      <c r="C109" s="200" t="n">
        <v>0</v>
      </c>
      <c r="D109" s="200" t="n">
        <v>0</v>
      </c>
      <c r="E109" s="201" t="n">
        <v>0</v>
      </c>
      <c r="F109" s="200" t="n">
        <v>0</v>
      </c>
      <c r="G109" s="200" t="n">
        <v>0</v>
      </c>
      <c r="H109" s="201" t="n">
        <v>0</v>
      </c>
      <c r="I109" s="200" t="n">
        <v>0</v>
      </c>
      <c r="J109" s="200" t="n">
        <v>0</v>
      </c>
      <c r="K109" s="201" t="n">
        <v>0</v>
      </c>
      <c r="L109" s="200" t="n">
        <v>0</v>
      </c>
      <c r="M109" s="200" t="n">
        <v>0</v>
      </c>
      <c r="N109" s="201" t="n">
        <v>0</v>
      </c>
      <c r="O109" s="250" t="n">
        <v>0</v>
      </c>
      <c r="P109" s="250" t="n">
        <v>0</v>
      </c>
      <c r="Q109" s="250" t="n">
        <v>0</v>
      </c>
      <c r="R109" s="202" t="n">
        <f aca="false">O109*P109</f>
        <v>0</v>
      </c>
    </row>
    <row r="110" customFormat="false" ht="15" hidden="false" customHeight="false" outlineLevel="0" collapsed="false">
      <c r="A110" s="249" t="n">
        <v>15</v>
      </c>
      <c r="B110" s="245" t="s">
        <v>224</v>
      </c>
      <c r="C110" s="208" t="n">
        <v>98237</v>
      </c>
      <c r="D110" s="208" t="n">
        <v>26490</v>
      </c>
      <c r="E110" s="201" t="n">
        <f aca="false">C110/D110*100-100</f>
        <v>270.845602114005</v>
      </c>
      <c r="F110" s="208" t="n">
        <v>10514</v>
      </c>
      <c r="G110" s="208" t="n">
        <v>0</v>
      </c>
      <c r="H110" s="201" t="n">
        <v>0</v>
      </c>
      <c r="I110" s="208" t="n">
        <v>98237</v>
      </c>
      <c r="J110" s="208" t="n">
        <v>26490</v>
      </c>
      <c r="K110" s="201" t="n">
        <f aca="false">I110/J110*100-100</f>
        <v>270.845602114005</v>
      </c>
      <c r="L110" s="208" t="n">
        <v>98237</v>
      </c>
      <c r="M110" s="208" t="n">
        <v>26490</v>
      </c>
      <c r="N110" s="201" t="n">
        <f aca="false">L110/M110*100-100</f>
        <v>270.845602114005</v>
      </c>
      <c r="O110" s="250" t="n">
        <v>93</v>
      </c>
      <c r="P110" s="250" t="n">
        <v>80</v>
      </c>
      <c r="Q110" s="250" t="n">
        <v>93</v>
      </c>
      <c r="R110" s="202" t="n">
        <f aca="false">O110*P110</f>
        <v>7440</v>
      </c>
    </row>
    <row r="111" customFormat="false" ht="15" hidden="false" customHeight="false" outlineLevel="0" collapsed="false">
      <c r="A111" s="249" t="n">
        <v>16</v>
      </c>
      <c r="B111" s="245" t="s">
        <v>109</v>
      </c>
      <c r="C111" s="208" t="n">
        <v>153889</v>
      </c>
      <c r="D111" s="208" t="n">
        <v>335922</v>
      </c>
      <c r="E111" s="201" t="n">
        <f aca="false">C111/D111*100-100</f>
        <v>-54.1890677002399</v>
      </c>
      <c r="F111" s="208" t="n">
        <v>12615</v>
      </c>
      <c r="G111" s="208" t="n">
        <v>55967</v>
      </c>
      <c r="H111" s="201" t="n">
        <f aca="false">F111/G111*100-100</f>
        <v>-77.4599317454929</v>
      </c>
      <c r="I111" s="208" t="n">
        <v>152847</v>
      </c>
      <c r="J111" s="208" t="n">
        <v>316770</v>
      </c>
      <c r="K111" s="201" t="n">
        <f aca="false">I111/J111*100-100</f>
        <v>-51.7482716166304</v>
      </c>
      <c r="L111" s="208" t="n">
        <v>0</v>
      </c>
      <c r="M111" s="208" t="n">
        <v>0</v>
      </c>
      <c r="N111" s="201" t="n">
        <v>0</v>
      </c>
      <c r="O111" s="250" t="n">
        <v>100</v>
      </c>
      <c r="P111" s="250" t="n">
        <v>60</v>
      </c>
      <c r="Q111" s="250" t="n">
        <v>103</v>
      </c>
      <c r="R111" s="202" t="n">
        <f aca="false">O111*P111</f>
        <v>6000</v>
      </c>
    </row>
    <row r="112" customFormat="false" ht="15" hidden="false" customHeight="false" outlineLevel="0" collapsed="false">
      <c r="A112" s="249" t="n">
        <v>17</v>
      </c>
      <c r="B112" s="245" t="s">
        <v>110</v>
      </c>
      <c r="C112" s="251" t="n">
        <v>421236</v>
      </c>
      <c r="D112" s="250" t="n">
        <v>602038</v>
      </c>
      <c r="E112" s="201" t="n">
        <f aca="false">C112/D112*100-100</f>
        <v>-30.0316591311512</v>
      </c>
      <c r="F112" s="251" t="n">
        <v>73376</v>
      </c>
      <c r="G112" s="251" t="n">
        <v>101169</v>
      </c>
      <c r="H112" s="201" t="n">
        <f aca="false">F112/G112*100-100</f>
        <v>-27.471854026431</v>
      </c>
      <c r="I112" s="251" t="n">
        <v>326311</v>
      </c>
      <c r="J112" s="251" t="n">
        <v>521559</v>
      </c>
      <c r="K112" s="201" t="n">
        <f aca="false">I112/J112*100-100</f>
        <v>-37.435457925182</v>
      </c>
      <c r="L112" s="250" t="n">
        <v>0</v>
      </c>
      <c r="M112" s="250" t="n">
        <v>0</v>
      </c>
      <c r="N112" s="251" t="n">
        <v>0</v>
      </c>
      <c r="O112" s="250" t="n">
        <v>170</v>
      </c>
      <c r="P112" s="250" t="n">
        <v>70</v>
      </c>
      <c r="Q112" s="250" t="n">
        <v>171</v>
      </c>
      <c r="R112" s="202" t="n">
        <f aca="false">O112*P112</f>
        <v>11900</v>
      </c>
    </row>
    <row r="113" customFormat="false" ht="15" hidden="false" customHeight="false" outlineLevel="0" collapsed="false">
      <c r="A113" s="249" t="n">
        <v>18</v>
      </c>
      <c r="B113" s="243" t="s">
        <v>111</v>
      </c>
      <c r="C113" s="208" t="n">
        <v>390243</v>
      </c>
      <c r="D113" s="208" t="n">
        <v>281186</v>
      </c>
      <c r="E113" s="201" t="n">
        <f aca="false">C113/D113*100-100</f>
        <v>38.7846478843186</v>
      </c>
      <c r="F113" s="208" t="n">
        <v>88480</v>
      </c>
      <c r="G113" s="208" t="n">
        <v>38797</v>
      </c>
      <c r="H113" s="201" t="n">
        <f aca="false">F113/G113*100-100</f>
        <v>128.058870531227</v>
      </c>
      <c r="I113" s="208" t="n">
        <v>390243</v>
      </c>
      <c r="J113" s="208" t="n">
        <v>281186</v>
      </c>
      <c r="K113" s="201" t="n">
        <f aca="false">I113/J113*100-100</f>
        <v>38.7846478843186</v>
      </c>
      <c r="L113" s="208" t="n">
        <v>390243</v>
      </c>
      <c r="M113" s="208" t="n">
        <v>281186</v>
      </c>
      <c r="N113" s="201" t="n">
        <f aca="false">L113/M113*100-100</f>
        <v>38.7846478843186</v>
      </c>
      <c r="O113" s="250" t="n">
        <v>410</v>
      </c>
      <c r="P113" s="250" t="n">
        <v>70</v>
      </c>
      <c r="Q113" s="250" t="n">
        <v>410</v>
      </c>
      <c r="R113" s="202" t="n">
        <f aca="false">O113*P113</f>
        <v>28700</v>
      </c>
    </row>
    <row r="114" customFormat="false" ht="15" hidden="false" customHeight="false" outlineLevel="0" collapsed="false">
      <c r="A114" s="249" t="n">
        <v>19</v>
      </c>
      <c r="B114" s="245" t="s">
        <v>112</v>
      </c>
      <c r="C114" s="200" t="n">
        <v>0</v>
      </c>
      <c r="D114" s="200" t="n">
        <v>0</v>
      </c>
      <c r="E114" s="201" t="n">
        <v>0</v>
      </c>
      <c r="F114" s="200" t="n">
        <v>0</v>
      </c>
      <c r="G114" s="200" t="n">
        <v>0</v>
      </c>
      <c r="H114" s="201" t="n">
        <v>0</v>
      </c>
      <c r="I114" s="200" t="n">
        <v>0</v>
      </c>
      <c r="J114" s="200" t="n">
        <v>0</v>
      </c>
      <c r="K114" s="201" t="n">
        <v>0</v>
      </c>
      <c r="L114" s="200" t="n">
        <v>0</v>
      </c>
      <c r="M114" s="200" t="n">
        <v>0</v>
      </c>
      <c r="N114" s="201" t="n">
        <v>0</v>
      </c>
      <c r="O114" s="251" t="n">
        <v>0</v>
      </c>
      <c r="P114" s="251" t="n">
        <v>0</v>
      </c>
      <c r="Q114" s="251" t="n">
        <v>0</v>
      </c>
      <c r="R114" s="202" t="n">
        <f aca="false">O114*P114</f>
        <v>0</v>
      </c>
    </row>
    <row r="115" customFormat="false" ht="15" hidden="false" customHeight="false" outlineLevel="0" collapsed="false">
      <c r="A115" s="249" t="n">
        <v>20</v>
      </c>
      <c r="B115" s="245" t="s">
        <v>113</v>
      </c>
      <c r="C115" s="200" t="n">
        <v>0</v>
      </c>
      <c r="D115" s="200" t="n">
        <v>0</v>
      </c>
      <c r="E115" s="201" t="n">
        <v>0</v>
      </c>
      <c r="F115" s="200" t="n">
        <v>0</v>
      </c>
      <c r="G115" s="200" t="n">
        <v>0</v>
      </c>
      <c r="H115" s="201" t="n">
        <v>0</v>
      </c>
      <c r="I115" s="200" t="n">
        <v>0</v>
      </c>
      <c r="J115" s="200" t="n">
        <v>0</v>
      </c>
      <c r="K115" s="201" t="n">
        <v>0</v>
      </c>
      <c r="L115" s="200" t="n">
        <v>0</v>
      </c>
      <c r="M115" s="200" t="n">
        <v>0</v>
      </c>
      <c r="N115" s="201" t="n">
        <v>0</v>
      </c>
      <c r="O115" s="251" t="n">
        <v>0</v>
      </c>
      <c r="P115" s="251" t="n">
        <v>0</v>
      </c>
      <c r="Q115" s="251" t="n">
        <v>0</v>
      </c>
      <c r="R115" s="202" t="n">
        <f aca="false">O115*P115</f>
        <v>0</v>
      </c>
    </row>
    <row r="116" customFormat="false" ht="15" hidden="false" customHeight="false" outlineLevel="0" collapsed="false">
      <c r="A116" s="249" t="n">
        <v>21</v>
      </c>
      <c r="B116" s="245" t="s">
        <v>225</v>
      </c>
      <c r="C116" s="250" t="n">
        <v>51100</v>
      </c>
      <c r="D116" s="250" t="n">
        <v>22369</v>
      </c>
      <c r="E116" s="201" t="n">
        <f aca="false">C116/D116*100-100</f>
        <v>128.441146229156</v>
      </c>
      <c r="F116" s="250" t="n">
        <v>11261</v>
      </c>
      <c r="G116" s="250" t="n">
        <v>3164</v>
      </c>
      <c r="H116" s="201" t="n">
        <f aca="false">F116/G116*100-100</f>
        <v>255.910240202276</v>
      </c>
      <c r="I116" s="250" t="n">
        <v>51100</v>
      </c>
      <c r="J116" s="250" t="n">
        <v>22369</v>
      </c>
      <c r="K116" s="201" t="n">
        <f aca="false">I116/J116*100-100</f>
        <v>128.441146229156</v>
      </c>
      <c r="L116" s="250" t="n">
        <v>39785</v>
      </c>
      <c r="M116" s="250" t="n">
        <v>21892</v>
      </c>
      <c r="N116" s="201" t="n">
        <f aca="false">L116/M116*100-100</f>
        <v>81.7330531701078</v>
      </c>
      <c r="O116" s="251" t="n">
        <v>14</v>
      </c>
      <c r="P116" s="251" t="n">
        <v>60</v>
      </c>
      <c r="Q116" s="251" t="n">
        <v>16</v>
      </c>
      <c r="R116" s="202" t="n">
        <f aca="false">O116*P116</f>
        <v>840</v>
      </c>
    </row>
    <row r="117" customFormat="false" ht="15" hidden="false" customHeight="false" outlineLevel="0" collapsed="false">
      <c r="A117" s="249" t="n">
        <v>22</v>
      </c>
      <c r="B117" s="243" t="s">
        <v>115</v>
      </c>
      <c r="C117" s="251" t="n">
        <v>18410</v>
      </c>
      <c r="D117" s="251" t="n">
        <v>14210</v>
      </c>
      <c r="E117" s="201" t="n">
        <f aca="false">C117/D117*100-100</f>
        <v>29.5566502463054</v>
      </c>
      <c r="F117" s="251" t="n">
        <v>3840</v>
      </c>
      <c r="G117" s="251" t="n">
        <v>1190</v>
      </c>
      <c r="H117" s="201" t="n">
        <f aca="false">F117/G117*100-100</f>
        <v>222.689075630252</v>
      </c>
      <c r="I117" s="251" t="n">
        <v>28354</v>
      </c>
      <c r="J117" s="251" t="n">
        <v>25161</v>
      </c>
      <c r="K117" s="201" t="n">
        <f aca="false">I117/J117*100-100</f>
        <v>12.690274631374</v>
      </c>
      <c r="L117" s="250" t="n">
        <v>0</v>
      </c>
      <c r="M117" s="251" t="n">
        <v>0</v>
      </c>
      <c r="N117" s="201" t="n">
        <v>0</v>
      </c>
      <c r="O117" s="251" t="n">
        <v>13</v>
      </c>
      <c r="P117" s="251" t="n">
        <v>77</v>
      </c>
      <c r="Q117" s="251" t="n">
        <v>13</v>
      </c>
      <c r="R117" s="202" t="n">
        <f aca="false">O117*P117</f>
        <v>1001</v>
      </c>
    </row>
    <row r="118" customFormat="false" ht="15" hidden="false" customHeight="false" outlineLevel="0" collapsed="false">
      <c r="A118" s="249" t="n">
        <v>23</v>
      </c>
      <c r="B118" s="243" t="s">
        <v>116</v>
      </c>
      <c r="C118" s="251" t="n">
        <v>90660</v>
      </c>
      <c r="D118" s="250" t="n">
        <v>77772</v>
      </c>
      <c r="E118" s="201" t="n">
        <f aca="false">C118/D118*100-100</f>
        <v>16.5715167412436</v>
      </c>
      <c r="F118" s="251" t="n">
        <v>15399</v>
      </c>
      <c r="G118" s="251" t="n">
        <v>13548</v>
      </c>
      <c r="H118" s="201" t="n">
        <f aca="false">F118/G118*100-100</f>
        <v>13.6625332152347</v>
      </c>
      <c r="I118" s="251" t="n">
        <v>91362</v>
      </c>
      <c r="J118" s="251" t="n">
        <v>80047</v>
      </c>
      <c r="K118" s="201" t="n">
        <v>0</v>
      </c>
      <c r="L118" s="250" t="n">
        <v>0</v>
      </c>
      <c r="M118" s="250" t="n">
        <v>0</v>
      </c>
      <c r="N118" s="201" t="n">
        <v>0</v>
      </c>
      <c r="O118" s="251" t="n">
        <v>39</v>
      </c>
      <c r="P118" s="251" t="n">
        <v>75</v>
      </c>
      <c r="Q118" s="251" t="n">
        <v>42</v>
      </c>
      <c r="R118" s="202" t="n">
        <f aca="false">O118*P118</f>
        <v>2925</v>
      </c>
    </row>
    <row r="119" customFormat="false" ht="15" hidden="false" customHeight="false" outlineLevel="0" collapsed="false">
      <c r="A119" s="249" t="n">
        <v>24</v>
      </c>
      <c r="B119" s="245" t="s">
        <v>117</v>
      </c>
      <c r="C119" s="250" t="n">
        <v>36614</v>
      </c>
      <c r="D119" s="250" t="n">
        <v>20251</v>
      </c>
      <c r="E119" s="201" t="n">
        <f aca="false">C119/D119*100-100</f>
        <v>80.8009481013283</v>
      </c>
      <c r="F119" s="250" t="n">
        <v>3960</v>
      </c>
      <c r="G119" s="251" t="n">
        <v>1130</v>
      </c>
      <c r="H119" s="201" t="n">
        <f aca="false">F119/G119*100-100</f>
        <v>250.442477876106</v>
      </c>
      <c r="I119" s="250" t="n">
        <v>91127</v>
      </c>
      <c r="J119" s="250" t="n">
        <v>109373</v>
      </c>
      <c r="K119" s="201" t="n">
        <f aca="false">I119/J119*100-100</f>
        <v>-16.6823621917658</v>
      </c>
      <c r="L119" s="254" t="n">
        <v>0</v>
      </c>
      <c r="M119" s="250" t="n">
        <v>0</v>
      </c>
      <c r="N119" s="201" t="n">
        <v>0</v>
      </c>
      <c r="O119" s="251" t="n">
        <v>52</v>
      </c>
      <c r="P119" s="251" t="n">
        <v>60</v>
      </c>
      <c r="Q119" s="251" t="n">
        <v>54</v>
      </c>
      <c r="R119" s="202" t="n">
        <f aca="false">O119*P119</f>
        <v>3120</v>
      </c>
    </row>
    <row r="120" customFormat="false" ht="15" hidden="false" customHeight="false" outlineLevel="0" collapsed="false">
      <c r="A120" s="249" t="n">
        <v>25</v>
      </c>
      <c r="B120" s="245" t="s">
        <v>118</v>
      </c>
      <c r="C120" s="250" t="n">
        <v>26726</v>
      </c>
      <c r="D120" s="250" t="n">
        <v>24380</v>
      </c>
      <c r="E120" s="201" t="n">
        <f aca="false">C120/D120*100-100</f>
        <v>9.62264150943398</v>
      </c>
      <c r="F120" s="250" t="n">
        <v>1604</v>
      </c>
      <c r="G120" s="250" t="n">
        <v>4108</v>
      </c>
      <c r="H120" s="201" t="n">
        <f aca="false">F120/G120*100-100</f>
        <v>-60.9542356377799</v>
      </c>
      <c r="I120" s="250" t="n">
        <v>27267</v>
      </c>
      <c r="J120" s="250" t="n">
        <v>24454</v>
      </c>
      <c r="K120" s="201" t="n">
        <f aca="false">I120/J120*100-100</f>
        <v>11.5032305553284</v>
      </c>
      <c r="L120" s="250" t="n">
        <v>0</v>
      </c>
      <c r="M120" s="250" t="n">
        <v>0</v>
      </c>
      <c r="N120" s="201" t="n">
        <v>0</v>
      </c>
      <c r="O120" s="251" t="n">
        <v>23</v>
      </c>
      <c r="P120" s="251" t="n">
        <v>52</v>
      </c>
      <c r="Q120" s="251" t="n">
        <v>23</v>
      </c>
      <c r="R120" s="202" t="n">
        <f aca="false">O120*P120</f>
        <v>1196</v>
      </c>
    </row>
    <row r="121" customFormat="false" ht="15" hidden="false" customHeight="false" outlineLevel="0" collapsed="false">
      <c r="A121" s="215" t="s">
        <v>119</v>
      </c>
      <c r="B121" s="215" t="s">
        <v>119</v>
      </c>
      <c r="C121" s="216" t="n">
        <f aca="false">SUM(C96:C120)</f>
        <v>2390939</v>
      </c>
      <c r="D121" s="216" t="n">
        <f aca="false">SUM(D96:D120)</f>
        <v>2318046</v>
      </c>
      <c r="E121" s="313" t="n">
        <f aca="false">C121/D121*100-100</f>
        <v>3.1445881574395</v>
      </c>
      <c r="F121" s="216" t="n">
        <f aca="false">SUM(F96:F120)</f>
        <v>316600</v>
      </c>
      <c r="G121" s="216" t="n">
        <f aca="false">SUM(G96:G120)</f>
        <v>315613</v>
      </c>
      <c r="H121" s="313" t="n">
        <f aca="false">F121/G121*100-100</f>
        <v>0.312724761020618</v>
      </c>
      <c r="I121" s="216" t="n">
        <f aca="false">SUM(I96:I120)</f>
        <v>2322514</v>
      </c>
      <c r="J121" s="216" t="n">
        <f aca="false">SUM(J96:J120)</f>
        <v>2381787</v>
      </c>
      <c r="K121" s="313" t="n">
        <f aca="false">I121/J121*100-100</f>
        <v>-2.4885936483825</v>
      </c>
      <c r="L121" s="216" t="n">
        <f aca="false">SUM(L96:L120)</f>
        <v>1332697</v>
      </c>
      <c r="M121" s="216" t="n">
        <f aca="false">SUM(M96:M120)</f>
        <v>1106317</v>
      </c>
      <c r="N121" s="313" t="n">
        <f aca="false">L121/M121*100-100</f>
        <v>20.4624895034606</v>
      </c>
      <c r="O121" s="216" t="n">
        <f aca="false">SUM(O96:O120)</f>
        <v>1970</v>
      </c>
      <c r="P121" s="217" t="n">
        <f aca="false">R121/O121</f>
        <v>75.5304568527919</v>
      </c>
      <c r="Q121" s="216" t="n">
        <f aca="false">SUM(Q96:Q120)</f>
        <v>1985</v>
      </c>
      <c r="R121" s="232" t="n">
        <f aca="false">SUM(R96:R120)</f>
        <v>148795</v>
      </c>
    </row>
    <row r="122" customFormat="false" ht="15" hidden="false" customHeight="false" outlineLevel="0" collapsed="false">
      <c r="A122" s="249"/>
      <c r="B122" s="245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51"/>
      <c r="O122" s="203"/>
      <c r="P122" s="204"/>
      <c r="Q122" s="203"/>
      <c r="R122" s="202"/>
    </row>
    <row r="123" customFormat="false" ht="15" hidden="false" customHeight="false" outlineLevel="0" collapsed="false">
      <c r="A123" s="255"/>
      <c r="B123" s="255"/>
      <c r="C123" s="256"/>
      <c r="D123" s="256"/>
      <c r="E123" s="257"/>
      <c r="F123" s="256"/>
      <c r="G123" s="256"/>
      <c r="H123" s="257"/>
      <c r="I123" s="256"/>
      <c r="J123" s="256"/>
      <c r="K123" s="257"/>
      <c r="L123" s="256"/>
      <c r="M123" s="256"/>
      <c r="N123" s="257"/>
      <c r="O123" s="256"/>
      <c r="P123" s="257"/>
      <c r="Q123" s="256"/>
      <c r="R123" s="202" t="n">
        <f aca="false">O123*P123</f>
        <v>0</v>
      </c>
    </row>
    <row r="124" customFormat="false" ht="15" hidden="false" customHeight="false" outlineLevel="0" collapsed="false">
      <c r="A124" s="195"/>
      <c r="B124" s="195" t="s">
        <v>120</v>
      </c>
      <c r="C124" s="195" t="n">
        <v>3</v>
      </c>
      <c r="D124" s="195" t="n">
        <v>4</v>
      </c>
      <c r="E124" s="196" t="n">
        <v>5</v>
      </c>
      <c r="F124" s="195" t="n">
        <v>6</v>
      </c>
      <c r="G124" s="195" t="n">
        <v>7</v>
      </c>
      <c r="H124" s="195" t="n">
        <v>8</v>
      </c>
      <c r="I124" s="195" t="n">
        <v>9</v>
      </c>
      <c r="J124" s="195" t="n">
        <v>10</v>
      </c>
      <c r="K124" s="195" t="n">
        <v>11</v>
      </c>
      <c r="L124" s="195" t="n">
        <v>12</v>
      </c>
      <c r="M124" s="195" t="n">
        <v>13</v>
      </c>
      <c r="N124" s="195" t="n">
        <v>14</v>
      </c>
      <c r="O124" s="195" t="n">
        <v>15</v>
      </c>
      <c r="P124" s="196" t="n">
        <v>16</v>
      </c>
      <c r="Q124" s="195" t="n">
        <v>15</v>
      </c>
      <c r="R124" s="202" t="n">
        <f aca="false">O124*P124</f>
        <v>240</v>
      </c>
    </row>
    <row r="125" customFormat="false" ht="15" hidden="false" customHeight="false" outlineLevel="0" collapsed="false">
      <c r="A125" s="210"/>
      <c r="B125" s="258"/>
      <c r="C125" s="200"/>
      <c r="D125" s="200"/>
      <c r="E125" s="201"/>
      <c r="F125" s="200"/>
      <c r="G125" s="200"/>
      <c r="H125" s="201" t="n">
        <v>0</v>
      </c>
      <c r="I125" s="200"/>
      <c r="J125" s="200"/>
      <c r="K125" s="201"/>
      <c r="L125" s="200"/>
      <c r="M125" s="200"/>
      <c r="N125" s="201"/>
      <c r="O125" s="203"/>
      <c r="P125" s="204"/>
      <c r="Q125" s="203"/>
      <c r="R125" s="202" t="n">
        <f aca="false">O125*P125</f>
        <v>0</v>
      </c>
    </row>
    <row r="126" customFormat="false" ht="15" hidden="false" customHeight="false" outlineLevel="0" collapsed="false">
      <c r="A126" s="210" t="n">
        <v>1</v>
      </c>
      <c r="B126" s="258" t="s">
        <v>122</v>
      </c>
      <c r="C126" s="203" t="n">
        <v>104173</v>
      </c>
      <c r="D126" s="203" t="n">
        <v>186103</v>
      </c>
      <c r="E126" s="201" t="n">
        <f aca="false">C126/D126*100-100</f>
        <v>-44.0240082105071</v>
      </c>
      <c r="F126" s="203" t="n">
        <v>17352</v>
      </c>
      <c r="G126" s="203" t="n">
        <v>17168</v>
      </c>
      <c r="H126" s="201" t="n">
        <f aca="false">F126/G126*100-100</f>
        <v>1.071761416589</v>
      </c>
      <c r="I126" s="203" t="n">
        <v>62889</v>
      </c>
      <c r="J126" s="203" t="n">
        <v>207388</v>
      </c>
      <c r="K126" s="201" t="n">
        <f aca="false">I126/J126*100-100</f>
        <v>-69.6756803672344</v>
      </c>
      <c r="L126" s="203" t="n">
        <v>19451</v>
      </c>
      <c r="M126" s="203" t="n">
        <v>0</v>
      </c>
      <c r="N126" s="192" t="n">
        <v>0</v>
      </c>
      <c r="O126" s="219" t="n">
        <v>75</v>
      </c>
      <c r="P126" s="204" t="n">
        <v>80</v>
      </c>
      <c r="Q126" s="219" t="n">
        <v>75</v>
      </c>
      <c r="R126" s="202" t="n">
        <f aca="false">O126*P126</f>
        <v>6000</v>
      </c>
    </row>
    <row r="127" customFormat="false" ht="15" hidden="false" customHeight="false" outlineLevel="0" collapsed="false">
      <c r="A127" s="210" t="n">
        <v>2</v>
      </c>
      <c r="B127" s="258" t="s">
        <v>123</v>
      </c>
      <c r="C127" s="200" t="n">
        <v>0</v>
      </c>
      <c r="D127" s="200" t="n">
        <v>0</v>
      </c>
      <c r="E127" s="201" t="n">
        <v>0</v>
      </c>
      <c r="F127" s="200" t="n">
        <v>0</v>
      </c>
      <c r="G127" s="200" t="n">
        <v>0</v>
      </c>
      <c r="H127" s="201" t="n">
        <v>0</v>
      </c>
      <c r="I127" s="200" t="n">
        <v>0</v>
      </c>
      <c r="J127" s="200" t="n">
        <v>0</v>
      </c>
      <c r="K127" s="201" t="n">
        <v>0</v>
      </c>
      <c r="L127" s="200" t="n">
        <v>0</v>
      </c>
      <c r="M127" s="200" t="n">
        <v>0</v>
      </c>
      <c r="N127" s="201" t="n">
        <v>0</v>
      </c>
      <c r="O127" s="203" t="n">
        <v>0</v>
      </c>
      <c r="P127" s="204" t="n">
        <v>0</v>
      </c>
      <c r="Q127" s="203" t="n">
        <v>0</v>
      </c>
      <c r="R127" s="202" t="n">
        <f aca="false">O127*P127</f>
        <v>0</v>
      </c>
    </row>
    <row r="128" customFormat="false" ht="15" hidden="false" customHeight="false" outlineLevel="0" collapsed="false">
      <c r="A128" s="210" t="n">
        <v>3</v>
      </c>
      <c r="B128" s="258" t="s">
        <v>124</v>
      </c>
      <c r="C128" s="200" t="n">
        <v>0</v>
      </c>
      <c r="D128" s="200" t="n">
        <v>0</v>
      </c>
      <c r="E128" s="201" t="n">
        <v>0</v>
      </c>
      <c r="F128" s="200" t="n">
        <v>0</v>
      </c>
      <c r="G128" s="200" t="n">
        <v>0</v>
      </c>
      <c r="H128" s="201" t="n">
        <v>0</v>
      </c>
      <c r="I128" s="200" t="n">
        <v>0</v>
      </c>
      <c r="J128" s="200" t="n">
        <v>0</v>
      </c>
      <c r="K128" s="201" t="n">
        <v>0</v>
      </c>
      <c r="L128" s="200" t="n">
        <v>0</v>
      </c>
      <c r="M128" s="200" t="n">
        <v>0</v>
      </c>
      <c r="N128" s="201" t="n">
        <v>0</v>
      </c>
      <c r="O128" s="203" t="n">
        <v>0</v>
      </c>
      <c r="P128" s="204" t="n">
        <v>0</v>
      </c>
      <c r="Q128" s="203" t="n">
        <v>0</v>
      </c>
      <c r="R128" s="202" t="n">
        <f aca="false">O128*P128</f>
        <v>0</v>
      </c>
    </row>
    <row r="129" customFormat="false" ht="15" hidden="false" customHeight="false" outlineLevel="0" collapsed="false">
      <c r="A129" s="210" t="n">
        <v>4</v>
      </c>
      <c r="B129" s="259" t="s">
        <v>125</v>
      </c>
      <c r="C129" s="251" t="n">
        <v>1050</v>
      </c>
      <c r="D129" s="251" t="n">
        <v>3780</v>
      </c>
      <c r="E129" s="201" t="n">
        <v>0</v>
      </c>
      <c r="F129" s="251" t="n">
        <v>0</v>
      </c>
      <c r="G129" s="251" t="n">
        <v>840</v>
      </c>
      <c r="H129" s="201" t="n">
        <v>0</v>
      </c>
      <c r="I129" s="251" t="n">
        <v>5036</v>
      </c>
      <c r="J129" s="251" t="n">
        <v>7166</v>
      </c>
      <c r="K129" s="201" t="n">
        <f aca="false">I129/J129*100-100</f>
        <v>-29.723695227463</v>
      </c>
      <c r="L129" s="251" t="n">
        <v>0</v>
      </c>
      <c r="M129" s="251" t="n">
        <v>0</v>
      </c>
      <c r="N129" s="251" t="n">
        <v>0</v>
      </c>
      <c r="O129" s="219" t="n">
        <v>8</v>
      </c>
      <c r="P129" s="261" t="n">
        <v>70</v>
      </c>
      <c r="Q129" s="219" t="n">
        <v>8</v>
      </c>
      <c r="R129" s="202" t="n">
        <f aca="false">O129*P129</f>
        <v>560</v>
      </c>
    </row>
    <row r="130" customFormat="false" ht="15" hidden="false" customHeight="false" outlineLevel="0" collapsed="false">
      <c r="A130" s="210" t="n">
        <v>5</v>
      </c>
      <c r="B130" s="259" t="s">
        <v>126</v>
      </c>
      <c r="C130" s="200" t="n">
        <v>0</v>
      </c>
      <c r="D130" s="200" t="n">
        <v>0</v>
      </c>
      <c r="E130" s="201" t="n">
        <v>0</v>
      </c>
      <c r="F130" s="200" t="n">
        <v>0</v>
      </c>
      <c r="G130" s="200" t="n">
        <v>0</v>
      </c>
      <c r="H130" s="201" t="n">
        <v>0</v>
      </c>
      <c r="I130" s="200" t="n">
        <v>0</v>
      </c>
      <c r="J130" s="200" t="n">
        <v>0</v>
      </c>
      <c r="K130" s="201" t="n">
        <v>0</v>
      </c>
      <c r="L130" s="200" t="n">
        <v>0</v>
      </c>
      <c r="M130" s="200" t="n">
        <v>0</v>
      </c>
      <c r="N130" s="201" t="n">
        <v>0</v>
      </c>
      <c r="O130" s="203" t="n">
        <v>0</v>
      </c>
      <c r="P130" s="204" t="n">
        <v>0</v>
      </c>
      <c r="Q130" s="203" t="n">
        <v>0</v>
      </c>
      <c r="R130" s="202" t="n">
        <f aca="false">O130*P130</f>
        <v>0</v>
      </c>
    </row>
    <row r="131" customFormat="false" ht="15" hidden="false" customHeight="false" outlineLevel="0" collapsed="false">
      <c r="A131" s="210" t="n">
        <v>6</v>
      </c>
      <c r="B131" s="258" t="s">
        <v>127</v>
      </c>
      <c r="C131" s="208" t="n">
        <v>27336</v>
      </c>
      <c r="D131" s="208" t="n">
        <v>14063</v>
      </c>
      <c r="E131" s="201" t="n">
        <f aca="false">C131/D131*100-100</f>
        <v>94.3824219583304</v>
      </c>
      <c r="F131" s="208" t="n">
        <v>6480</v>
      </c>
      <c r="G131" s="208" t="n">
        <v>3924</v>
      </c>
      <c r="H131" s="201" t="n">
        <v>0</v>
      </c>
      <c r="I131" s="208" t="n">
        <v>27336</v>
      </c>
      <c r="J131" s="208" t="n">
        <v>14063</v>
      </c>
      <c r="K131" s="201" t="n">
        <f aca="false">I131/J131*100-100</f>
        <v>94.3824219583304</v>
      </c>
      <c r="L131" s="208" t="n">
        <v>0</v>
      </c>
      <c r="M131" s="208" t="n">
        <v>0</v>
      </c>
      <c r="N131" s="192" t="n">
        <v>0</v>
      </c>
      <c r="O131" s="219" t="n">
        <v>24</v>
      </c>
      <c r="P131" s="250" t="n">
        <v>100</v>
      </c>
      <c r="Q131" s="219" t="n">
        <v>24</v>
      </c>
      <c r="R131" s="202" t="n">
        <f aca="false">O131*P131</f>
        <v>2400</v>
      </c>
    </row>
    <row r="132" customFormat="false" ht="15" hidden="false" customHeight="false" outlineLevel="0" collapsed="false">
      <c r="A132" s="215" t="s">
        <v>128</v>
      </c>
      <c r="B132" s="215" t="s">
        <v>128</v>
      </c>
      <c r="C132" s="216" t="n">
        <f aca="false">SUM(C125:C131)</f>
        <v>132559</v>
      </c>
      <c r="D132" s="216" t="n">
        <f aca="false">SUM(D125:D131)</f>
        <v>203946</v>
      </c>
      <c r="E132" s="313" t="n">
        <f aca="false">C132/D132*100-100</f>
        <v>-35.0028929226364</v>
      </c>
      <c r="F132" s="216" t="n">
        <f aca="false">SUM(F125:F131)</f>
        <v>23832</v>
      </c>
      <c r="G132" s="216" t="n">
        <f aca="false">SUM(G125:G131)</f>
        <v>21932</v>
      </c>
      <c r="H132" s="313" t="n">
        <f aca="false">F132/G132*100-100</f>
        <v>8.66314061645083</v>
      </c>
      <c r="I132" s="216" t="n">
        <f aca="false">SUM(I125:I131)</f>
        <v>95261</v>
      </c>
      <c r="J132" s="216" t="n">
        <f aca="false">SUM(J125:J131)</f>
        <v>228617</v>
      </c>
      <c r="K132" s="313" t="n">
        <f aca="false">I132/J132*100-100</f>
        <v>-58.3316201332359</v>
      </c>
      <c r="L132" s="216" t="n">
        <f aca="false">SUM(L125:L131)</f>
        <v>19451</v>
      </c>
      <c r="M132" s="216" t="n">
        <f aca="false">SUM(M125:M131)</f>
        <v>0</v>
      </c>
      <c r="N132" s="237" t="n">
        <v>0</v>
      </c>
      <c r="O132" s="216" t="n">
        <f aca="false">SUM(O125:O131)</f>
        <v>107</v>
      </c>
      <c r="P132" s="237" t="n">
        <f aca="false">R132/O132</f>
        <v>83.7383177570093</v>
      </c>
      <c r="Q132" s="216" t="n">
        <f aca="false">SUM(Q125:Q131)</f>
        <v>107</v>
      </c>
      <c r="R132" s="232" t="n">
        <f aca="false">SUM(R125:R131)</f>
        <v>8960</v>
      </c>
    </row>
    <row r="133" customFormat="false" ht="15" hidden="false" customHeight="false" outlineLevel="0" collapsed="false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192"/>
      <c r="L133" s="203"/>
      <c r="M133" s="203"/>
      <c r="N133" s="203"/>
      <c r="O133" s="203"/>
      <c r="P133" s="219"/>
      <c r="Q133" s="203"/>
      <c r="R133" s="197"/>
    </row>
    <row r="134" customFormat="false" ht="15" hidden="false" customHeight="false" outlineLevel="0" collapsed="false">
      <c r="A134" s="190" t="s">
        <v>129</v>
      </c>
      <c r="B134" s="190"/>
      <c r="C134" s="195" t="n">
        <v>3</v>
      </c>
      <c r="D134" s="195" t="n">
        <v>4</v>
      </c>
      <c r="E134" s="196" t="n">
        <v>5</v>
      </c>
      <c r="F134" s="195" t="n">
        <v>6</v>
      </c>
      <c r="G134" s="195" t="n">
        <v>7</v>
      </c>
      <c r="H134" s="195" t="n">
        <v>8</v>
      </c>
      <c r="I134" s="195" t="n">
        <v>9</v>
      </c>
      <c r="J134" s="195" t="n">
        <v>10</v>
      </c>
      <c r="K134" s="195" t="n">
        <v>11</v>
      </c>
      <c r="L134" s="195" t="n">
        <v>12</v>
      </c>
      <c r="M134" s="195" t="n">
        <v>13</v>
      </c>
      <c r="N134" s="195" t="n">
        <v>14</v>
      </c>
      <c r="O134" s="195" t="n">
        <v>15</v>
      </c>
      <c r="P134" s="196" t="n">
        <v>16</v>
      </c>
      <c r="Q134" s="195" t="n">
        <v>15</v>
      </c>
      <c r="R134" s="189"/>
    </row>
    <row r="135" customFormat="false" ht="15" hidden="false" customHeight="false" outlineLevel="0" collapsed="false">
      <c r="A135" s="262" t="n">
        <v>1</v>
      </c>
      <c r="B135" s="243" t="s">
        <v>130</v>
      </c>
      <c r="C135" s="219" t="n">
        <v>83064581</v>
      </c>
      <c r="D135" s="219" t="n">
        <v>78896617</v>
      </c>
      <c r="E135" s="201" t="n">
        <f aca="false">C135/D135*100-100</f>
        <v>5.28281713270418</v>
      </c>
      <c r="F135" s="219" t="n">
        <v>10574058</v>
      </c>
      <c r="G135" s="219" t="n">
        <v>11275574</v>
      </c>
      <c r="H135" s="201" t="n">
        <f aca="false">F135/G135*100-100</f>
        <v>-6.22155466320385</v>
      </c>
      <c r="I135" s="262" t="n">
        <v>79044739</v>
      </c>
      <c r="J135" s="262" t="n">
        <v>77000576</v>
      </c>
      <c r="K135" s="201" t="n">
        <f aca="false">I135/J135*100-100</f>
        <v>2.65473728404318</v>
      </c>
      <c r="L135" s="262" t="n">
        <v>44260702</v>
      </c>
      <c r="M135" s="262" t="n">
        <v>36077253</v>
      </c>
      <c r="N135" s="201" t="n">
        <f aca="false">L135/M135*100-100</f>
        <v>22.683126678187</v>
      </c>
      <c r="O135" s="203"/>
      <c r="P135" s="219" t="n">
        <v>145</v>
      </c>
      <c r="Q135" s="203" t="n">
        <v>2968</v>
      </c>
      <c r="R135" s="202" t="n">
        <f aca="false">O135*P135</f>
        <v>0</v>
      </c>
    </row>
    <row r="136" customFormat="false" ht="15" hidden="false" customHeight="false" outlineLevel="0" collapsed="false">
      <c r="A136" s="262" t="n">
        <v>2</v>
      </c>
      <c r="B136" s="243" t="s">
        <v>131</v>
      </c>
      <c r="C136" s="219" t="n">
        <v>17002082</v>
      </c>
      <c r="D136" s="219" t="n">
        <v>17467135</v>
      </c>
      <c r="E136" s="201" t="n">
        <f aca="false">C136/D136*100-100</f>
        <v>-2.66244578747458</v>
      </c>
      <c r="F136" s="219" t="n">
        <v>2290396</v>
      </c>
      <c r="G136" s="219" t="n">
        <v>2009100</v>
      </c>
      <c r="H136" s="201" t="n">
        <f aca="false">F136/G136*100-100</f>
        <v>14.0010950176696</v>
      </c>
      <c r="I136" s="262" t="n">
        <v>13300941</v>
      </c>
      <c r="J136" s="262" t="n">
        <v>15626045</v>
      </c>
      <c r="K136" s="201" t="n">
        <f aca="false">I136/J136*100-100</f>
        <v>-14.8796704476405</v>
      </c>
      <c r="L136" s="262" t="n">
        <v>13300941</v>
      </c>
      <c r="M136" s="262" t="n">
        <v>15626045</v>
      </c>
      <c r="N136" s="201" t="n">
        <f aca="false">L136/M136*100-100</f>
        <v>-14.8796704476405</v>
      </c>
      <c r="O136" s="203" t="n">
        <v>951</v>
      </c>
      <c r="P136" s="219" t="n">
        <v>120</v>
      </c>
      <c r="Q136" s="203" t="n">
        <v>1003</v>
      </c>
      <c r="R136" s="202" t="n">
        <f aca="false">O136*P136</f>
        <v>114120</v>
      </c>
    </row>
    <row r="137" customFormat="false" ht="24.75" hidden="false" customHeight="false" outlineLevel="0" collapsed="false">
      <c r="A137" s="262" t="n">
        <v>3</v>
      </c>
      <c r="B137" s="365" t="s">
        <v>226</v>
      </c>
      <c r="C137" s="223" t="n">
        <v>16034663</v>
      </c>
      <c r="D137" s="223" t="n">
        <v>16469287</v>
      </c>
      <c r="E137" s="201" t="n">
        <f aca="false">C137/D137*100-100</f>
        <v>-2.63899706162142</v>
      </c>
      <c r="F137" s="223" t="n">
        <v>1744243</v>
      </c>
      <c r="G137" s="223" t="n">
        <v>2223887</v>
      </c>
      <c r="H137" s="201" t="n">
        <f aca="false">F137/G137*100-100</f>
        <v>-21.5678224657997</v>
      </c>
      <c r="I137" s="207" t="n">
        <v>14078069</v>
      </c>
      <c r="J137" s="207" t="n">
        <v>14124272</v>
      </c>
      <c r="K137" s="201" t="n">
        <f aca="false">I137/J137*100-100</f>
        <v>-0.327117744546413</v>
      </c>
      <c r="L137" s="207" t="n">
        <v>14078069</v>
      </c>
      <c r="M137" s="207" t="n">
        <f aca="false">1958616+12165655</f>
        <v>14124271</v>
      </c>
      <c r="N137" s="201" t="n">
        <f aca="false">L137/M137*100-100</f>
        <v>-0.327110687694969</v>
      </c>
      <c r="O137" s="200" t="n">
        <v>1087</v>
      </c>
      <c r="P137" s="222" t="n">
        <v>306</v>
      </c>
      <c r="Q137" s="200" t="n">
        <v>1087</v>
      </c>
      <c r="R137" s="202" t="n">
        <f aca="false">O137*P137</f>
        <v>332622</v>
      </c>
    </row>
    <row r="138" customFormat="false" ht="15" hidden="false" customHeight="false" outlineLevel="0" collapsed="false">
      <c r="A138" s="262" t="n">
        <v>4</v>
      </c>
      <c r="B138" s="243" t="s">
        <v>133</v>
      </c>
      <c r="C138" s="236" t="n">
        <v>3492216</v>
      </c>
      <c r="D138" s="236" t="n">
        <v>3297351</v>
      </c>
      <c r="E138" s="201" t="n">
        <f aca="false">C138/D138*100-100</f>
        <v>5.90974391261349</v>
      </c>
      <c r="F138" s="203" t="n">
        <v>504247</v>
      </c>
      <c r="G138" s="203" t="n">
        <v>492064</v>
      </c>
      <c r="H138" s="201" t="n">
        <f aca="false">F138/G138*100-100</f>
        <v>2.47589744423489</v>
      </c>
      <c r="I138" s="203" t="n">
        <v>3591774</v>
      </c>
      <c r="J138" s="203" t="n">
        <v>3043562</v>
      </c>
      <c r="K138" s="201" t="n">
        <f aca="false">I138/J138*100-100</f>
        <v>18.0121844076119</v>
      </c>
      <c r="L138" s="203" t="n">
        <v>0</v>
      </c>
      <c r="M138" s="203" t="n">
        <v>0</v>
      </c>
      <c r="N138" s="201" t="n">
        <v>0</v>
      </c>
      <c r="O138" s="203" t="n">
        <v>505</v>
      </c>
      <c r="P138" s="219" t="n">
        <v>150</v>
      </c>
      <c r="Q138" s="203" t="n">
        <v>505</v>
      </c>
      <c r="R138" s="202" t="n">
        <f aca="false">O138*P138</f>
        <v>75750</v>
      </c>
    </row>
    <row r="139" customFormat="false" ht="15" hidden="false" customHeight="false" outlineLevel="0" collapsed="false">
      <c r="A139" s="262" t="n">
        <v>5</v>
      </c>
      <c r="B139" s="243" t="s">
        <v>134</v>
      </c>
      <c r="C139" s="203" t="n">
        <v>2100945</v>
      </c>
      <c r="D139" s="203" t="n">
        <v>2864757</v>
      </c>
      <c r="E139" s="201" t="n">
        <f aca="false">C139/D139*100-100</f>
        <v>-26.6623661273888</v>
      </c>
      <c r="F139" s="203" t="n">
        <v>238782</v>
      </c>
      <c r="G139" s="203" t="n">
        <v>431446</v>
      </c>
      <c r="H139" s="201" t="n">
        <f aca="false">F139/G139*100-100</f>
        <v>-44.6554145825897</v>
      </c>
      <c r="I139" s="203" t="n">
        <v>0</v>
      </c>
      <c r="J139" s="203" t="n">
        <v>2674755</v>
      </c>
      <c r="K139" s="201" t="n">
        <f aca="false">I139/J139*100-100</f>
        <v>-100</v>
      </c>
      <c r="L139" s="203" t="n">
        <v>0</v>
      </c>
      <c r="M139" s="203" t="n">
        <v>2674755</v>
      </c>
      <c r="N139" s="201" t="n">
        <f aca="false">L139/M139*100-100</f>
        <v>-100</v>
      </c>
      <c r="O139" s="203" t="n">
        <v>418</v>
      </c>
      <c r="P139" s="204" t="n">
        <v>221</v>
      </c>
      <c r="Q139" s="203" t="n">
        <v>418</v>
      </c>
      <c r="R139" s="202" t="n">
        <f aca="false">O139*P139</f>
        <v>92378</v>
      </c>
    </row>
    <row r="140" customFormat="false" ht="15" hidden="false" customHeight="false" outlineLevel="0" collapsed="false">
      <c r="A140" s="215" t="s">
        <v>135</v>
      </c>
      <c r="B140" s="215" t="s">
        <v>136</v>
      </c>
      <c r="C140" s="237" t="n">
        <f aca="false">SUM(C135:C139)</f>
        <v>121694487</v>
      </c>
      <c r="D140" s="237" t="n">
        <f aca="false">SUM(D135:D139)</f>
        <v>118995147</v>
      </c>
      <c r="E140" s="313" t="n">
        <f aca="false">C140/D140*100-100</f>
        <v>2.26844545181326</v>
      </c>
      <c r="F140" s="237" t="n">
        <f aca="false">SUM(F135:F139)</f>
        <v>15351726</v>
      </c>
      <c r="G140" s="237" t="n">
        <f aca="false">SUM(G135:G139)</f>
        <v>16432071</v>
      </c>
      <c r="H140" s="313" t="n">
        <f aca="false">F140/G140*100-100</f>
        <v>-6.57461253666686</v>
      </c>
      <c r="I140" s="237" t="n">
        <f aca="false">SUM(I135:I139)</f>
        <v>110015523</v>
      </c>
      <c r="J140" s="237" t="n">
        <f aca="false">SUM(J135:J139)</f>
        <v>112469210</v>
      </c>
      <c r="K140" s="313" t="n">
        <f aca="false">I140/J140*100-100</f>
        <v>-2.18165220507906</v>
      </c>
      <c r="L140" s="237" t="n">
        <f aca="false">SUM(L135:L139)</f>
        <v>71639712</v>
      </c>
      <c r="M140" s="237" t="n">
        <f aca="false">SUM(M135:M139)</f>
        <v>68502324</v>
      </c>
      <c r="N140" s="313" t="n">
        <f aca="false">L140/M140*100-100</f>
        <v>4.57997308237307</v>
      </c>
      <c r="O140" s="237" t="n">
        <f aca="false">SUM(O135:O139)</f>
        <v>2961</v>
      </c>
      <c r="P140" s="237" t="n">
        <f aca="false">R140/O140</f>
        <v>207.656197230665</v>
      </c>
      <c r="Q140" s="237" t="n">
        <f aca="false">SUM(Q135:Q139)</f>
        <v>5981</v>
      </c>
      <c r="R140" s="237" t="n">
        <f aca="false">SUM(R135:R139)</f>
        <v>614870</v>
      </c>
    </row>
    <row r="141" customFormat="false" ht="15" hidden="false" customHeight="false" outlineLevel="0" collapsed="false">
      <c r="A141" s="263"/>
      <c r="B141" s="263"/>
      <c r="C141" s="264"/>
      <c r="D141" s="264"/>
      <c r="E141" s="265"/>
      <c r="F141" s="266"/>
      <c r="G141" s="266"/>
      <c r="H141" s="265"/>
      <c r="I141" s="266"/>
      <c r="J141" s="266"/>
      <c r="K141" s="265"/>
      <c r="L141" s="266"/>
      <c r="M141" s="266"/>
      <c r="N141" s="265"/>
      <c r="O141" s="266"/>
      <c r="P141" s="264"/>
      <c r="Q141" s="266"/>
      <c r="R141" s="267"/>
    </row>
    <row r="142" customFormat="false" ht="15" hidden="false" customHeight="false" outlineLevel="0" collapsed="false">
      <c r="A142" s="263"/>
      <c r="B142" s="263" t="s">
        <v>137</v>
      </c>
      <c r="C142" s="195" t="n">
        <v>3</v>
      </c>
      <c r="D142" s="195" t="n">
        <v>4</v>
      </c>
      <c r="E142" s="196" t="n">
        <v>5</v>
      </c>
      <c r="F142" s="195" t="n">
        <v>6</v>
      </c>
      <c r="G142" s="195" t="n">
        <v>7</v>
      </c>
      <c r="H142" s="195" t="n">
        <v>8</v>
      </c>
      <c r="I142" s="195" t="n">
        <v>9</v>
      </c>
      <c r="J142" s="195" t="n">
        <v>10</v>
      </c>
      <c r="K142" s="195" t="n">
        <v>11</v>
      </c>
      <c r="L142" s="195" t="n">
        <v>12</v>
      </c>
      <c r="M142" s="195" t="n">
        <v>13</v>
      </c>
      <c r="N142" s="195" t="n">
        <v>14</v>
      </c>
      <c r="O142" s="195" t="n">
        <v>15</v>
      </c>
      <c r="P142" s="196" t="n">
        <v>16</v>
      </c>
      <c r="Q142" s="195" t="n">
        <v>15</v>
      </c>
      <c r="R142" s="267"/>
    </row>
    <row r="143" customFormat="false" ht="15" hidden="false" customHeight="false" outlineLevel="0" collapsed="false">
      <c r="A143" s="262" t="n">
        <v>1</v>
      </c>
      <c r="B143" s="243" t="s">
        <v>138</v>
      </c>
      <c r="C143" s="219" t="n">
        <v>13625870</v>
      </c>
      <c r="D143" s="219" t="n">
        <v>13659904</v>
      </c>
      <c r="E143" s="201" t="n">
        <f aca="false">C143/D143*100-100</f>
        <v>-0.249152556269792</v>
      </c>
      <c r="F143" s="219" t="n">
        <v>1478440</v>
      </c>
      <c r="G143" s="219" t="n">
        <v>1740694</v>
      </c>
      <c r="H143" s="201" t="n">
        <f aca="false">F143/G143*100-100</f>
        <v>-15.0660598588839</v>
      </c>
      <c r="I143" s="262" t="n">
        <v>13311352</v>
      </c>
      <c r="J143" s="262" t="n">
        <v>13462750</v>
      </c>
      <c r="K143" s="201" t="n">
        <f aca="false">I143/J143*100-100</f>
        <v>-1.12456964587473</v>
      </c>
      <c r="L143" s="262" t="n">
        <v>13311352</v>
      </c>
      <c r="M143" s="262" t="n">
        <v>13462750</v>
      </c>
      <c r="N143" s="201" t="n">
        <f aca="false">L143/M143*100-100</f>
        <v>-1.12456964587473</v>
      </c>
      <c r="O143" s="203" t="n">
        <v>490</v>
      </c>
      <c r="P143" s="236" t="n">
        <v>150</v>
      </c>
      <c r="Q143" s="203" t="n">
        <v>490</v>
      </c>
      <c r="R143" s="202" t="n">
        <f aca="false">O143*P143</f>
        <v>73500</v>
      </c>
    </row>
    <row r="144" customFormat="false" ht="15" hidden="false" customHeight="false" outlineLevel="0" collapsed="false">
      <c r="A144" s="262" t="n">
        <v>2</v>
      </c>
      <c r="B144" s="243" t="s">
        <v>139</v>
      </c>
      <c r="C144" s="219" t="n">
        <v>25720102</v>
      </c>
      <c r="D144" s="219" t="n">
        <v>28140987</v>
      </c>
      <c r="E144" s="201" t="n">
        <f aca="false">C144/D144*100-100</f>
        <v>-8.60270110639686</v>
      </c>
      <c r="F144" s="236" t="n">
        <v>2168541</v>
      </c>
      <c r="G144" s="236" t="n">
        <v>3858837</v>
      </c>
      <c r="H144" s="201" t="n">
        <f aca="false">F144/G144*100-100</f>
        <v>-43.8032495282905</v>
      </c>
      <c r="I144" s="203" t="n">
        <v>25113976</v>
      </c>
      <c r="J144" s="203" t="n">
        <v>26819843</v>
      </c>
      <c r="K144" s="201" t="n">
        <f aca="false">I144/J144*100-100</f>
        <v>-6.36046601764224</v>
      </c>
      <c r="L144" s="203" t="n">
        <v>25035392</v>
      </c>
      <c r="M144" s="203" t="n">
        <v>26736946</v>
      </c>
      <c r="N144" s="201" t="n">
        <f aca="false">L144/M144*100-100</f>
        <v>-6.3640551916438</v>
      </c>
      <c r="O144" s="203" t="n">
        <v>660</v>
      </c>
      <c r="P144" s="219" t="n">
        <v>165</v>
      </c>
      <c r="Q144" s="203" t="n">
        <v>655</v>
      </c>
      <c r="R144" s="202" t="n">
        <f aca="false">O144*P144</f>
        <v>108900</v>
      </c>
    </row>
    <row r="145" customFormat="false" ht="15" hidden="false" customHeight="false" outlineLevel="0" collapsed="false">
      <c r="A145" s="262" t="n">
        <v>3</v>
      </c>
      <c r="B145" s="243" t="s">
        <v>140</v>
      </c>
      <c r="C145" s="219" t="n">
        <v>20239289</v>
      </c>
      <c r="D145" s="219" t="n">
        <v>20269029</v>
      </c>
      <c r="E145" s="201" t="n">
        <f aca="false">C145/D145*100-100</f>
        <v>-0.146726318266161</v>
      </c>
      <c r="F145" s="203" t="n">
        <v>2146830</v>
      </c>
      <c r="G145" s="203" t="n">
        <v>2570014</v>
      </c>
      <c r="H145" s="201" t="n">
        <f aca="false">F145/G145*100-100</f>
        <v>-16.4662138027264</v>
      </c>
      <c r="I145" s="203" t="n">
        <v>19453247</v>
      </c>
      <c r="J145" s="203" t="n">
        <v>19832698</v>
      </c>
      <c r="K145" s="201" t="n">
        <f aca="false">I145/J145*100-100</f>
        <v>-1.91325960794644</v>
      </c>
      <c r="L145" s="203" t="n">
        <v>19453247</v>
      </c>
      <c r="M145" s="203" t="n">
        <v>19832698</v>
      </c>
      <c r="N145" s="201" t="n">
        <f aca="false">L145/M145*100-100</f>
        <v>-1.91325960794644</v>
      </c>
      <c r="O145" s="203" t="n">
        <v>558</v>
      </c>
      <c r="P145" s="219" t="n">
        <v>180</v>
      </c>
      <c r="Q145" s="203" t="n">
        <v>558</v>
      </c>
      <c r="R145" s="202" t="n">
        <f aca="false">O145*P145</f>
        <v>100440</v>
      </c>
    </row>
    <row r="146" customFormat="false" ht="15" hidden="false" customHeight="false" outlineLevel="0" collapsed="false">
      <c r="A146" s="262" t="n">
        <v>4</v>
      </c>
      <c r="B146" s="243" t="s">
        <v>141</v>
      </c>
      <c r="C146" s="236" t="n">
        <v>3176988</v>
      </c>
      <c r="D146" s="236" t="n">
        <v>2708710</v>
      </c>
      <c r="E146" s="201" t="n">
        <f aca="false">C146/D146*100-100</f>
        <v>17.2878602729713</v>
      </c>
      <c r="F146" s="262" t="n">
        <v>467105</v>
      </c>
      <c r="G146" s="262" t="n">
        <v>313471</v>
      </c>
      <c r="H146" s="201" t="n">
        <f aca="false">F146/G146*100-100</f>
        <v>49.0105942814487</v>
      </c>
      <c r="I146" s="262" t="n">
        <v>3445865</v>
      </c>
      <c r="J146" s="262" t="n">
        <v>2703261</v>
      </c>
      <c r="K146" s="201" t="n">
        <f aca="false">I146/J146*100-100</f>
        <v>27.4706733829993</v>
      </c>
      <c r="L146" s="262" t="n">
        <v>0</v>
      </c>
      <c r="M146" s="262" t="n">
        <v>0</v>
      </c>
      <c r="N146" s="201" t="n">
        <v>0</v>
      </c>
      <c r="O146" s="203" t="n">
        <v>332</v>
      </c>
      <c r="P146" s="236" t="n">
        <v>58</v>
      </c>
      <c r="Q146" s="203" t="n">
        <v>332</v>
      </c>
      <c r="R146" s="202" t="n">
        <f aca="false">O146*P146</f>
        <v>19256</v>
      </c>
    </row>
    <row r="147" customFormat="false" ht="15" hidden="false" customHeight="false" outlineLevel="0" collapsed="false">
      <c r="A147" s="262" t="n">
        <v>5</v>
      </c>
      <c r="B147" s="243" t="s">
        <v>142</v>
      </c>
      <c r="C147" s="236" t="n">
        <v>20388644</v>
      </c>
      <c r="D147" s="236" t="n">
        <v>19602179</v>
      </c>
      <c r="E147" s="201" t="n">
        <f aca="false">C147/D147*100-100</f>
        <v>4.01213048814624</v>
      </c>
      <c r="F147" s="236" t="n">
        <v>2747786</v>
      </c>
      <c r="G147" s="236" t="n">
        <v>3028241</v>
      </c>
      <c r="H147" s="201" t="n">
        <f aca="false">F147/G147*100-100</f>
        <v>-9.26131704841194</v>
      </c>
      <c r="I147" s="203" t="n">
        <v>19179205</v>
      </c>
      <c r="J147" s="203" t="n">
        <v>19728649</v>
      </c>
      <c r="K147" s="201" t="n">
        <f aca="false">I147/J147*100-100</f>
        <v>-2.78500570414121</v>
      </c>
      <c r="L147" s="203" t="n">
        <v>19179205</v>
      </c>
      <c r="M147" s="203" t="n">
        <v>19728649</v>
      </c>
      <c r="N147" s="201" t="n">
        <f aca="false">L147/M147*100-100</f>
        <v>-2.78500570414121</v>
      </c>
      <c r="O147" s="203" t="n">
        <v>969</v>
      </c>
      <c r="P147" s="219" t="n">
        <v>100</v>
      </c>
      <c r="Q147" s="203" t="n">
        <v>969</v>
      </c>
      <c r="R147" s="202" t="n">
        <f aca="false">O147*P147</f>
        <v>96900</v>
      </c>
    </row>
    <row r="148" customFormat="false" ht="15" hidden="false" customHeight="false" outlineLevel="0" collapsed="false">
      <c r="A148" s="262" t="n">
        <v>6</v>
      </c>
      <c r="B148" s="243" t="s">
        <v>143</v>
      </c>
      <c r="C148" s="219" t="n">
        <v>22354400</v>
      </c>
      <c r="D148" s="219" t="n">
        <v>21453689</v>
      </c>
      <c r="E148" s="201" t="n">
        <f aca="false">C148/D148*100-100</f>
        <v>4.19839683515502</v>
      </c>
      <c r="F148" s="219" t="n">
        <v>2749882</v>
      </c>
      <c r="G148" s="219" t="n">
        <v>2737842</v>
      </c>
      <c r="H148" s="201" t="n">
        <f aca="false">F148/G148*100-100</f>
        <v>0.439762411417462</v>
      </c>
      <c r="I148" s="203" t="n">
        <v>22545708</v>
      </c>
      <c r="J148" s="219" t="n">
        <v>20042862</v>
      </c>
      <c r="K148" s="201" t="n">
        <f aca="false">I148/J148*100-100</f>
        <v>12.4874681070997</v>
      </c>
      <c r="L148" s="203" t="n">
        <v>22517615</v>
      </c>
      <c r="M148" s="203" t="n">
        <v>19964449</v>
      </c>
      <c r="N148" s="201" t="n">
        <f aca="false">L148/M148*100-100</f>
        <v>12.7885623089322</v>
      </c>
      <c r="O148" s="203" t="n">
        <v>641</v>
      </c>
      <c r="P148" s="219" t="n">
        <v>130</v>
      </c>
      <c r="Q148" s="203" t="n">
        <v>640</v>
      </c>
      <c r="R148" s="202" t="n">
        <f aca="false">O148*P148</f>
        <v>83330</v>
      </c>
    </row>
    <row r="149" customFormat="false" ht="15" hidden="false" customHeight="false" outlineLevel="0" collapsed="false">
      <c r="A149" s="262" t="n">
        <v>7</v>
      </c>
      <c r="B149" s="243" t="s">
        <v>235</v>
      </c>
      <c r="C149" s="219" t="n">
        <v>2294031</v>
      </c>
      <c r="D149" s="219" t="n">
        <v>1570743</v>
      </c>
      <c r="E149" s="201" t="n">
        <f aca="false">C149/D149*100-100</f>
        <v>46.047507453479</v>
      </c>
      <c r="F149" s="219" t="n">
        <v>279602</v>
      </c>
      <c r="G149" s="219" t="n">
        <v>281678</v>
      </c>
      <c r="H149" s="201" t="n">
        <f aca="false">F149/G149*100-100</f>
        <v>-0.737011765207086</v>
      </c>
      <c r="I149" s="203" t="n">
        <v>1970849</v>
      </c>
      <c r="J149" s="219" t="n">
        <v>1608545</v>
      </c>
      <c r="K149" s="201" t="n">
        <f aca="false">I149/J149*100-100</f>
        <v>22.5237093149399</v>
      </c>
      <c r="L149" s="203" t="n">
        <v>0</v>
      </c>
      <c r="M149" s="203" t="n">
        <v>0</v>
      </c>
      <c r="N149" s="201" t="n">
        <v>0</v>
      </c>
      <c r="O149" s="203" t="n">
        <v>35</v>
      </c>
      <c r="P149" s="219"/>
      <c r="Q149" s="203"/>
      <c r="R149" s="202"/>
    </row>
    <row r="150" customFormat="false" ht="15" hidden="false" customHeight="false" outlineLevel="0" collapsed="false">
      <c r="A150" s="262" t="n">
        <v>8</v>
      </c>
      <c r="B150" s="243" t="s">
        <v>144</v>
      </c>
      <c r="C150" s="200" t="n">
        <v>0</v>
      </c>
      <c r="D150" s="200" t="n">
        <v>0</v>
      </c>
      <c r="E150" s="201" t="n">
        <v>0</v>
      </c>
      <c r="F150" s="200" t="n">
        <v>0</v>
      </c>
      <c r="G150" s="200" t="n">
        <v>0</v>
      </c>
      <c r="H150" s="201" t="n">
        <v>0</v>
      </c>
      <c r="I150" s="200" t="n">
        <v>0</v>
      </c>
      <c r="J150" s="200" t="n">
        <v>0</v>
      </c>
      <c r="K150" s="201" t="n">
        <v>0</v>
      </c>
      <c r="L150" s="200" t="n">
        <v>0</v>
      </c>
      <c r="M150" s="200" t="n">
        <v>0</v>
      </c>
      <c r="N150" s="201" t="n">
        <v>0</v>
      </c>
      <c r="O150" s="203" t="n">
        <v>0</v>
      </c>
      <c r="P150" s="204" t="n">
        <v>0</v>
      </c>
      <c r="Q150" s="203" t="n">
        <v>0</v>
      </c>
      <c r="R150" s="202" t="n">
        <v>0</v>
      </c>
    </row>
    <row r="151" customFormat="false" ht="15" hidden="false" customHeight="false" outlineLevel="0" collapsed="false">
      <c r="A151" s="215" t="s">
        <v>145</v>
      </c>
      <c r="B151" s="215" t="s">
        <v>136</v>
      </c>
      <c r="C151" s="237" t="n">
        <f aca="false">SUM(C143:C150)</f>
        <v>107799324</v>
      </c>
      <c r="D151" s="237" t="n">
        <f aca="false">SUM(D143:D150)</f>
        <v>107405241</v>
      </c>
      <c r="E151" s="313" t="n">
        <f aca="false">C151/D151*100-100</f>
        <v>0.366912262689297</v>
      </c>
      <c r="F151" s="237" t="n">
        <f aca="false">SUM(F143:F150)</f>
        <v>12038186</v>
      </c>
      <c r="G151" s="237" t="n">
        <f aca="false">SUM(G143:G150)</f>
        <v>14530777</v>
      </c>
      <c r="H151" s="313" t="n">
        <f aca="false">F151/G151*100-100</f>
        <v>-17.1538727763835</v>
      </c>
      <c r="I151" s="237" t="n">
        <f aca="false">SUM(I143:I150)</f>
        <v>105020202</v>
      </c>
      <c r="J151" s="237" t="n">
        <f aca="false">SUM(J143:J150)</f>
        <v>104198608</v>
      </c>
      <c r="K151" s="313" t="n">
        <f aca="false">I151/J151*100-100</f>
        <v>0.788488460421661</v>
      </c>
      <c r="L151" s="237" t="n">
        <f aca="false">SUM(L143:L150)</f>
        <v>99496811</v>
      </c>
      <c r="M151" s="237" t="n">
        <f aca="false">SUM(M143:M150)</f>
        <v>99725492</v>
      </c>
      <c r="N151" s="313" t="n">
        <f aca="false">L151/M151*100-100</f>
        <v>-0.229310475600357</v>
      </c>
      <c r="O151" s="216" t="n">
        <f aca="false">SUM(O143:O150)</f>
        <v>3685</v>
      </c>
      <c r="P151" s="237" t="n">
        <f aca="false">R151/O151</f>
        <v>130.889009497965</v>
      </c>
      <c r="Q151" s="216" t="n">
        <f aca="false">SUM(Q143:Q150)</f>
        <v>3644</v>
      </c>
      <c r="R151" s="232" t="n">
        <f aca="false">SUM(R143:R150)</f>
        <v>482326</v>
      </c>
    </row>
    <row r="152" customFormat="false" ht="15" hidden="false" customHeight="false" outlineLevel="0" collapsed="false">
      <c r="A152" s="319" t="s">
        <v>146</v>
      </c>
      <c r="B152" s="319" t="s">
        <v>78</v>
      </c>
      <c r="C152" s="320" t="n">
        <f aca="false">C140+C151</f>
        <v>229493811</v>
      </c>
      <c r="D152" s="320" t="n">
        <f aca="false">D140+D151</f>
        <v>226400388</v>
      </c>
      <c r="E152" s="310" t="n">
        <f aca="false">C152/D152*100-100</f>
        <v>1.36635057356879</v>
      </c>
      <c r="F152" s="320" t="n">
        <f aca="false">F140+F151</f>
        <v>27389912</v>
      </c>
      <c r="G152" s="320" t="n">
        <f aca="false">G140+G151</f>
        <v>30962848</v>
      </c>
      <c r="H152" s="310" t="n">
        <f aca="false">F152/G152*100-100</f>
        <v>-11.5394294478337</v>
      </c>
      <c r="I152" s="320" t="n">
        <f aca="false">I140+I151</f>
        <v>215035725</v>
      </c>
      <c r="J152" s="320" t="n">
        <f aca="false">J140+J151</f>
        <v>216667818</v>
      </c>
      <c r="K152" s="310" t="n">
        <f aca="false">I152/J152*100-100</f>
        <v>-0.753269689548446</v>
      </c>
      <c r="L152" s="320" t="n">
        <f aca="false">L140+L151</f>
        <v>171136523</v>
      </c>
      <c r="M152" s="320" t="n">
        <f aca="false">M140+M151</f>
        <v>168227816</v>
      </c>
      <c r="N152" s="310" t="n">
        <f aca="false">L152/M152*100-100</f>
        <v>1.72902856921118</v>
      </c>
      <c r="O152" s="320" t="n">
        <f aca="false">O140+O151</f>
        <v>6646</v>
      </c>
      <c r="P152" s="321" t="n">
        <f aca="false">R152/O152</f>
        <v>165.091182666265</v>
      </c>
      <c r="Q152" s="320" t="n">
        <f aca="false">Q140+Q151</f>
        <v>9625</v>
      </c>
      <c r="R152" s="320" t="n">
        <f aca="false">R140+R151</f>
        <v>1097196</v>
      </c>
    </row>
    <row r="153" customFormat="false" ht="15" hidden="false" customHeight="false" outlineLevel="0" collapsed="false">
      <c r="A153" s="263"/>
      <c r="B153" s="263"/>
      <c r="C153" s="264"/>
      <c r="D153" s="264"/>
      <c r="E153" s="265"/>
      <c r="F153" s="266"/>
      <c r="G153" s="266"/>
      <c r="H153" s="265"/>
      <c r="I153" s="266"/>
      <c r="J153" s="266"/>
      <c r="K153" s="265"/>
      <c r="L153" s="266"/>
      <c r="M153" s="266"/>
      <c r="N153" s="265"/>
      <c r="O153" s="266"/>
      <c r="P153" s="264"/>
      <c r="Q153" s="266"/>
      <c r="R153" s="267"/>
    </row>
    <row r="154" customFormat="false" ht="15" hidden="false" customHeight="false" outlineLevel="0" collapsed="false">
      <c r="A154" s="179"/>
      <c r="B154" s="270" t="s">
        <v>147</v>
      </c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189"/>
    </row>
    <row r="155" customFormat="false" ht="15" hidden="false" customHeight="false" outlineLevel="0" collapsed="false">
      <c r="A155" s="270"/>
      <c r="B155" s="270"/>
      <c r="C155" s="195" t="n">
        <v>3</v>
      </c>
      <c r="D155" s="195" t="n">
        <v>4</v>
      </c>
      <c r="E155" s="196" t="n">
        <v>5</v>
      </c>
      <c r="F155" s="195" t="n">
        <v>6</v>
      </c>
      <c r="G155" s="195" t="n">
        <v>7</v>
      </c>
      <c r="H155" s="195" t="n">
        <v>8</v>
      </c>
      <c r="I155" s="195" t="n">
        <v>9</v>
      </c>
      <c r="J155" s="195" t="n">
        <v>10</v>
      </c>
      <c r="K155" s="195" t="n">
        <v>11</v>
      </c>
      <c r="L155" s="195" t="n">
        <v>12</v>
      </c>
      <c r="M155" s="195" t="n">
        <v>13</v>
      </c>
      <c r="N155" s="195" t="n">
        <v>14</v>
      </c>
      <c r="O155" s="195" t="n">
        <v>15</v>
      </c>
      <c r="P155" s="196" t="n">
        <v>16</v>
      </c>
      <c r="Q155" s="195" t="n">
        <v>15</v>
      </c>
      <c r="R155" s="271"/>
    </row>
    <row r="156" customFormat="false" ht="15" hidden="false" customHeight="false" outlineLevel="0" collapsed="false">
      <c r="A156" s="262" t="n">
        <v>1</v>
      </c>
      <c r="B156" s="272" t="s">
        <v>148</v>
      </c>
      <c r="C156" s="262" t="n">
        <v>21910</v>
      </c>
      <c r="D156" s="262" t="n">
        <v>48347</v>
      </c>
      <c r="E156" s="201" t="n">
        <f aca="false">C156/D156*100-100</f>
        <v>-54.681779634724</v>
      </c>
      <c r="F156" s="192" t="n">
        <v>2416</v>
      </c>
      <c r="G156" s="262" t="n">
        <v>9680</v>
      </c>
      <c r="H156" s="201" t="n">
        <f aca="false">F156/G156*100-100</f>
        <v>-75.0413223140496</v>
      </c>
      <c r="I156" s="262" t="n">
        <v>21910</v>
      </c>
      <c r="J156" s="262" t="n">
        <v>48347</v>
      </c>
      <c r="K156" s="201" t="n">
        <f aca="false">I156/J156*100-100</f>
        <v>-54.681779634724</v>
      </c>
      <c r="L156" s="262" t="n">
        <v>0</v>
      </c>
      <c r="M156" s="262" t="n">
        <v>0</v>
      </c>
      <c r="N156" s="201" t="n">
        <v>0</v>
      </c>
      <c r="O156" s="262" t="n">
        <v>54</v>
      </c>
      <c r="P156" s="236" t="n">
        <v>93</v>
      </c>
      <c r="Q156" s="262" t="n">
        <v>55</v>
      </c>
      <c r="R156" s="202" t="n">
        <f aca="false">O156*P156</f>
        <v>5022</v>
      </c>
    </row>
    <row r="157" customFormat="false" ht="15" hidden="false" customHeight="false" outlineLevel="0" collapsed="false">
      <c r="A157" s="262" t="n">
        <v>2</v>
      </c>
      <c r="B157" s="272" t="s">
        <v>149</v>
      </c>
      <c r="C157" s="208" t="n">
        <v>6622621</v>
      </c>
      <c r="D157" s="208" t="n">
        <v>3346491</v>
      </c>
      <c r="E157" s="201" t="n">
        <f aca="false">C157/D157*100-100</f>
        <v>97.8974693193557</v>
      </c>
      <c r="F157" s="208" t="n">
        <v>799498</v>
      </c>
      <c r="G157" s="208" t="n">
        <v>674182</v>
      </c>
      <c r="H157" s="201" t="n">
        <f aca="false">F157/G157*100-100</f>
        <v>18.5878590647629</v>
      </c>
      <c r="I157" s="208" t="n">
        <v>6056398</v>
      </c>
      <c r="J157" s="208" t="n">
        <v>3505801</v>
      </c>
      <c r="K157" s="201" t="n">
        <f aca="false">I157/J157*100-100</f>
        <v>72.7536160780375</v>
      </c>
      <c r="L157" s="208" t="n">
        <v>2880263</v>
      </c>
      <c r="M157" s="208" t="n">
        <v>1107869</v>
      </c>
      <c r="N157" s="201" t="n">
        <f aca="false">L157/M157*100-100</f>
        <v>159.982272272263</v>
      </c>
      <c r="O157" s="262" t="n">
        <v>561</v>
      </c>
      <c r="P157" s="236" t="n">
        <v>110</v>
      </c>
      <c r="Q157" s="262" t="n">
        <v>561</v>
      </c>
      <c r="R157" s="202" t="n">
        <f aca="false">O157*P157</f>
        <v>61710</v>
      </c>
    </row>
    <row r="158" customFormat="false" ht="15" hidden="false" customHeight="false" outlineLevel="0" collapsed="false">
      <c r="A158" s="262" t="n">
        <v>3</v>
      </c>
      <c r="B158" s="272" t="s">
        <v>150</v>
      </c>
      <c r="C158" s="200" t="n">
        <v>0</v>
      </c>
      <c r="D158" s="200" t="n">
        <v>0</v>
      </c>
      <c r="E158" s="201" t="n">
        <v>0</v>
      </c>
      <c r="F158" s="200" t="n">
        <v>0</v>
      </c>
      <c r="G158" s="200" t="n">
        <v>0</v>
      </c>
      <c r="H158" s="201" t="n">
        <v>0</v>
      </c>
      <c r="I158" s="200" t="n">
        <v>0</v>
      </c>
      <c r="J158" s="200" t="n">
        <v>0</v>
      </c>
      <c r="K158" s="201" t="n">
        <v>0</v>
      </c>
      <c r="L158" s="200" t="n">
        <v>0</v>
      </c>
      <c r="M158" s="200" t="n">
        <v>0</v>
      </c>
      <c r="N158" s="201" t="n">
        <v>0</v>
      </c>
      <c r="O158" s="203" t="n">
        <v>0</v>
      </c>
      <c r="P158" s="204" t="n">
        <v>0</v>
      </c>
      <c r="Q158" s="203" t="n">
        <v>0</v>
      </c>
      <c r="R158" s="202" t="n">
        <v>0</v>
      </c>
    </row>
    <row r="159" customFormat="false" ht="15" hidden="false" customHeight="false" outlineLevel="0" collapsed="false">
      <c r="A159" s="262" t="n">
        <v>4</v>
      </c>
      <c r="B159" s="272" t="s">
        <v>151</v>
      </c>
      <c r="C159" s="262" t="n">
        <v>1765898</v>
      </c>
      <c r="D159" s="262" t="n">
        <v>2213161</v>
      </c>
      <c r="E159" s="201" t="n">
        <f aca="false">C159/D159*100-100</f>
        <v>-20.2092391832316</v>
      </c>
      <c r="F159" s="262" t="n">
        <v>306622</v>
      </c>
      <c r="G159" s="273" t="n">
        <v>170620</v>
      </c>
      <c r="H159" s="201" t="n">
        <v>0</v>
      </c>
      <c r="I159" s="273" t="n">
        <v>1602717</v>
      </c>
      <c r="J159" s="273" t="n">
        <v>2503025</v>
      </c>
      <c r="K159" s="201" t="n">
        <f aca="false">I159/J159*100-100</f>
        <v>-35.9687977547168</v>
      </c>
      <c r="L159" s="273" t="n">
        <v>22765</v>
      </c>
      <c r="M159" s="273" t="n">
        <v>19303</v>
      </c>
      <c r="N159" s="201" t="n">
        <f aca="false">L159/M159*100-100</f>
        <v>17.9350360047661</v>
      </c>
      <c r="O159" s="262" t="n">
        <v>296</v>
      </c>
      <c r="P159" s="236" t="n">
        <v>100</v>
      </c>
      <c r="Q159" s="262" t="n">
        <v>291</v>
      </c>
      <c r="R159" s="202" t="n">
        <f aca="false">O159*P159</f>
        <v>29600</v>
      </c>
    </row>
    <row r="160" customFormat="false" ht="15" hidden="false" customHeight="false" outlineLevel="0" collapsed="false">
      <c r="A160" s="262" t="n">
        <v>5</v>
      </c>
      <c r="B160" s="245" t="s">
        <v>88</v>
      </c>
      <c r="C160" s="208" t="n">
        <v>1341125</v>
      </c>
      <c r="D160" s="208" t="n">
        <v>1374193</v>
      </c>
      <c r="E160" s="201" t="n">
        <f aca="false">C160/D160*100-100</f>
        <v>-2.40635776779536</v>
      </c>
      <c r="F160" s="208" t="n">
        <v>214226</v>
      </c>
      <c r="G160" s="208" t="n">
        <v>248109</v>
      </c>
      <c r="H160" s="201" t="n">
        <f aca="false">F160/G160*100-100</f>
        <v>-13.6564977489732</v>
      </c>
      <c r="I160" s="208" t="n">
        <v>1405593</v>
      </c>
      <c r="J160" s="208" t="n">
        <v>1303065</v>
      </c>
      <c r="K160" s="201" t="n">
        <f aca="false">I160/J160*100-100</f>
        <v>7.8682183927893</v>
      </c>
      <c r="L160" s="203" t="n">
        <v>9660</v>
      </c>
      <c r="M160" s="208" t="n">
        <v>0</v>
      </c>
      <c r="N160" s="201" t="n">
        <v>0</v>
      </c>
      <c r="O160" s="203" t="n">
        <v>127</v>
      </c>
      <c r="P160" s="208" t="n">
        <v>145</v>
      </c>
      <c r="Q160" s="203" t="n">
        <v>127</v>
      </c>
      <c r="R160" s="202" t="n">
        <f aca="false">O160*P160</f>
        <v>18415</v>
      </c>
    </row>
    <row r="161" customFormat="false" ht="15" hidden="false" customHeight="false" outlineLevel="0" collapsed="false">
      <c r="A161" s="262" t="n">
        <v>6</v>
      </c>
      <c r="B161" s="272" t="s">
        <v>152</v>
      </c>
      <c r="C161" s="200" t="n">
        <v>789715</v>
      </c>
      <c r="D161" s="200" t="n">
        <v>1911724</v>
      </c>
      <c r="E161" s="201" t="n">
        <f aca="false">C161/D161*100-100</f>
        <v>-58.6909512042533</v>
      </c>
      <c r="F161" s="200" t="n">
        <v>171109</v>
      </c>
      <c r="G161" s="200" t="n">
        <v>302100</v>
      </c>
      <c r="H161" s="201" t="n">
        <v>0</v>
      </c>
      <c r="I161" s="200" t="n">
        <v>358589</v>
      </c>
      <c r="J161" s="200" t="n">
        <v>1866392</v>
      </c>
      <c r="K161" s="201" t="n">
        <v>0</v>
      </c>
      <c r="L161" s="200" t="n">
        <v>0</v>
      </c>
      <c r="M161" s="200" t="n">
        <v>0</v>
      </c>
      <c r="N161" s="201" t="n">
        <v>0</v>
      </c>
      <c r="O161" s="203" t="n">
        <v>230</v>
      </c>
      <c r="P161" s="204" t="n">
        <v>65</v>
      </c>
      <c r="Q161" s="203" t="n">
        <v>230</v>
      </c>
      <c r="R161" s="202" t="n">
        <f aca="false">O161*P161</f>
        <v>14950</v>
      </c>
    </row>
    <row r="162" customFormat="false" ht="15" hidden="false" customHeight="false" outlineLevel="0" collapsed="false">
      <c r="A162" s="215" t="s">
        <v>153</v>
      </c>
      <c r="B162" s="215" t="s">
        <v>154</v>
      </c>
      <c r="C162" s="216" t="n">
        <f aca="false">SUM(C156:C161)</f>
        <v>10541269</v>
      </c>
      <c r="D162" s="216" t="n">
        <f aca="false">SUM(D156:D161)</f>
        <v>8893916</v>
      </c>
      <c r="E162" s="313" t="n">
        <f aca="false">C162/D162*100-100</f>
        <v>18.5222459937782</v>
      </c>
      <c r="F162" s="216" t="n">
        <f aca="false">SUM(F156:F161)</f>
        <v>1493871</v>
      </c>
      <c r="G162" s="216" t="n">
        <f aca="false">SUM(G156:G161)</f>
        <v>1404691</v>
      </c>
      <c r="H162" s="313" t="n">
        <f aca="false">F162/G162*100-100</f>
        <v>6.34872722897777</v>
      </c>
      <c r="I162" s="216" t="n">
        <f aca="false">SUM(I156:I161)</f>
        <v>9445207</v>
      </c>
      <c r="J162" s="216" t="n">
        <f aca="false">SUM(J156:J161)</f>
        <v>9226630</v>
      </c>
      <c r="K162" s="313" t="n">
        <f aca="false">I162/J162*100-100</f>
        <v>2.36897979002084</v>
      </c>
      <c r="L162" s="216" t="n">
        <f aca="false">SUM(L156:L161)</f>
        <v>2912688</v>
      </c>
      <c r="M162" s="216" t="n">
        <f aca="false">SUM(M156:M161)</f>
        <v>1127172</v>
      </c>
      <c r="N162" s="313" t="n">
        <f aca="false">L162/M162*100-100</f>
        <v>158.406702792475</v>
      </c>
      <c r="O162" s="216" t="n">
        <f aca="false">SUM(O156:O161)</f>
        <v>1268</v>
      </c>
      <c r="P162" s="217" t="n">
        <f aca="false">R162/O162</f>
        <v>102.284700315457</v>
      </c>
      <c r="Q162" s="216" t="n">
        <f aca="false">SUM(Q156:Q161)</f>
        <v>1264</v>
      </c>
      <c r="R162" s="232" t="n">
        <f aca="false">SUM(R156:R161)</f>
        <v>129697</v>
      </c>
    </row>
    <row r="163" customFormat="false" ht="15" hidden="false" customHeight="false" outlineLevel="0" collapsed="false">
      <c r="A163" s="274"/>
      <c r="B163" s="256"/>
      <c r="C163" s="275"/>
      <c r="D163" s="275"/>
      <c r="E163" s="276"/>
      <c r="F163" s="275"/>
      <c r="G163" s="275"/>
      <c r="H163" s="276"/>
      <c r="I163" s="275"/>
      <c r="J163" s="275"/>
      <c r="K163" s="276"/>
      <c r="L163" s="275"/>
      <c r="M163" s="277"/>
      <c r="N163" s="278"/>
      <c r="O163" s="277"/>
      <c r="P163" s="275"/>
      <c r="Q163" s="277"/>
      <c r="R163" s="279"/>
    </row>
    <row r="164" customFormat="false" ht="15" hidden="false" customHeight="false" outlineLevel="0" collapsed="false">
      <c r="A164" s="274"/>
      <c r="B164" s="322" t="s">
        <v>194</v>
      </c>
      <c r="C164" s="322"/>
      <c r="D164" s="275"/>
      <c r="E164" s="276"/>
      <c r="F164" s="275"/>
      <c r="G164" s="275"/>
      <c r="H164" s="276"/>
      <c r="I164" s="275"/>
      <c r="J164" s="275"/>
      <c r="K164" s="276"/>
      <c r="L164" s="275"/>
      <c r="M164" s="277"/>
      <c r="N164" s="278"/>
      <c r="O164" s="277"/>
      <c r="P164" s="275"/>
      <c r="Q164" s="277"/>
      <c r="R164" s="279"/>
    </row>
    <row r="165" customFormat="false" ht="15" hidden="false" customHeight="false" outlineLevel="0" collapsed="false">
      <c r="A165" s="323" t="s">
        <v>195</v>
      </c>
      <c r="B165" s="323"/>
      <c r="C165" s="195" t="n">
        <v>3</v>
      </c>
      <c r="D165" s="195" t="n">
        <v>4</v>
      </c>
      <c r="E165" s="196" t="n">
        <v>5</v>
      </c>
      <c r="F165" s="195" t="n">
        <v>6</v>
      </c>
      <c r="G165" s="195" t="n">
        <v>7</v>
      </c>
      <c r="H165" s="195" t="n">
        <v>8</v>
      </c>
      <c r="I165" s="195" t="n">
        <v>9</v>
      </c>
      <c r="J165" s="195" t="n">
        <v>10</v>
      </c>
      <c r="K165" s="195" t="n">
        <v>11</v>
      </c>
      <c r="L165" s="195" t="n">
        <v>12</v>
      </c>
      <c r="M165" s="195" t="n">
        <v>13</v>
      </c>
      <c r="N165" s="195" t="n">
        <v>14</v>
      </c>
      <c r="O165" s="195" t="n">
        <v>15</v>
      </c>
      <c r="P165" s="196" t="n">
        <v>16</v>
      </c>
      <c r="Q165" s="195" t="n">
        <v>15</v>
      </c>
      <c r="R165" s="202"/>
    </row>
    <row r="166" customFormat="false" ht="15" hidden="false" customHeight="false" outlineLevel="0" collapsed="false">
      <c r="A166" s="366" t="n">
        <v>1</v>
      </c>
      <c r="B166" s="281" t="s">
        <v>196</v>
      </c>
      <c r="C166" s="203" t="n">
        <v>15453585</v>
      </c>
      <c r="D166" s="203" t="n">
        <v>12028092</v>
      </c>
      <c r="E166" s="201" t="n">
        <f aca="false">C166/D166*100-100</f>
        <v>28.4791054142253</v>
      </c>
      <c r="F166" s="203" t="n">
        <v>1463048</v>
      </c>
      <c r="G166" s="203" t="n">
        <v>1107157</v>
      </c>
      <c r="H166" s="201" t="n">
        <f aca="false">F166/G166*100-100</f>
        <v>32.1445829272633</v>
      </c>
      <c r="I166" s="203" t="n">
        <v>14430668</v>
      </c>
      <c r="J166" s="203" t="n">
        <v>11435985</v>
      </c>
      <c r="K166" s="201" t="n">
        <f aca="false">I166/J166*100-100</f>
        <v>26.1864894016563</v>
      </c>
      <c r="L166" s="203" t="n">
        <f aca="false">12230645+557540</f>
        <v>12788185</v>
      </c>
      <c r="M166" s="203" t="n">
        <f aca="false">9427747+508375</f>
        <v>9936122</v>
      </c>
      <c r="N166" s="201" t="n">
        <f aca="false">L166/M166*100-100</f>
        <v>28.7039853174106</v>
      </c>
      <c r="O166" s="203" t="n">
        <v>345</v>
      </c>
      <c r="P166" s="203"/>
      <c r="Q166" s="203" t="n">
        <v>0</v>
      </c>
      <c r="R166" s="202" t="n">
        <f aca="false">O166*P166</f>
        <v>0</v>
      </c>
    </row>
    <row r="167" customFormat="false" ht="15" hidden="false" customHeight="false" outlineLevel="0" collapsed="false">
      <c r="A167" s="366" t="n">
        <v>2</v>
      </c>
      <c r="B167" s="281" t="s">
        <v>197</v>
      </c>
      <c r="C167" s="203" t="n">
        <v>2690651</v>
      </c>
      <c r="D167" s="203" t="n">
        <v>619299</v>
      </c>
      <c r="E167" s="201" t="n">
        <f aca="false">C167/D167*100-100</f>
        <v>334.467195974804</v>
      </c>
      <c r="F167" s="203" t="n">
        <v>1073827</v>
      </c>
      <c r="G167" s="203" t="n">
        <v>78652</v>
      </c>
      <c r="H167" s="223" t="n">
        <f aca="false">F167/G167*100-100</f>
        <v>1265.28886741596</v>
      </c>
      <c r="I167" s="203" t="n">
        <v>2707683</v>
      </c>
      <c r="J167" s="203" t="n">
        <v>650806</v>
      </c>
      <c r="K167" s="201" t="n">
        <f aca="false">I167/J167*100-100</f>
        <v>316.050712501114</v>
      </c>
      <c r="L167" s="203" t="n">
        <f aca="false">2068364+173133</f>
        <v>2241497</v>
      </c>
      <c r="M167" s="203" t="n">
        <f aca="false">67667+16347</f>
        <v>84014</v>
      </c>
      <c r="N167" s="223" t="n">
        <f aca="false">L167/M167*100-100</f>
        <v>2568.00414216678</v>
      </c>
      <c r="O167" s="203" t="n">
        <v>130</v>
      </c>
      <c r="P167" s="203" t="n">
        <v>105</v>
      </c>
      <c r="Q167" s="203" t="n">
        <v>131</v>
      </c>
      <c r="R167" s="202" t="n">
        <f aca="false">O167*P167</f>
        <v>13650</v>
      </c>
    </row>
    <row r="168" customFormat="false" ht="15" hidden="false" customHeight="false" outlineLevel="0" collapsed="false">
      <c r="A168" s="366" t="n">
        <v>3</v>
      </c>
      <c r="B168" s="281" t="s">
        <v>198</v>
      </c>
      <c r="C168" s="203" t="n">
        <v>659284</v>
      </c>
      <c r="D168" s="203" t="n">
        <v>469111</v>
      </c>
      <c r="E168" s="201" t="n">
        <f aca="false">C168/D168*100-100</f>
        <v>40.5390195497441</v>
      </c>
      <c r="F168" s="203" t="n">
        <v>24514</v>
      </c>
      <c r="G168" s="203" t="n">
        <v>21160</v>
      </c>
      <c r="H168" s="223" t="n">
        <f aca="false">F168/G168*100-100</f>
        <v>15.8506616257089</v>
      </c>
      <c r="I168" s="203" t="n">
        <v>723670</v>
      </c>
      <c r="J168" s="203" t="n">
        <v>121969</v>
      </c>
      <c r="K168" s="223" t="n">
        <f aca="false">I168/J168*100-100</f>
        <v>493.322893522125</v>
      </c>
      <c r="L168" s="203" t="n">
        <f aca="false">123075+531875</f>
        <v>654950</v>
      </c>
      <c r="M168" s="203" t="n">
        <v>93512</v>
      </c>
      <c r="N168" s="223" t="n">
        <f aca="false">L168/M168*100-100</f>
        <v>600.391393617931</v>
      </c>
      <c r="O168" s="203" t="n">
        <v>64</v>
      </c>
      <c r="P168" s="203" t="n">
        <v>125</v>
      </c>
      <c r="Q168" s="203" t="n">
        <v>62</v>
      </c>
      <c r="R168" s="202" t="n">
        <f aca="false">O168*P168</f>
        <v>8000</v>
      </c>
    </row>
    <row r="169" customFormat="false" ht="15" hidden="false" customHeight="false" outlineLevel="0" collapsed="false">
      <c r="A169" s="366" t="n">
        <v>4</v>
      </c>
      <c r="B169" s="281" t="s">
        <v>199</v>
      </c>
      <c r="C169" s="208" t="n">
        <v>753426</v>
      </c>
      <c r="D169" s="208" t="n">
        <v>637872</v>
      </c>
      <c r="E169" s="201" t="n">
        <f aca="false">C169/D169*100-100</f>
        <v>18.1155466927534</v>
      </c>
      <c r="F169" s="208" t="n">
        <v>121493</v>
      </c>
      <c r="G169" s="208" t="n">
        <v>40345</v>
      </c>
      <c r="H169" s="201" t="n">
        <f aca="false">F169/G169*100-100</f>
        <v>201.135208823894</v>
      </c>
      <c r="I169" s="208" t="n">
        <v>1205373</v>
      </c>
      <c r="J169" s="208" t="n">
        <v>1630647</v>
      </c>
      <c r="K169" s="201" t="n">
        <f aca="false">I169/J169*100-100</f>
        <v>-26.0800774171234</v>
      </c>
      <c r="L169" s="208" t="n">
        <v>718247</v>
      </c>
      <c r="M169" s="208" t="n">
        <v>549147</v>
      </c>
      <c r="N169" s="223" t="n">
        <f aca="false">L169/M169*100-100</f>
        <v>30.7932120179114</v>
      </c>
      <c r="O169" s="250" t="n">
        <v>177</v>
      </c>
      <c r="P169" s="203" t="n">
        <v>147</v>
      </c>
      <c r="Q169" s="250" t="n">
        <v>178</v>
      </c>
      <c r="R169" s="202" t="n">
        <f aca="false">O169*P169</f>
        <v>26019</v>
      </c>
    </row>
    <row r="170" customFormat="false" ht="38.25" hidden="false" customHeight="false" outlineLevel="0" collapsed="false">
      <c r="A170" s="367" t="n">
        <v>5</v>
      </c>
      <c r="B170" s="368" t="s">
        <v>236</v>
      </c>
      <c r="C170" s="206" t="n">
        <v>6953684</v>
      </c>
      <c r="D170" s="206" t="n">
        <v>6933254</v>
      </c>
      <c r="E170" s="201" t="n">
        <f aca="false">C170/D170*100-100</f>
        <v>0.294666833207032</v>
      </c>
      <c r="F170" s="206" t="n">
        <v>1124162</v>
      </c>
      <c r="G170" s="206" t="n">
        <v>1016484</v>
      </c>
      <c r="H170" s="201" t="n">
        <f aca="false">F170/G170*100-100</f>
        <v>10.593181988108</v>
      </c>
      <c r="I170" s="206" t="n">
        <v>6438987</v>
      </c>
      <c r="J170" s="206" t="n">
        <v>6876181</v>
      </c>
      <c r="K170" s="201" t="n">
        <f aca="false">I170/J170*100-100</f>
        <v>-6.35809324972685</v>
      </c>
      <c r="L170" s="206" t="n">
        <f aca="false">6351177+87810</f>
        <v>6438987</v>
      </c>
      <c r="M170" s="206" t="n">
        <f aca="false">6449910+162567</f>
        <v>6612477</v>
      </c>
      <c r="N170" s="223" t="n">
        <f aca="false">L170/M170*100-100</f>
        <v>-2.62367642261742</v>
      </c>
      <c r="O170" s="369"/>
      <c r="P170" s="200"/>
      <c r="Q170" s="369"/>
      <c r="R170" s="370"/>
    </row>
    <row r="171" s="371" customFormat="true" ht="15" hidden="false" customHeight="false" outlineLevel="0" collapsed="false">
      <c r="A171" s="367" t="n">
        <v>6</v>
      </c>
      <c r="B171" s="368" t="s">
        <v>237</v>
      </c>
      <c r="C171" s="206" t="n">
        <v>4202401</v>
      </c>
      <c r="D171" s="206" t="n">
        <v>4749664</v>
      </c>
      <c r="E171" s="201" t="n">
        <f aca="false">C171/D171*100-100</f>
        <v>-11.5221413556833</v>
      </c>
      <c r="F171" s="206" t="n">
        <v>719251</v>
      </c>
      <c r="G171" s="206" t="n">
        <v>792026</v>
      </c>
      <c r="H171" s="201" t="n">
        <f aca="false">F171/G171*100-100</f>
        <v>-9.18846098486665</v>
      </c>
      <c r="I171" s="206" t="n">
        <v>4202401</v>
      </c>
      <c r="J171" s="206" t="n">
        <v>4749664</v>
      </c>
      <c r="K171" s="201" t="n">
        <f aca="false">I171/J171*100-100</f>
        <v>-11.5221413556833</v>
      </c>
      <c r="L171" s="206" t="n">
        <f aca="false">1445911+1195130</f>
        <v>2641041</v>
      </c>
      <c r="M171" s="206" t="n">
        <f aca="false">2572401+1150251</f>
        <v>3722652</v>
      </c>
      <c r="N171" s="201" t="n">
        <f aca="false">L171/M171*100-100</f>
        <v>-29.0548512189697</v>
      </c>
      <c r="O171" s="369" t="n">
        <v>249</v>
      </c>
      <c r="P171" s="200"/>
      <c r="Q171" s="369"/>
      <c r="R171" s="370"/>
    </row>
    <row r="172" customFormat="false" ht="15" hidden="false" customHeight="false" outlineLevel="0" collapsed="false">
      <c r="A172" s="203" t="n">
        <v>7</v>
      </c>
      <c r="B172" s="281" t="s">
        <v>200</v>
      </c>
      <c r="C172" s="203" t="n">
        <v>1564377</v>
      </c>
      <c r="D172" s="203" t="n">
        <v>839575</v>
      </c>
      <c r="E172" s="201" t="n">
        <f aca="false">C172/D172*100-100</f>
        <v>86.3296310633356</v>
      </c>
      <c r="F172" s="203" t="n">
        <v>533495</v>
      </c>
      <c r="G172" s="203" t="n">
        <v>167938</v>
      </c>
      <c r="H172" s="201" t="n">
        <f aca="false">F172/G172*100-100</f>
        <v>217.673784372804</v>
      </c>
      <c r="I172" s="203" t="n">
        <v>1567678</v>
      </c>
      <c r="J172" s="203" t="n">
        <v>803176</v>
      </c>
      <c r="K172" s="201" t="n">
        <f aca="false">I172/J172*100-100</f>
        <v>95.1848660816558</v>
      </c>
      <c r="L172" s="203" t="n">
        <v>16014</v>
      </c>
      <c r="M172" s="203" t="n">
        <v>40589</v>
      </c>
      <c r="N172" s="201" t="n">
        <f aca="false">L172/M172*100-100</f>
        <v>-60.5459607282761</v>
      </c>
      <c r="O172" s="203" t="n">
        <v>173</v>
      </c>
      <c r="P172" s="203" t="n">
        <v>77</v>
      </c>
      <c r="Q172" s="203" t="n">
        <v>100</v>
      </c>
      <c r="R172" s="202" t="n">
        <f aca="false">O172*P172</f>
        <v>13321</v>
      </c>
    </row>
    <row r="173" customFormat="false" ht="15" hidden="false" customHeight="false" outlineLevel="0" collapsed="false">
      <c r="A173" s="203" t="n">
        <v>8</v>
      </c>
      <c r="B173" s="281" t="s">
        <v>156</v>
      </c>
      <c r="C173" s="203" t="n">
        <v>1142121</v>
      </c>
      <c r="D173" s="203" t="n">
        <v>857473</v>
      </c>
      <c r="E173" s="201" t="n">
        <f aca="false">C173/D173*100-100</f>
        <v>33.1961472839378</v>
      </c>
      <c r="F173" s="203" t="n">
        <v>274011</v>
      </c>
      <c r="G173" s="203" t="n">
        <v>205205</v>
      </c>
      <c r="H173" s="201" t="n">
        <f aca="false">F173/G173*100-100</f>
        <v>33.5303720669574</v>
      </c>
      <c r="I173" s="203" t="n">
        <v>1075336</v>
      </c>
      <c r="J173" s="203" t="n">
        <v>911559</v>
      </c>
      <c r="K173" s="201" t="n">
        <f aca="false">I173/J173*100-100</f>
        <v>17.9666922272722</v>
      </c>
      <c r="L173" s="203" t="n">
        <v>7217</v>
      </c>
      <c r="M173" s="203" t="n">
        <v>17776</v>
      </c>
      <c r="N173" s="201" t="n">
        <f aca="false">L173/M173*100-100</f>
        <v>-59.4003150315031</v>
      </c>
      <c r="O173" s="203" t="n">
        <v>33</v>
      </c>
      <c r="P173" s="203" t="n">
        <v>85</v>
      </c>
      <c r="Q173" s="203" t="n">
        <v>30</v>
      </c>
      <c r="R173" s="202" t="n">
        <f aca="false">O173*P173</f>
        <v>2805</v>
      </c>
    </row>
    <row r="174" customFormat="false" ht="15" hidden="false" customHeight="false" outlineLevel="0" collapsed="false">
      <c r="A174" s="215" t="s">
        <v>201</v>
      </c>
      <c r="B174" s="215" t="s">
        <v>119</v>
      </c>
      <c r="C174" s="229" t="n">
        <f aca="false">SUM(C166:C173)</f>
        <v>33419529</v>
      </c>
      <c r="D174" s="229" t="n">
        <f aca="false">SUM(D166:D173)</f>
        <v>27134340</v>
      </c>
      <c r="E174" s="313" t="n">
        <f aca="false">C174/D174*100-100</f>
        <v>23.1632278507603</v>
      </c>
      <c r="F174" s="229" t="n">
        <f aca="false">SUM(F166:F173)</f>
        <v>5333801</v>
      </c>
      <c r="G174" s="229" t="n">
        <f aca="false">SUM(G166:G173)</f>
        <v>3428967</v>
      </c>
      <c r="H174" s="313" t="n">
        <f aca="false">F174/G174*100-100</f>
        <v>55.5512491079675</v>
      </c>
      <c r="I174" s="229" t="n">
        <f aca="false">SUM(I166:I173)</f>
        <v>32351796</v>
      </c>
      <c r="J174" s="229" t="n">
        <f aca="false">SUM(J166:J173)</f>
        <v>27179987</v>
      </c>
      <c r="K174" s="313" t="n">
        <f aca="false">I174/J174*100-100</f>
        <v>19.0280039501123</v>
      </c>
      <c r="L174" s="229" t="n">
        <f aca="false">SUM(L166:L173)</f>
        <v>25506138</v>
      </c>
      <c r="M174" s="229" t="n">
        <f aca="false">SUM(M166:M173)</f>
        <v>21056289</v>
      </c>
      <c r="N174" s="313" t="n">
        <f aca="false">L174/M174*100-100</f>
        <v>21.1331113473984</v>
      </c>
      <c r="O174" s="229" t="n">
        <f aca="false">SUM(O166:O173)</f>
        <v>1171</v>
      </c>
      <c r="P174" s="231" t="n">
        <f aca="false">R174/O174</f>
        <v>54.4790777113578</v>
      </c>
      <c r="Q174" s="229" t="n">
        <f aca="false">SUM(Q166:Q173)</f>
        <v>501</v>
      </c>
      <c r="R174" s="229" t="n">
        <f aca="false">SUM(R166:R173)</f>
        <v>63795</v>
      </c>
    </row>
    <row r="175" customFormat="false" ht="15" hidden="false" customHeight="false" outlineLevel="0" collapsed="false">
      <c r="A175" s="203"/>
      <c r="B175" s="281"/>
      <c r="C175" s="203"/>
      <c r="D175" s="203"/>
      <c r="E175" s="201"/>
      <c r="F175" s="203"/>
      <c r="G175" s="203"/>
      <c r="H175" s="201"/>
      <c r="I175" s="203"/>
      <c r="J175" s="203"/>
      <c r="K175" s="201"/>
      <c r="L175" s="203"/>
      <c r="M175" s="203"/>
      <c r="N175" s="201"/>
      <c r="O175" s="203"/>
      <c r="P175" s="203"/>
      <c r="Q175" s="203"/>
      <c r="R175" s="202"/>
    </row>
    <row r="176" customFormat="false" ht="15" hidden="false" customHeight="false" outlineLevel="0" collapsed="false">
      <c r="A176" s="203"/>
      <c r="B176" s="324" t="s">
        <v>202</v>
      </c>
      <c r="C176" s="203"/>
      <c r="D176" s="203"/>
      <c r="E176" s="201"/>
      <c r="F176" s="203"/>
      <c r="G176" s="203"/>
      <c r="H176" s="201"/>
      <c r="I176" s="203"/>
      <c r="J176" s="203"/>
      <c r="K176" s="201"/>
      <c r="L176" s="203"/>
      <c r="M176" s="203"/>
      <c r="N176" s="201"/>
      <c r="O176" s="203"/>
      <c r="P176" s="203"/>
      <c r="Q176" s="203"/>
      <c r="R176" s="202"/>
    </row>
    <row r="177" customFormat="false" ht="15" hidden="false" customHeight="false" outlineLevel="0" collapsed="false">
      <c r="A177" s="203" t="n">
        <v>1</v>
      </c>
      <c r="B177" s="281" t="s">
        <v>227</v>
      </c>
      <c r="C177" s="203" t="n">
        <v>71386</v>
      </c>
      <c r="D177" s="203" t="n">
        <v>91331</v>
      </c>
      <c r="E177" s="201" t="n">
        <f aca="false">C177/D177*100-100</f>
        <v>-21.8381491497958</v>
      </c>
      <c r="F177" s="203" t="n">
        <v>7815</v>
      </c>
      <c r="G177" s="203" t="n">
        <v>32896</v>
      </c>
      <c r="H177" s="201" t="n">
        <f aca="false">F177/G177*100-100</f>
        <v>-76.2433122568093</v>
      </c>
      <c r="I177" s="203" t="n">
        <v>53563</v>
      </c>
      <c r="J177" s="203" t="n">
        <v>117117</v>
      </c>
      <c r="K177" s="201" t="n">
        <f aca="false">I177/J177*100-100</f>
        <v>-54.2653927269312</v>
      </c>
      <c r="L177" s="203" t="n">
        <f aca="false">48866+519</f>
        <v>49385</v>
      </c>
      <c r="M177" s="203" t="n">
        <v>113724</v>
      </c>
      <c r="N177" s="201" t="n">
        <f aca="false">L177/M177*100-100</f>
        <v>-56.574689599381</v>
      </c>
      <c r="O177" s="203" t="n">
        <v>61</v>
      </c>
      <c r="P177" s="203" t="n">
        <v>81</v>
      </c>
      <c r="Q177" s="203" t="n">
        <v>36</v>
      </c>
      <c r="R177" s="202" t="n">
        <f aca="false">O177*P177</f>
        <v>4941</v>
      </c>
    </row>
    <row r="178" customFormat="false" ht="15" hidden="false" customHeight="false" outlineLevel="0" collapsed="false">
      <c r="A178" s="203" t="n">
        <v>2</v>
      </c>
      <c r="B178" s="243" t="s">
        <v>238</v>
      </c>
      <c r="C178" s="203" t="n">
        <v>933062</v>
      </c>
      <c r="D178" s="203" t="n">
        <v>743144</v>
      </c>
      <c r="E178" s="201" t="n">
        <f aca="false">C178/D178*100-100</f>
        <v>25.5560160614901</v>
      </c>
      <c r="F178" s="203" t="n">
        <v>149055</v>
      </c>
      <c r="G178" s="203" t="n">
        <v>82806</v>
      </c>
      <c r="H178" s="201" t="n">
        <f aca="false">F178/G178*100-100</f>
        <v>80.0050720962249</v>
      </c>
      <c r="I178" s="203" t="n">
        <v>929121</v>
      </c>
      <c r="J178" s="203" t="n">
        <v>705479</v>
      </c>
      <c r="K178" s="201" t="n">
        <f aca="false">I178/J178*100-100</f>
        <v>31.7007309927014</v>
      </c>
      <c r="L178" s="203" t="n">
        <v>422116</v>
      </c>
      <c r="M178" s="203" t="n">
        <v>200782</v>
      </c>
      <c r="N178" s="201" t="n">
        <f aca="false">L178/M178*100-100</f>
        <v>110.235977328645</v>
      </c>
      <c r="O178" s="203" t="n">
        <v>78</v>
      </c>
      <c r="P178" s="203" t="n">
        <v>71</v>
      </c>
      <c r="Q178" s="203" t="n">
        <v>78</v>
      </c>
      <c r="R178" s="202" t="n">
        <f aca="false">O178*P178</f>
        <v>5538</v>
      </c>
    </row>
    <row r="179" customFormat="false" ht="15" hidden="false" customHeight="false" outlineLevel="0" collapsed="false">
      <c r="A179" s="203" t="n">
        <v>3</v>
      </c>
      <c r="B179" s="243" t="s">
        <v>239</v>
      </c>
      <c r="C179" s="203" t="n">
        <v>214387</v>
      </c>
      <c r="D179" s="203" t="n">
        <v>153982</v>
      </c>
      <c r="E179" s="223" t="n">
        <f aca="false">C179/D179*100-100</f>
        <v>39.2286111363666</v>
      </c>
      <c r="F179" s="203" t="n">
        <v>45534</v>
      </c>
      <c r="G179" s="203" t="n">
        <v>44661</v>
      </c>
      <c r="H179" s="201" t="n">
        <f aca="false">F179/G179*100-100</f>
        <v>1.95472559951635</v>
      </c>
      <c r="I179" s="203" t="n">
        <v>326694</v>
      </c>
      <c r="J179" s="203" t="n">
        <v>332311</v>
      </c>
      <c r="K179" s="201" t="n">
        <f aca="false">I179/J179*100-100</f>
        <v>-1.6902841013388</v>
      </c>
      <c r="L179" s="203" t="n">
        <v>57583</v>
      </c>
      <c r="M179" s="203" t="n">
        <v>75641</v>
      </c>
      <c r="N179" s="201" t="n">
        <f aca="false">L179/M179*100-100</f>
        <v>-23.873296228236</v>
      </c>
      <c r="O179" s="203" t="n">
        <v>191</v>
      </c>
      <c r="P179" s="203" t="n">
        <v>100</v>
      </c>
      <c r="Q179" s="203" t="n">
        <v>191</v>
      </c>
      <c r="R179" s="202"/>
    </row>
    <row r="180" customFormat="false" ht="15" hidden="false" customHeight="false" outlineLevel="0" collapsed="false">
      <c r="A180" s="203"/>
      <c r="B180" s="243" t="s">
        <v>240</v>
      </c>
      <c r="C180" s="203" t="n">
        <v>2117592</v>
      </c>
      <c r="D180" s="203" t="n">
        <v>165968</v>
      </c>
      <c r="E180" s="223" t="n">
        <f aca="false">C180/D180*100-100</f>
        <v>1175.90378868216</v>
      </c>
      <c r="F180" s="203" t="n">
        <v>261546</v>
      </c>
      <c r="G180" s="203" t="n">
        <v>281395</v>
      </c>
      <c r="H180" s="201" t="n">
        <f aca="false">F180/G180*100-100</f>
        <v>-7.05378560386644</v>
      </c>
      <c r="I180" s="203" t="n">
        <v>1935700</v>
      </c>
      <c r="J180" s="203" t="n">
        <v>1658968</v>
      </c>
      <c r="K180" s="201" t="n">
        <f aca="false">I180/J180*100-100</f>
        <v>16.6809727493237</v>
      </c>
      <c r="L180" s="203" t="n">
        <v>1028300</v>
      </c>
      <c r="M180" s="203" t="n">
        <v>1113942</v>
      </c>
      <c r="N180" s="201"/>
      <c r="O180" s="203"/>
      <c r="P180" s="203"/>
      <c r="Q180" s="203"/>
      <c r="R180" s="202"/>
    </row>
    <row r="181" customFormat="false" ht="15" hidden="false" customHeight="false" outlineLevel="0" collapsed="false">
      <c r="A181" s="203" t="n">
        <v>4</v>
      </c>
      <c r="B181" s="243" t="s">
        <v>241</v>
      </c>
      <c r="C181" s="203" t="n">
        <v>29599096</v>
      </c>
      <c r="D181" s="203" t="n">
        <v>30236344</v>
      </c>
      <c r="E181" s="201" t="n">
        <f aca="false">C181/D181*100-100</f>
        <v>-2.10755638975399</v>
      </c>
      <c r="F181" s="203" t="n">
        <v>3273421</v>
      </c>
      <c r="G181" s="203" t="n">
        <v>4362767</v>
      </c>
      <c r="H181" s="201" t="n">
        <f aca="false">F181/G181*100-100</f>
        <v>-24.9691537503607</v>
      </c>
      <c r="I181" s="203" t="n">
        <v>23338923</v>
      </c>
      <c r="J181" s="203" t="n">
        <v>22124880</v>
      </c>
      <c r="K181" s="201" t="n">
        <f aca="false">I181/J181*100-100</f>
        <v>5.48722976124616</v>
      </c>
      <c r="L181" s="203" t="n">
        <v>1764028</v>
      </c>
      <c r="M181" s="203" t="n">
        <v>1020805</v>
      </c>
      <c r="N181" s="201" t="n">
        <f aca="false">L181/M181*100-100</f>
        <v>72.8075391480253</v>
      </c>
      <c r="O181" s="203" t="n">
        <v>479</v>
      </c>
      <c r="P181" s="203" t="n">
        <v>44</v>
      </c>
      <c r="Q181" s="203"/>
      <c r="R181" s="202"/>
    </row>
    <row r="182" customFormat="false" ht="15" hidden="false" customHeight="false" outlineLevel="0" collapsed="false">
      <c r="A182" s="203" t="n">
        <v>5</v>
      </c>
      <c r="B182" s="243" t="s">
        <v>204</v>
      </c>
      <c r="C182" s="203" t="n">
        <v>3386053</v>
      </c>
      <c r="D182" s="203" t="n">
        <v>3304314</v>
      </c>
      <c r="E182" s="201" t="n">
        <f aca="false">C182/D182*100-100</f>
        <v>2.47370558609138</v>
      </c>
      <c r="F182" s="203" t="n">
        <v>371090</v>
      </c>
      <c r="G182" s="203" t="n">
        <v>355053</v>
      </c>
      <c r="H182" s="201" t="n">
        <f aca="false">F182/G182*100-100</f>
        <v>4.51679045100309</v>
      </c>
      <c r="I182" s="203" t="n">
        <v>3097779</v>
      </c>
      <c r="J182" s="203" t="n">
        <v>2582393</v>
      </c>
      <c r="K182" s="201" t="n">
        <f aca="false">I182/J182*100-100</f>
        <v>19.9576904057593</v>
      </c>
      <c r="L182" s="203" t="n">
        <v>576202</v>
      </c>
      <c r="M182" s="203" t="n">
        <v>141800</v>
      </c>
      <c r="N182" s="201" t="n">
        <f aca="false">L182/M182*100-100</f>
        <v>306.348377997179</v>
      </c>
      <c r="O182" s="203" t="n">
        <v>518</v>
      </c>
      <c r="P182" s="203" t="n">
        <v>118</v>
      </c>
      <c r="Q182" s="203" t="n">
        <v>518</v>
      </c>
      <c r="R182" s="202" t="n">
        <f aca="false">O182*P182</f>
        <v>61124</v>
      </c>
    </row>
    <row r="183" customFormat="false" ht="15" hidden="false" customHeight="false" outlineLevel="0" collapsed="false">
      <c r="A183" s="203" t="n">
        <v>6</v>
      </c>
      <c r="B183" s="243" t="s">
        <v>205</v>
      </c>
      <c r="C183" s="203" t="n">
        <v>1299534</v>
      </c>
      <c r="D183" s="203" t="n">
        <v>985270</v>
      </c>
      <c r="E183" s="201" t="n">
        <f aca="false">C183/D183*100-100</f>
        <v>31.8962314898454</v>
      </c>
      <c r="F183" s="203" t="n">
        <v>178804</v>
      </c>
      <c r="G183" s="203" t="n">
        <v>116140</v>
      </c>
      <c r="H183" s="201" t="n">
        <f aca="false">F183/G183*100-100</f>
        <v>53.9555708627518</v>
      </c>
      <c r="I183" s="203" t="n">
        <v>1168112</v>
      </c>
      <c r="J183" s="203" t="n">
        <v>963713</v>
      </c>
      <c r="K183" s="201" t="n">
        <f aca="false">I183/J183*100-100</f>
        <v>21.2095302232096</v>
      </c>
      <c r="L183" s="203" t="n">
        <v>47279</v>
      </c>
      <c r="M183" s="203" t="n">
        <v>0</v>
      </c>
      <c r="N183" s="201" t="n">
        <v>0</v>
      </c>
      <c r="O183" s="203" t="n">
        <v>166</v>
      </c>
      <c r="P183" s="203" t="n">
        <v>102</v>
      </c>
      <c r="Q183" s="203" t="n">
        <v>161</v>
      </c>
      <c r="R183" s="202" t="n">
        <f aca="false">O183*P183</f>
        <v>16932</v>
      </c>
    </row>
    <row r="184" customFormat="false" ht="15" hidden="false" customHeight="false" outlineLevel="0" collapsed="false">
      <c r="A184" s="203"/>
      <c r="B184" s="243" t="s">
        <v>242</v>
      </c>
      <c r="C184" s="203" t="n">
        <v>14530</v>
      </c>
      <c r="D184" s="203" t="n">
        <v>23602</v>
      </c>
      <c r="E184" s="201" t="n">
        <f aca="false">C184/D184*100-100</f>
        <v>-38.4374205575799</v>
      </c>
      <c r="F184" s="203" t="n">
        <v>279502</v>
      </c>
      <c r="G184" s="203" t="n">
        <v>193101</v>
      </c>
      <c r="H184" s="201" t="n">
        <f aca="false">F184/G184*100-100</f>
        <v>44.7439422892683</v>
      </c>
      <c r="I184" s="203" t="n">
        <v>381295</v>
      </c>
      <c r="J184" s="203" t="n">
        <v>226568</v>
      </c>
      <c r="K184" s="201" t="n">
        <f aca="false">I184/J184*100-100</f>
        <v>68.2916387133223</v>
      </c>
      <c r="L184" s="203" t="n">
        <v>331872</v>
      </c>
      <c r="M184" s="203" t="n">
        <v>178210</v>
      </c>
      <c r="N184" s="201" t="n">
        <f aca="false">L184/M184*100-100</f>
        <v>86.2252398855283</v>
      </c>
      <c r="O184" s="203" t="n">
        <v>27</v>
      </c>
      <c r="P184" s="203" t="n">
        <v>80</v>
      </c>
      <c r="Q184" s="203" t="n">
        <v>27</v>
      </c>
      <c r="R184" s="202"/>
    </row>
    <row r="185" customFormat="false" ht="15" hidden="false" customHeight="false" outlineLevel="0" collapsed="false">
      <c r="A185" s="203"/>
      <c r="B185" s="243" t="s">
        <v>243</v>
      </c>
      <c r="C185" s="203" t="n">
        <v>1124262</v>
      </c>
      <c r="D185" s="203" t="n">
        <v>868676</v>
      </c>
      <c r="E185" s="201" t="n">
        <f aca="false">C185/D185*100-100</f>
        <v>29.4224774254153</v>
      </c>
      <c r="F185" s="203" t="n">
        <v>171786</v>
      </c>
      <c r="G185" s="203" t="n">
        <v>114032</v>
      </c>
      <c r="H185" s="201" t="n">
        <f aca="false">F185/G185*100-100</f>
        <v>50.6471867545952</v>
      </c>
      <c r="I185" s="203" t="n">
        <v>1120841</v>
      </c>
      <c r="J185" s="203" t="n">
        <v>868676</v>
      </c>
      <c r="K185" s="201" t="n">
        <f aca="false">I185/J185*100-100</f>
        <v>29.0286597074168</v>
      </c>
      <c r="L185" s="203" t="n">
        <v>0</v>
      </c>
      <c r="M185" s="203" t="n">
        <v>20025</v>
      </c>
      <c r="N185" s="201" t="n">
        <v>0</v>
      </c>
      <c r="O185" s="203" t="n">
        <v>152</v>
      </c>
      <c r="P185" s="203" t="n">
        <v>108</v>
      </c>
      <c r="Q185" s="203" t="n">
        <v>152</v>
      </c>
      <c r="R185" s="202"/>
    </row>
    <row r="186" customFormat="false" ht="15" hidden="false" customHeight="false" outlineLevel="0" collapsed="false">
      <c r="A186" s="203" t="n">
        <v>7</v>
      </c>
      <c r="B186" s="243" t="s">
        <v>157</v>
      </c>
      <c r="C186" s="203" t="n">
        <v>2427082</v>
      </c>
      <c r="D186" s="203" t="n">
        <v>1380001</v>
      </c>
      <c r="E186" s="201" t="n">
        <f aca="false">C186/D186*100-100</f>
        <v>75.8753798004494</v>
      </c>
      <c r="F186" s="203" t="n">
        <v>278985</v>
      </c>
      <c r="G186" s="203" t="n">
        <v>304061</v>
      </c>
      <c r="H186" s="201" t="n">
        <f aca="false">F186/G186*100-100</f>
        <v>-8.24702937897331</v>
      </c>
      <c r="I186" s="203" t="n">
        <v>0</v>
      </c>
      <c r="J186" s="203" t="n">
        <v>0</v>
      </c>
      <c r="K186" s="201" t="e">
        <f aca="false">I186/J186*100-100</f>
        <v>#DIV/0!</v>
      </c>
      <c r="L186" s="203" t="n">
        <v>0</v>
      </c>
      <c r="M186" s="203" t="n">
        <v>0</v>
      </c>
      <c r="N186" s="201" t="n">
        <v>0</v>
      </c>
      <c r="O186" s="203" t="n">
        <v>452</v>
      </c>
      <c r="P186" s="203" t="n">
        <v>100</v>
      </c>
      <c r="Q186" s="203" t="n">
        <v>452</v>
      </c>
      <c r="R186" s="202" t="n">
        <f aca="false">O186*P186</f>
        <v>45200</v>
      </c>
    </row>
    <row r="187" customFormat="false" ht="15" hidden="false" customHeight="false" outlineLevel="0" collapsed="false">
      <c r="A187" s="215" t="s">
        <v>206</v>
      </c>
      <c r="B187" s="215" t="s">
        <v>119</v>
      </c>
      <c r="C187" s="216" t="n">
        <f aca="false">SUM(C177:C186)</f>
        <v>41186984</v>
      </c>
      <c r="D187" s="216" t="n">
        <f aca="false">SUM(D177:D186)</f>
        <v>37952632</v>
      </c>
      <c r="E187" s="313" t="n">
        <f aca="false">C187/D187*100-100</f>
        <v>8.52207562310829</v>
      </c>
      <c r="F187" s="216" t="n">
        <f aca="false">SUM(F177:F186)</f>
        <v>5017538</v>
      </c>
      <c r="G187" s="216" t="n">
        <f aca="false">SUM(G177:G186)</f>
        <v>5886912</v>
      </c>
      <c r="H187" s="313" t="n">
        <f aca="false">F187/G187*100-100</f>
        <v>-14.7679122772686</v>
      </c>
      <c r="I187" s="216" t="n">
        <f aca="false">SUM(I177:I186)</f>
        <v>32352028</v>
      </c>
      <c r="J187" s="216" t="n">
        <f aca="false">SUM(J177:J186)</f>
        <v>29580105</v>
      </c>
      <c r="K187" s="313" t="n">
        <f aca="false">I187/J187*100-100</f>
        <v>9.37090317968783</v>
      </c>
      <c r="L187" s="216" t="n">
        <f aca="false">SUM(L177:L186)</f>
        <v>4276765</v>
      </c>
      <c r="M187" s="216" t="n">
        <f aca="false">SUM(M177:M186)</f>
        <v>2864929</v>
      </c>
      <c r="N187" s="313" t="n">
        <f aca="false">L187/M187*100-100</f>
        <v>49.2799647041864</v>
      </c>
      <c r="O187" s="216" t="n">
        <f aca="false">SUM(O172:O186)</f>
        <v>3501</v>
      </c>
      <c r="P187" s="237" t="n">
        <f aca="false">R187/O187</f>
        <v>61.0271351042559</v>
      </c>
      <c r="Q187" s="216" t="n">
        <f aca="false">SUM(Q172:Q186)</f>
        <v>2246</v>
      </c>
      <c r="R187" s="232" t="n">
        <f aca="false">SUM(R172:R186)</f>
        <v>213656</v>
      </c>
    </row>
    <row r="188" customFormat="false" ht="15" hidden="false" customHeight="false" outlineLevel="0" collapsed="false">
      <c r="A188" s="325"/>
      <c r="B188" s="325" t="s">
        <v>158</v>
      </c>
      <c r="C188" s="326" t="n">
        <f aca="false">C174+C187</f>
        <v>74606513</v>
      </c>
      <c r="D188" s="326" t="n">
        <f aca="false">D174+D187</f>
        <v>65086972</v>
      </c>
      <c r="E188" s="310" t="n">
        <f aca="false">C188/D188*100-100</f>
        <v>14.6258778177605</v>
      </c>
      <c r="F188" s="326" t="n">
        <f aca="false">F174+F187</f>
        <v>10351339</v>
      </c>
      <c r="G188" s="326" t="n">
        <f aca="false">G174+G187</f>
        <v>9315879</v>
      </c>
      <c r="H188" s="310" t="n">
        <f aca="false">F188/G188*100-100</f>
        <v>11.1150005275938</v>
      </c>
      <c r="I188" s="326" t="n">
        <f aca="false">I174+I187</f>
        <v>64703824</v>
      </c>
      <c r="J188" s="326" t="n">
        <f aca="false">J174+J187</f>
        <v>56760092</v>
      </c>
      <c r="K188" s="310" t="n">
        <f aca="false">I188/J188*100-100</f>
        <v>13.9952768223138</v>
      </c>
      <c r="L188" s="326" t="n">
        <f aca="false">L174+L187</f>
        <v>29782903</v>
      </c>
      <c r="M188" s="326" t="n">
        <f aca="false">M174+M187</f>
        <v>23921218</v>
      </c>
      <c r="N188" s="310" t="n">
        <f aca="false">L188/M188*100-100</f>
        <v>24.504124330124</v>
      </c>
      <c r="O188" s="326" t="n">
        <f aca="false">O174+O187</f>
        <v>4672</v>
      </c>
      <c r="P188" s="321" t="n">
        <f aca="false">R188/O188</f>
        <v>59.3859160958904</v>
      </c>
      <c r="Q188" s="326" t="n">
        <f aca="false">Q174+Q187</f>
        <v>2747</v>
      </c>
      <c r="R188" s="326" t="n">
        <f aca="false">R174+R187</f>
        <v>277451</v>
      </c>
    </row>
    <row r="189" customFormat="false" ht="15" hidden="false" customHeight="false" outlineLevel="0" collapsed="false">
      <c r="A189" s="274"/>
      <c r="B189" s="256"/>
      <c r="C189" s="275"/>
      <c r="D189" s="275"/>
      <c r="E189" s="275"/>
      <c r="F189" s="275"/>
      <c r="G189" s="275"/>
      <c r="H189" s="275"/>
      <c r="I189" s="275"/>
      <c r="J189" s="275"/>
      <c r="K189" s="275"/>
      <c r="L189" s="275"/>
      <c r="M189" s="275"/>
      <c r="N189" s="275"/>
      <c r="O189" s="275"/>
      <c r="P189" s="275"/>
      <c r="Q189" s="275"/>
      <c r="R189" s="279"/>
    </row>
    <row r="190" customFormat="false" ht="15" hidden="false" customHeight="false" outlineLevel="0" collapsed="false">
      <c r="A190" s="327"/>
      <c r="B190" s="328" t="s">
        <v>207</v>
      </c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329"/>
      <c r="N190" s="329"/>
      <c r="O190" s="329"/>
      <c r="P190" s="275"/>
      <c r="Q190" s="329"/>
      <c r="R190" s="279"/>
    </row>
    <row r="191" customFormat="false" ht="15" hidden="false" customHeight="false" outlineLevel="0" collapsed="false">
      <c r="A191" s="195" t="s">
        <v>208</v>
      </c>
      <c r="B191" s="195"/>
      <c r="C191" s="195" t="n">
        <v>3</v>
      </c>
      <c r="D191" s="195" t="n">
        <v>4</v>
      </c>
      <c r="E191" s="196" t="n">
        <v>5</v>
      </c>
      <c r="F191" s="195" t="n">
        <v>6</v>
      </c>
      <c r="G191" s="195" t="n">
        <v>7</v>
      </c>
      <c r="H191" s="195" t="n">
        <v>8</v>
      </c>
      <c r="I191" s="195" t="n">
        <v>9</v>
      </c>
      <c r="J191" s="195" t="n">
        <v>10</v>
      </c>
      <c r="K191" s="195" t="n">
        <v>11</v>
      </c>
      <c r="L191" s="195" t="n">
        <v>12</v>
      </c>
      <c r="M191" s="184" t="n">
        <v>13</v>
      </c>
      <c r="N191" s="184" t="n">
        <v>14</v>
      </c>
      <c r="O191" s="184" t="n">
        <v>15</v>
      </c>
      <c r="P191" s="196" t="n">
        <v>16</v>
      </c>
      <c r="Q191" s="184" t="n">
        <v>15</v>
      </c>
      <c r="R191" s="179"/>
    </row>
    <row r="192" customFormat="false" ht="15" hidden="false" customHeight="false" outlineLevel="0" collapsed="false">
      <c r="A192" s="372" t="n">
        <v>1</v>
      </c>
      <c r="B192" s="282" t="s">
        <v>161</v>
      </c>
      <c r="C192" s="262" t="n">
        <v>909788</v>
      </c>
      <c r="D192" s="262" t="n">
        <v>757481</v>
      </c>
      <c r="E192" s="201" t="n">
        <f aca="false">C192/D192*100-100</f>
        <v>20.1070389884367</v>
      </c>
      <c r="F192" s="262" t="n">
        <v>270171</v>
      </c>
      <c r="G192" s="262" t="n">
        <v>0</v>
      </c>
      <c r="H192" s="201" t="e">
        <f aca="false">F192/G192*100-100</f>
        <v>#DIV/0!</v>
      </c>
      <c r="I192" s="262" t="n">
        <v>1079968</v>
      </c>
      <c r="J192" s="262" t="n">
        <v>757481</v>
      </c>
      <c r="K192" s="201" t="n">
        <f aca="false">I192/J192*100-100</f>
        <v>42.5736091070271</v>
      </c>
      <c r="L192" s="262" t="n">
        <f aca="false">827138+252830</f>
        <v>1079968</v>
      </c>
      <c r="M192" s="262" t="n">
        <f aca="false">373697+383784</f>
        <v>757481</v>
      </c>
      <c r="N192" s="201" t="n">
        <f aca="false">L192/M192*100-100</f>
        <v>42.5736091070271</v>
      </c>
      <c r="O192" s="262" t="n">
        <v>127</v>
      </c>
      <c r="P192" s="262" t="n">
        <v>186</v>
      </c>
      <c r="Q192" s="262" t="n">
        <v>127</v>
      </c>
      <c r="R192" s="202" t="n">
        <f aca="false">O192*P192</f>
        <v>23622</v>
      </c>
    </row>
    <row r="193" customFormat="false" ht="15" hidden="false" customHeight="false" outlineLevel="0" collapsed="false">
      <c r="A193" s="372" t="n">
        <v>2</v>
      </c>
      <c r="B193" s="282" t="s">
        <v>162</v>
      </c>
      <c r="C193" s="200" t="n">
        <v>0</v>
      </c>
      <c r="D193" s="200" t="n">
        <v>0</v>
      </c>
      <c r="E193" s="201" t="n">
        <v>0</v>
      </c>
      <c r="F193" s="200" t="n">
        <v>0</v>
      </c>
      <c r="G193" s="200" t="n">
        <v>0</v>
      </c>
      <c r="H193" s="201" t="n">
        <v>0</v>
      </c>
      <c r="I193" s="200" t="n">
        <v>0</v>
      </c>
      <c r="J193" s="200" t="n">
        <v>0</v>
      </c>
      <c r="K193" s="201" t="n">
        <v>0</v>
      </c>
      <c r="L193" s="200" t="n">
        <v>0</v>
      </c>
      <c r="M193" s="200" t="n">
        <v>0</v>
      </c>
      <c r="N193" s="201" t="n">
        <v>0</v>
      </c>
      <c r="O193" s="203" t="n">
        <v>0</v>
      </c>
      <c r="P193" s="204" t="n">
        <v>0</v>
      </c>
      <c r="Q193" s="203" t="n">
        <v>0</v>
      </c>
      <c r="R193" s="202" t="n">
        <f aca="false">O193*P193</f>
        <v>0</v>
      </c>
    </row>
    <row r="194" customFormat="false" ht="15" hidden="false" customHeight="false" outlineLevel="0" collapsed="false">
      <c r="A194" s="372" t="n">
        <v>3</v>
      </c>
      <c r="B194" s="282" t="s">
        <v>163</v>
      </c>
      <c r="C194" s="262" t="n">
        <v>4085185</v>
      </c>
      <c r="D194" s="262" t="n">
        <v>3562526</v>
      </c>
      <c r="E194" s="262" t="n">
        <f aca="false">C194/D194*100-100</f>
        <v>14.671022751834</v>
      </c>
      <c r="F194" s="262" t="n">
        <v>624099</v>
      </c>
      <c r="G194" s="262" t="n">
        <v>930758</v>
      </c>
      <c r="H194" s="262" t="n">
        <f aca="false">F194/G194*100-100</f>
        <v>-32.9472322558603</v>
      </c>
      <c r="I194" s="262" t="n">
        <v>4085185</v>
      </c>
      <c r="J194" s="262" t="n">
        <v>3562526</v>
      </c>
      <c r="K194" s="262" t="n">
        <f aca="false">I194/J194*100-100</f>
        <v>14.671022751834</v>
      </c>
      <c r="L194" s="262" t="n">
        <v>624099</v>
      </c>
      <c r="M194" s="262" t="n">
        <v>930758</v>
      </c>
      <c r="N194" s="201" t="n">
        <f aca="false">L194/M194*100-100</f>
        <v>-32.9472322558603</v>
      </c>
      <c r="O194" s="262" t="n">
        <v>111</v>
      </c>
      <c r="P194" s="286" t="n">
        <v>309</v>
      </c>
      <c r="Q194" s="262" t="n">
        <v>102</v>
      </c>
      <c r="R194" s="202" t="n">
        <f aca="false">O194*P194</f>
        <v>34299</v>
      </c>
    </row>
    <row r="195" customFormat="false" ht="15" hidden="false" customHeight="false" outlineLevel="0" collapsed="false">
      <c r="A195" s="372" t="n">
        <v>4</v>
      </c>
      <c r="B195" s="282" t="s">
        <v>164</v>
      </c>
      <c r="C195" s="262" t="n">
        <v>656009</v>
      </c>
      <c r="D195" s="262" t="n">
        <v>531430</v>
      </c>
      <c r="E195" s="201" t="n">
        <f aca="false">C195/D195*100-100</f>
        <v>23.4422219295109</v>
      </c>
      <c r="F195" s="349" t="n">
        <v>19787</v>
      </c>
      <c r="G195" s="349" t="n">
        <v>19063</v>
      </c>
      <c r="H195" s="201" t="n">
        <f aca="false">F195/G195*100-100</f>
        <v>3.79793316896607</v>
      </c>
      <c r="I195" s="262" t="n">
        <v>638983</v>
      </c>
      <c r="J195" s="262" t="n">
        <v>769698</v>
      </c>
      <c r="K195" s="201" t="n">
        <f aca="false">I195/J195*100-100</f>
        <v>-16.9826347476543</v>
      </c>
      <c r="L195" s="262" t="n">
        <v>677025</v>
      </c>
      <c r="M195" s="262" t="n">
        <v>776782</v>
      </c>
      <c r="N195" s="201" t="n">
        <f aca="false">L195/M195*100-100</f>
        <v>-12.8423418668301</v>
      </c>
      <c r="O195" s="262" t="n">
        <v>35</v>
      </c>
      <c r="P195" s="262" t="n">
        <v>54</v>
      </c>
      <c r="Q195" s="262" t="n">
        <v>34</v>
      </c>
      <c r="R195" s="202" t="n">
        <f aca="false">O195*P195</f>
        <v>1890</v>
      </c>
    </row>
    <row r="196" customFormat="false" ht="15" hidden="false" customHeight="false" outlineLevel="0" collapsed="false">
      <c r="A196" s="372" t="n">
        <v>5</v>
      </c>
      <c r="B196" s="282" t="s">
        <v>166</v>
      </c>
      <c r="C196" s="262" t="n">
        <v>2394139</v>
      </c>
      <c r="D196" s="262" t="n">
        <v>1793181</v>
      </c>
      <c r="E196" s="201" t="n">
        <f aca="false">C196/D196*100-100</f>
        <v>33.5135159250516</v>
      </c>
      <c r="F196" s="262" t="n">
        <v>68436</v>
      </c>
      <c r="G196" s="262" t="n">
        <v>74432</v>
      </c>
      <c r="H196" s="201" t="n">
        <f aca="false">F196/G196*100-100</f>
        <v>-8.05567497850387</v>
      </c>
      <c r="I196" s="262" t="n">
        <v>2349178</v>
      </c>
      <c r="J196" s="262" t="n">
        <v>1808122</v>
      </c>
      <c r="K196" s="201" t="n">
        <f aca="false">I196/J196*100-100</f>
        <v>29.9236445328357</v>
      </c>
      <c r="L196" s="262" t="n">
        <v>2348639</v>
      </c>
      <c r="M196" s="262" t="n">
        <v>1791950</v>
      </c>
      <c r="N196" s="201" t="n">
        <f aca="false">L196/M196*100-100</f>
        <v>31.0661011746979</v>
      </c>
      <c r="O196" s="262" t="n">
        <v>40</v>
      </c>
      <c r="P196" s="262" t="n">
        <v>119</v>
      </c>
      <c r="Q196" s="262" t="n">
        <v>36</v>
      </c>
      <c r="R196" s="202" t="n">
        <f aca="false">O196*P196</f>
        <v>4760</v>
      </c>
    </row>
    <row r="197" customFormat="false" ht="15" hidden="false" customHeight="false" outlineLevel="0" collapsed="false">
      <c r="A197" s="372" t="n">
        <v>6</v>
      </c>
      <c r="B197" s="282" t="s">
        <v>167</v>
      </c>
      <c r="C197" s="262" t="n">
        <v>411977</v>
      </c>
      <c r="D197" s="262" t="n">
        <v>574870</v>
      </c>
      <c r="E197" s="262" t="n">
        <f aca="false">C197/D197*100-100</f>
        <v>-28.3356237062292</v>
      </c>
      <c r="F197" s="262" t="n">
        <v>0</v>
      </c>
      <c r="G197" s="262" t="n">
        <v>80847</v>
      </c>
      <c r="H197" s="262" t="n">
        <f aca="false">F197/G197*100-100</f>
        <v>-100</v>
      </c>
      <c r="I197" s="262" t="n">
        <v>411977</v>
      </c>
      <c r="J197" s="262" t="n">
        <v>574870</v>
      </c>
      <c r="K197" s="262" t="n">
        <f aca="false">I197/J197*100-100</f>
        <v>-28.3356237062292</v>
      </c>
      <c r="L197" s="262" t="n">
        <v>411977</v>
      </c>
      <c r="M197" s="262" t="n">
        <v>574870</v>
      </c>
      <c r="N197" s="262" t="n">
        <f aca="false">L197/M197*100-100</f>
        <v>-28.3356237062292</v>
      </c>
      <c r="O197" s="262" t="n">
        <v>3</v>
      </c>
      <c r="P197" s="262" t="n">
        <v>143</v>
      </c>
      <c r="Q197" s="236" t="n">
        <v>3</v>
      </c>
      <c r="R197" s="202" t="n">
        <f aca="false">O197*P197</f>
        <v>429</v>
      </c>
    </row>
    <row r="198" customFormat="false" ht="15" hidden="false" customHeight="false" outlineLevel="0" collapsed="false">
      <c r="A198" s="372" t="n">
        <v>7</v>
      </c>
      <c r="B198" s="282" t="s">
        <v>168</v>
      </c>
      <c r="C198" s="262" t="n">
        <v>0</v>
      </c>
      <c r="D198" s="236" t="n">
        <v>0</v>
      </c>
      <c r="E198" s="201" t="n">
        <v>0</v>
      </c>
      <c r="F198" s="262" t="n">
        <v>0</v>
      </c>
      <c r="G198" s="236" t="n">
        <v>0</v>
      </c>
      <c r="H198" s="201" t="n">
        <v>0</v>
      </c>
      <c r="I198" s="262" t="n">
        <v>0</v>
      </c>
      <c r="J198" s="236" t="n">
        <v>0</v>
      </c>
      <c r="K198" s="201" t="n">
        <v>0</v>
      </c>
      <c r="L198" s="262" t="n">
        <v>0</v>
      </c>
      <c r="M198" s="236" t="n">
        <v>0</v>
      </c>
      <c r="N198" s="201" t="n">
        <v>0</v>
      </c>
      <c r="O198" s="262" t="n">
        <v>0</v>
      </c>
      <c r="P198" s="262" t="n">
        <v>0</v>
      </c>
      <c r="Q198" s="262" t="n">
        <v>0</v>
      </c>
      <c r="R198" s="202" t="n">
        <f aca="false">O198*P198</f>
        <v>0</v>
      </c>
    </row>
    <row r="199" customFormat="false" ht="15" hidden="false" customHeight="false" outlineLevel="0" collapsed="false">
      <c r="A199" s="215" t="s">
        <v>209</v>
      </c>
      <c r="B199" s="215" t="s">
        <v>154</v>
      </c>
      <c r="C199" s="237" t="n">
        <f aca="false">SUM(C192:C198)</f>
        <v>8457098</v>
      </c>
      <c r="D199" s="237" t="n">
        <f aca="false">SUM(D192:D198)</f>
        <v>7219488</v>
      </c>
      <c r="E199" s="313" t="n">
        <f aca="false">C199/D199*100-100</f>
        <v>17.1426283969168</v>
      </c>
      <c r="F199" s="237" t="n">
        <f aca="false">SUM(F192:F198)</f>
        <v>982493</v>
      </c>
      <c r="G199" s="237" t="n">
        <f aca="false">SUM(G192:G198)</f>
        <v>1105100</v>
      </c>
      <c r="H199" s="313" t="n">
        <f aca="false">F199/G199*100-100</f>
        <v>-11.0946520676862</v>
      </c>
      <c r="I199" s="237" t="n">
        <f aca="false">SUM(I192:I198)</f>
        <v>8565291</v>
      </c>
      <c r="J199" s="237" t="n">
        <f aca="false">SUM(J192:J198)</f>
        <v>7472697</v>
      </c>
      <c r="K199" s="313" t="n">
        <f aca="false">I199/J199*100-100</f>
        <v>14.6211468228941</v>
      </c>
      <c r="L199" s="237" t="n">
        <f aca="false">SUM(L192:L198)</f>
        <v>5141708</v>
      </c>
      <c r="M199" s="216" t="n">
        <f aca="false">SUM(M192:M198)</f>
        <v>4831841</v>
      </c>
      <c r="N199" s="313" t="n">
        <f aca="false">L199/M199*100-100</f>
        <v>6.41302145496923</v>
      </c>
      <c r="O199" s="237" t="n">
        <f aca="false">SUM(O192:O198)</f>
        <v>316</v>
      </c>
      <c r="P199" s="217" t="n">
        <f aca="false">R199/O199</f>
        <v>205.696202531646</v>
      </c>
      <c r="Q199" s="237" t="n">
        <f aca="false">SUM(Q192:Q198)</f>
        <v>302</v>
      </c>
      <c r="R199" s="232" t="n">
        <f aca="false">SUM(R192:R198)</f>
        <v>65000</v>
      </c>
    </row>
    <row r="200" customFormat="false" ht="15" hidden="false" customHeight="false" outlineLevel="0" collapsed="false">
      <c r="A200" s="330"/>
      <c r="B200" s="282"/>
      <c r="C200" s="262"/>
      <c r="D200" s="236"/>
      <c r="E200" s="201"/>
      <c r="F200" s="262"/>
      <c r="G200" s="236"/>
      <c r="H200" s="201"/>
      <c r="I200" s="262"/>
      <c r="J200" s="236"/>
      <c r="K200" s="201"/>
      <c r="L200" s="262"/>
      <c r="M200" s="236"/>
      <c r="N200" s="201"/>
      <c r="O200" s="262"/>
      <c r="P200" s="262"/>
      <c r="Q200" s="262"/>
      <c r="R200" s="202"/>
    </row>
    <row r="201" customFormat="false" ht="15" hidden="false" customHeight="false" outlineLevel="0" collapsed="false">
      <c r="A201" s="274"/>
      <c r="B201" s="331" t="s">
        <v>210</v>
      </c>
      <c r="C201" s="262"/>
      <c r="D201" s="262"/>
      <c r="E201" s="201"/>
      <c r="F201" s="262"/>
      <c r="G201" s="262"/>
      <c r="H201" s="201"/>
      <c r="I201" s="262"/>
      <c r="J201" s="262"/>
      <c r="K201" s="201"/>
      <c r="L201" s="262"/>
      <c r="M201" s="262"/>
      <c r="N201" s="201"/>
      <c r="O201" s="262"/>
      <c r="P201" s="262"/>
      <c r="Q201" s="262"/>
      <c r="R201" s="202"/>
    </row>
    <row r="202" customFormat="false" ht="15" hidden="false" customHeight="false" outlineLevel="0" collapsed="false">
      <c r="A202" s="274" t="n">
        <v>1</v>
      </c>
      <c r="B202" s="373" t="s">
        <v>244</v>
      </c>
      <c r="C202" s="262" t="n">
        <v>1269904</v>
      </c>
      <c r="D202" s="262" t="n">
        <v>1653956</v>
      </c>
      <c r="E202" s="201" t="n">
        <f aca="false">C202/D202*100-100</f>
        <v>-23.2202065834883</v>
      </c>
      <c r="F202" s="262" t="n">
        <v>2238</v>
      </c>
      <c r="G202" s="262" t="n">
        <v>97211</v>
      </c>
      <c r="H202" s="201" t="n">
        <f aca="false">F202/G202*100-100</f>
        <v>-97.6977914022076</v>
      </c>
      <c r="I202" s="262" t="n">
        <v>1142230</v>
      </c>
      <c r="J202" s="262" t="n">
        <v>1072322</v>
      </c>
      <c r="K202" s="201" t="n">
        <f aca="false">I202/J202*100-100</f>
        <v>6.51931043100859</v>
      </c>
      <c r="L202" s="262" t="n">
        <f aca="false">346102+532094</f>
        <v>878196</v>
      </c>
      <c r="M202" s="262" t="n">
        <f aca="false">193046+609914</f>
        <v>802960</v>
      </c>
      <c r="N202" s="201" t="n">
        <f aca="false">L202/M202*100-100</f>
        <v>9.36983162299492</v>
      </c>
      <c r="O202" s="262" t="n">
        <v>145</v>
      </c>
      <c r="P202" s="262"/>
      <c r="Q202" s="262"/>
      <c r="R202" s="202"/>
    </row>
    <row r="203" customFormat="false" ht="15" hidden="false" customHeight="false" outlineLevel="0" collapsed="false">
      <c r="A203" s="274" t="n">
        <v>2</v>
      </c>
      <c r="B203" s="282" t="s">
        <v>160</v>
      </c>
      <c r="C203" s="262" t="n">
        <v>2085</v>
      </c>
      <c r="D203" s="262" t="n">
        <v>278</v>
      </c>
      <c r="E203" s="201" t="n">
        <v>0</v>
      </c>
      <c r="F203" s="262" t="n">
        <v>0</v>
      </c>
      <c r="G203" s="262" t="n">
        <v>0</v>
      </c>
      <c r="H203" s="201" t="n">
        <v>0</v>
      </c>
      <c r="I203" s="262" t="n">
        <v>35183</v>
      </c>
      <c r="J203" s="262" t="n">
        <v>23805</v>
      </c>
      <c r="K203" s="201" t="n">
        <f aca="false">I203/J203*100-100</f>
        <v>47.7966813694602</v>
      </c>
      <c r="L203" s="262" t="n">
        <v>0</v>
      </c>
      <c r="M203" s="262" t="n">
        <v>0</v>
      </c>
      <c r="N203" s="201" t="n">
        <v>0</v>
      </c>
      <c r="O203" s="262" t="n">
        <v>84</v>
      </c>
      <c r="P203" s="262" t="n">
        <v>124</v>
      </c>
      <c r="Q203" s="262" t="n">
        <v>84</v>
      </c>
      <c r="R203" s="202" t="n">
        <f aca="false">O203*P203</f>
        <v>10416</v>
      </c>
    </row>
    <row r="204" customFormat="false" ht="15" hidden="false" customHeight="false" outlineLevel="0" collapsed="false">
      <c r="A204" s="284" t="n">
        <v>3</v>
      </c>
      <c r="B204" s="282" t="s">
        <v>245</v>
      </c>
      <c r="C204" s="200" t="n">
        <v>0</v>
      </c>
      <c r="D204" s="200" t="n">
        <v>0</v>
      </c>
      <c r="E204" s="201" t="n">
        <v>0</v>
      </c>
      <c r="F204" s="200" t="n">
        <v>0</v>
      </c>
      <c r="G204" s="200" t="n">
        <v>0</v>
      </c>
      <c r="H204" s="201" t="n">
        <v>0</v>
      </c>
      <c r="I204" s="200" t="n">
        <v>0</v>
      </c>
      <c r="J204" s="200" t="n">
        <v>0</v>
      </c>
      <c r="K204" s="201" t="n">
        <v>0</v>
      </c>
      <c r="L204" s="200" t="n">
        <v>0</v>
      </c>
      <c r="M204" s="200" t="n">
        <v>0</v>
      </c>
      <c r="N204" s="201" t="n">
        <v>0</v>
      </c>
      <c r="O204" s="203" t="n">
        <v>0</v>
      </c>
      <c r="P204" s="204" t="n">
        <v>0</v>
      </c>
      <c r="Q204" s="203" t="n">
        <v>0</v>
      </c>
      <c r="R204" s="202" t="n">
        <f aca="false">O204*P204</f>
        <v>0</v>
      </c>
    </row>
    <row r="205" customFormat="false" ht="15" hidden="false" customHeight="false" outlineLevel="0" collapsed="false">
      <c r="A205" s="284" t="n">
        <v>4</v>
      </c>
      <c r="B205" s="282" t="s">
        <v>169</v>
      </c>
      <c r="C205" s="262" t="n">
        <v>611117</v>
      </c>
      <c r="D205" s="262" t="n">
        <v>149262</v>
      </c>
      <c r="E205" s="223" t="n">
        <f aca="false">C205/D205*100-100</f>
        <v>309.425707815787</v>
      </c>
      <c r="F205" s="262" t="n">
        <v>81867</v>
      </c>
      <c r="G205" s="262" t="n">
        <v>17252</v>
      </c>
      <c r="H205" s="223" t="n">
        <v>0</v>
      </c>
      <c r="I205" s="262" t="n">
        <v>611117</v>
      </c>
      <c r="J205" s="262" t="n">
        <v>149262</v>
      </c>
      <c r="K205" s="201" t="n">
        <f aca="false">I205/J205*100-100</f>
        <v>309.425707815787</v>
      </c>
      <c r="L205" s="262" t="n">
        <f aca="false">524599+86518</f>
        <v>611117</v>
      </c>
      <c r="M205" s="262" t="n">
        <f aca="false">147574+1688</f>
        <v>149262</v>
      </c>
      <c r="N205" s="201" t="n">
        <f aca="false">L205/M205*100-100</f>
        <v>309.425707815787</v>
      </c>
      <c r="O205" s="262" t="n">
        <v>30</v>
      </c>
      <c r="P205" s="262" t="n">
        <v>50</v>
      </c>
      <c r="Q205" s="262" t="n">
        <v>30</v>
      </c>
      <c r="R205" s="202" t="n">
        <f aca="false">O205*P205</f>
        <v>1500</v>
      </c>
    </row>
    <row r="206" customFormat="false" ht="15" hidden="false" customHeight="false" outlineLevel="0" collapsed="false">
      <c r="A206" s="215" t="s">
        <v>170</v>
      </c>
      <c r="B206" s="215" t="s">
        <v>154</v>
      </c>
      <c r="C206" s="237" t="n">
        <f aca="false">SUM(C201:C205)</f>
        <v>1883106</v>
      </c>
      <c r="D206" s="237" t="n">
        <f aca="false">SUM(D201:D205)</f>
        <v>1803496</v>
      </c>
      <c r="E206" s="313" t="n">
        <f aca="false">C206/D206*100-100</f>
        <v>4.41420441187562</v>
      </c>
      <c r="F206" s="237" t="n">
        <f aca="false">SUM(F201:F205)</f>
        <v>84105</v>
      </c>
      <c r="G206" s="237" t="n">
        <f aca="false">SUM(G201:G205)</f>
        <v>114463</v>
      </c>
      <c r="H206" s="313" t="n">
        <v>0</v>
      </c>
      <c r="I206" s="237" t="n">
        <f aca="false">SUM(I201:I205)</f>
        <v>1788530</v>
      </c>
      <c r="J206" s="237" t="n">
        <f aca="false">SUM(J201:J205)</f>
        <v>1245389</v>
      </c>
      <c r="K206" s="313" t="n">
        <f aca="false">I206/J206*100-100</f>
        <v>43.612156522982</v>
      </c>
      <c r="L206" s="237" t="n">
        <f aca="false">SUM(L201:L205)</f>
        <v>1489313</v>
      </c>
      <c r="M206" s="216" t="n">
        <f aca="false">SUM(M201:M205)</f>
        <v>952222</v>
      </c>
      <c r="N206" s="313" t="n">
        <f aca="false">L206/M206*100-100</f>
        <v>56.4039688223965</v>
      </c>
      <c r="O206" s="237" t="n">
        <f aca="false">SUM(O201:O205)</f>
        <v>259</v>
      </c>
      <c r="P206" s="217" t="n">
        <f aca="false">R206/O206</f>
        <v>46.007722007722</v>
      </c>
      <c r="Q206" s="237" t="n">
        <f aca="false">SUM(Q201:Q205)</f>
        <v>114</v>
      </c>
      <c r="R206" s="232" t="n">
        <f aca="false">SUM(R201:R205)</f>
        <v>11916</v>
      </c>
    </row>
    <row r="207" customFormat="false" ht="15" hidden="false" customHeight="false" outlineLevel="0" collapsed="false">
      <c r="A207" s="325"/>
      <c r="B207" s="325" t="s">
        <v>211</v>
      </c>
      <c r="C207" s="320" t="n">
        <f aca="false">C199+C206</f>
        <v>10340204</v>
      </c>
      <c r="D207" s="320" t="n">
        <f aca="false">D199+D206</f>
        <v>9022984</v>
      </c>
      <c r="E207" s="310" t="n">
        <f aca="false">C207/D207*100-100</f>
        <v>14.5984964619244</v>
      </c>
      <c r="F207" s="320" t="n">
        <f aca="false">F199+F206</f>
        <v>1066598</v>
      </c>
      <c r="G207" s="320" t="n">
        <f aca="false">G199+G206</f>
        <v>1219563</v>
      </c>
      <c r="H207" s="310" t="n">
        <f aca="false">F207/G207*100-100</f>
        <v>-12.5426074749726</v>
      </c>
      <c r="I207" s="320" t="n">
        <f aca="false">I199+I206</f>
        <v>10353821</v>
      </c>
      <c r="J207" s="320" t="n">
        <f aca="false">J199+J206</f>
        <v>8718086</v>
      </c>
      <c r="K207" s="310" t="n">
        <f aca="false">I207/J207*100-100</f>
        <v>18.7625471921245</v>
      </c>
      <c r="L207" s="320" t="n">
        <f aca="false">L199+L206</f>
        <v>6631021</v>
      </c>
      <c r="M207" s="320" t="n">
        <f aca="false">M199+M206</f>
        <v>5784063</v>
      </c>
      <c r="N207" s="310" t="n">
        <f aca="false">L207/M207*100-100</f>
        <v>14.6429594560087</v>
      </c>
      <c r="O207" s="320" t="n">
        <f aca="false">O199+O206</f>
        <v>575</v>
      </c>
      <c r="P207" s="321" t="n">
        <f aca="false">R207/O207</f>
        <v>133.766956521739</v>
      </c>
      <c r="Q207" s="320" t="n">
        <f aca="false">Q199+Q206</f>
        <v>416</v>
      </c>
      <c r="R207" s="320" t="n">
        <f aca="false">R199+R206</f>
        <v>76916</v>
      </c>
    </row>
    <row r="208" customFormat="false" ht="15" hidden="false" customHeight="false" outlineLevel="0" collapsed="false">
      <c r="A208" s="333"/>
      <c r="B208" s="334"/>
      <c r="C208" s="287"/>
      <c r="D208" s="287"/>
      <c r="E208" s="283"/>
      <c r="F208" s="288"/>
      <c r="G208" s="288"/>
      <c r="H208" s="283"/>
      <c r="I208" s="203"/>
      <c r="J208" s="203"/>
      <c r="K208" s="289"/>
      <c r="L208" s="203"/>
      <c r="M208" s="203"/>
      <c r="N208" s="203"/>
      <c r="O208" s="203"/>
      <c r="P208" s="219"/>
      <c r="Q208" s="203"/>
      <c r="R208" s="189"/>
    </row>
    <row r="209" customFormat="false" ht="15" hidden="false" customHeight="false" outlineLevel="0" collapsed="false">
      <c r="A209" s="333"/>
      <c r="B209" s="270" t="s">
        <v>171</v>
      </c>
      <c r="C209" s="270"/>
      <c r="D209" s="287"/>
      <c r="E209" s="283"/>
      <c r="F209" s="288"/>
      <c r="G209" s="288"/>
      <c r="H209" s="283"/>
      <c r="I209" s="203"/>
      <c r="J209" s="203"/>
      <c r="K209" s="289"/>
      <c r="L209" s="203"/>
      <c r="M209" s="203"/>
      <c r="N209" s="203"/>
      <c r="O209" s="203"/>
      <c r="P209" s="219"/>
      <c r="Q209" s="203"/>
      <c r="R209" s="189"/>
    </row>
    <row r="210" customFormat="false" ht="15" hidden="false" customHeight="false" outlineLevel="0" collapsed="false">
      <c r="A210" s="270"/>
      <c r="B210" s="270"/>
      <c r="C210" s="195" t="n">
        <v>3</v>
      </c>
      <c r="D210" s="195" t="n">
        <v>4</v>
      </c>
      <c r="E210" s="196" t="n">
        <v>5</v>
      </c>
      <c r="F210" s="195" t="n">
        <v>6</v>
      </c>
      <c r="G210" s="195" t="n">
        <v>7</v>
      </c>
      <c r="H210" s="195" t="n">
        <v>8</v>
      </c>
      <c r="I210" s="195" t="n">
        <v>9</v>
      </c>
      <c r="J210" s="195" t="n">
        <v>10</v>
      </c>
      <c r="K210" s="195" t="n">
        <v>11</v>
      </c>
      <c r="L210" s="195" t="n">
        <v>12</v>
      </c>
      <c r="M210" s="195" t="n">
        <v>13</v>
      </c>
      <c r="N210" s="195" t="n">
        <v>14</v>
      </c>
      <c r="O210" s="195" t="n">
        <v>15</v>
      </c>
      <c r="P210" s="196" t="n">
        <v>16</v>
      </c>
      <c r="Q210" s="195" t="n">
        <v>15</v>
      </c>
      <c r="R210" s="189"/>
    </row>
    <row r="211" customFormat="false" ht="15" hidden="false" customHeight="false" outlineLevel="0" collapsed="false">
      <c r="A211" s="288" t="n">
        <v>1</v>
      </c>
      <c r="B211" s="290" t="s">
        <v>172</v>
      </c>
      <c r="C211" s="374" t="n">
        <v>456877.7</v>
      </c>
      <c r="D211" s="375" t="n">
        <v>570094.7</v>
      </c>
      <c r="E211" s="376" t="n">
        <f aca="false">C211/D211*100-100</f>
        <v>-19.859332142537</v>
      </c>
      <c r="F211" s="374" t="n">
        <v>59357.6</v>
      </c>
      <c r="G211" s="375" t="n">
        <v>60608</v>
      </c>
      <c r="H211" s="376" t="n">
        <f aca="false">F211/G211*100-100</f>
        <v>-2.06309398099262</v>
      </c>
      <c r="I211" s="375" t="n">
        <v>230855.1</v>
      </c>
      <c r="J211" s="375" t="n">
        <v>449142.2</v>
      </c>
      <c r="K211" s="376" t="n">
        <f aca="false">I211/J211*100-100</f>
        <v>-48.6008885381957</v>
      </c>
      <c r="L211" s="374" t="n">
        <v>0</v>
      </c>
      <c r="M211" s="374" t="n">
        <v>0</v>
      </c>
      <c r="N211" s="377" t="n">
        <v>0</v>
      </c>
      <c r="O211" s="374" t="n">
        <v>297</v>
      </c>
      <c r="P211" s="375" t="n">
        <v>253.4</v>
      </c>
      <c r="Q211" s="374" t="n">
        <v>302</v>
      </c>
      <c r="R211" s="378" t="n">
        <f aca="false">O211*P211</f>
        <v>75259.8</v>
      </c>
    </row>
    <row r="212" customFormat="false" ht="15" hidden="false" customHeight="false" outlineLevel="0" collapsed="false">
      <c r="A212" s="288" t="n">
        <v>2</v>
      </c>
      <c r="B212" s="290" t="s">
        <v>173</v>
      </c>
      <c r="C212" s="379" t="n">
        <v>86852</v>
      </c>
      <c r="D212" s="379" t="n">
        <v>88431</v>
      </c>
      <c r="E212" s="376" t="n">
        <f aca="false">C212/D212*100-100</f>
        <v>-1.7855729325689</v>
      </c>
      <c r="F212" s="379" t="n">
        <v>11665</v>
      </c>
      <c r="G212" s="379" t="n">
        <v>11699</v>
      </c>
      <c r="H212" s="376" t="n">
        <f aca="false">F212/G212*100-100</f>
        <v>-0.29062313018207</v>
      </c>
      <c r="I212" s="380" t="n">
        <v>0</v>
      </c>
      <c r="J212" s="380" t="n">
        <v>0</v>
      </c>
      <c r="K212" s="376" t="n">
        <v>0</v>
      </c>
      <c r="L212" s="380" t="n">
        <v>0</v>
      </c>
      <c r="M212" s="380" t="n">
        <v>0</v>
      </c>
      <c r="N212" s="377" t="n">
        <f aca="false">IF(OR(L212=0,M212=0),0,L212/M212*100)</f>
        <v>0</v>
      </c>
      <c r="O212" s="380" t="n">
        <v>85</v>
      </c>
      <c r="P212" s="381" t="n">
        <v>105.5</v>
      </c>
      <c r="Q212" s="380" t="n">
        <v>86</v>
      </c>
      <c r="R212" s="378" t="n">
        <f aca="false">O212*P212</f>
        <v>8967.5</v>
      </c>
    </row>
    <row r="213" customFormat="false" ht="24" hidden="false" customHeight="false" outlineLevel="0" collapsed="false">
      <c r="A213" s="291" t="n">
        <v>3</v>
      </c>
      <c r="B213" s="292" t="s">
        <v>174</v>
      </c>
      <c r="C213" s="382" t="n">
        <v>915</v>
      </c>
      <c r="D213" s="383" t="n">
        <v>889</v>
      </c>
      <c r="E213" s="376" t="n">
        <f aca="false">C213/D213*100-100</f>
        <v>2.92463442069742</v>
      </c>
      <c r="F213" s="380" t="n">
        <v>139</v>
      </c>
      <c r="G213" s="380" t="n">
        <v>250</v>
      </c>
      <c r="H213" s="376" t="n">
        <f aca="false">F213/G213*100-100</f>
        <v>-44.4</v>
      </c>
      <c r="I213" s="384" t="n">
        <v>915</v>
      </c>
      <c r="J213" s="383" t="n">
        <v>889</v>
      </c>
      <c r="K213" s="376" t="n">
        <f aca="false">I213/J213*100-100</f>
        <v>2.92463442069742</v>
      </c>
      <c r="L213" s="380" t="n">
        <v>0</v>
      </c>
      <c r="M213" s="380" t="n">
        <v>0</v>
      </c>
      <c r="N213" s="377" t="n">
        <f aca="false">IF(OR(L213=0,M213=0),0,L213/M213*100)</f>
        <v>0</v>
      </c>
      <c r="O213" s="380" t="n">
        <v>29</v>
      </c>
      <c r="P213" s="381" t="n">
        <v>26.7</v>
      </c>
      <c r="Q213" s="380" t="n">
        <v>30</v>
      </c>
      <c r="R213" s="385" t="n">
        <f aca="false">O213*P213</f>
        <v>774.3</v>
      </c>
    </row>
    <row r="214" customFormat="false" ht="15" hidden="false" customHeight="false" outlineLevel="0" collapsed="false">
      <c r="A214" s="288" t="n">
        <v>4</v>
      </c>
      <c r="B214" s="296" t="s">
        <v>175</v>
      </c>
      <c r="C214" s="380" t="n">
        <v>22472</v>
      </c>
      <c r="D214" s="380" t="n">
        <v>12015</v>
      </c>
      <c r="E214" s="376" t="n">
        <f aca="false">C214/D214*100-100</f>
        <v>87.0328755722014</v>
      </c>
      <c r="F214" s="380" t="n">
        <v>2126</v>
      </c>
      <c r="G214" s="380" t="n">
        <v>1565</v>
      </c>
      <c r="H214" s="376" t="n">
        <f aca="false">F214/G214*100-100</f>
        <v>35.8466453674121</v>
      </c>
      <c r="I214" s="380" t="n">
        <v>0</v>
      </c>
      <c r="J214" s="380" t="n">
        <v>0</v>
      </c>
      <c r="K214" s="376" t="n">
        <v>0</v>
      </c>
      <c r="L214" s="380" t="n">
        <v>0</v>
      </c>
      <c r="M214" s="380" t="n">
        <v>0</v>
      </c>
      <c r="N214" s="377" t="n">
        <f aca="false">IF(OR(L214=0,M214=0),0,L214/M214*100)</f>
        <v>0</v>
      </c>
      <c r="O214" s="380" t="n">
        <v>17</v>
      </c>
      <c r="P214" s="381" t="n">
        <v>61</v>
      </c>
      <c r="Q214" s="380" t="n">
        <v>17</v>
      </c>
      <c r="R214" s="386" t="n">
        <f aca="false">O214*P214</f>
        <v>1037</v>
      </c>
    </row>
    <row r="215" customFormat="false" ht="15" hidden="false" customHeight="false" outlineLevel="0" collapsed="false">
      <c r="A215" s="288" t="n">
        <v>5</v>
      </c>
      <c r="B215" s="297" t="s">
        <v>176</v>
      </c>
      <c r="C215" s="381" t="n">
        <v>7980</v>
      </c>
      <c r="D215" s="381" t="n">
        <v>8090</v>
      </c>
      <c r="E215" s="376" t="n">
        <f aca="false">C215/D215*100-100</f>
        <v>-1.35970333745364</v>
      </c>
      <c r="F215" s="381" t="n">
        <v>930</v>
      </c>
      <c r="G215" s="381" t="n">
        <v>1025</v>
      </c>
      <c r="H215" s="376" t="n">
        <f aca="false">F215/G215*100-100</f>
        <v>-9.26829268292683</v>
      </c>
      <c r="I215" s="387" t="n">
        <v>0</v>
      </c>
      <c r="J215" s="387" t="n">
        <v>0</v>
      </c>
      <c r="K215" s="376" t="n">
        <v>0</v>
      </c>
      <c r="L215" s="380" t="n">
        <v>0</v>
      </c>
      <c r="M215" s="380" t="n">
        <v>0</v>
      </c>
      <c r="N215" s="377" t="n">
        <f aca="false">IF(OR(L215=0,M215=0),0,L215/M215*100)</f>
        <v>0</v>
      </c>
      <c r="O215" s="380" t="n">
        <v>12</v>
      </c>
      <c r="P215" s="381" t="n">
        <v>73.4</v>
      </c>
      <c r="Q215" s="380" t="n">
        <v>12</v>
      </c>
      <c r="R215" s="386" t="n">
        <f aca="false">O215*P215</f>
        <v>880.8</v>
      </c>
    </row>
    <row r="216" customFormat="false" ht="15" hidden="false" customHeight="false" outlineLevel="0" collapsed="false">
      <c r="A216" s="288" t="n">
        <v>6</v>
      </c>
      <c r="B216" s="290" t="s">
        <v>177</v>
      </c>
      <c r="C216" s="381" t="n">
        <v>50810</v>
      </c>
      <c r="D216" s="380" t="n">
        <v>39698</v>
      </c>
      <c r="E216" s="376" t="n">
        <f aca="false">C216/D216*100-100</f>
        <v>27.9913345760492</v>
      </c>
      <c r="F216" s="381" t="n">
        <v>2830</v>
      </c>
      <c r="G216" s="381" t="n">
        <v>4200</v>
      </c>
      <c r="H216" s="376" t="n">
        <f aca="false">F216/G216*100-100</f>
        <v>-32.6190476190476</v>
      </c>
      <c r="I216" s="387" t="n">
        <v>43994</v>
      </c>
      <c r="J216" s="387" t="n">
        <v>22109</v>
      </c>
      <c r="K216" s="376" t="n">
        <f aca="false">I216/J216*100-100</f>
        <v>98.9868379393008</v>
      </c>
      <c r="L216" s="380" t="n">
        <v>0</v>
      </c>
      <c r="M216" s="380" t="n">
        <v>0</v>
      </c>
      <c r="N216" s="377" t="n">
        <f aca="false">IF(OR(L216=0,M216=0),0,L216/M216*100)</f>
        <v>0</v>
      </c>
      <c r="O216" s="380" t="n">
        <v>24</v>
      </c>
      <c r="P216" s="381" t="n">
        <v>204.2</v>
      </c>
      <c r="Q216" s="380" t="n">
        <v>24</v>
      </c>
      <c r="R216" s="386" t="n">
        <f aca="false">O216*P216</f>
        <v>4900.8</v>
      </c>
    </row>
    <row r="217" customFormat="false" ht="15" hidden="false" customHeight="false" outlineLevel="0" collapsed="false">
      <c r="A217" s="288" t="n">
        <v>7</v>
      </c>
      <c r="B217" s="290" t="s">
        <v>178</v>
      </c>
      <c r="C217" s="380" t="n">
        <v>3595</v>
      </c>
      <c r="D217" s="380" t="n">
        <v>85580</v>
      </c>
      <c r="E217" s="376" t="n">
        <f aca="false">C217/D217*100-100</f>
        <v>-95.79925216172</v>
      </c>
      <c r="F217" s="380" t="n">
        <v>0</v>
      </c>
      <c r="G217" s="380" t="n">
        <v>9918</v>
      </c>
      <c r="H217" s="376" t="n">
        <f aca="false">F217/G217*100-100</f>
        <v>-100</v>
      </c>
      <c r="I217" s="380" t="n">
        <v>3595</v>
      </c>
      <c r="J217" s="380" t="n">
        <v>93536</v>
      </c>
      <c r="K217" s="376" t="n">
        <f aca="false">I217/J217*100-100</f>
        <v>-96.1565600410537</v>
      </c>
      <c r="L217" s="380" t="n">
        <v>3595</v>
      </c>
      <c r="M217" s="380" t="n">
        <v>93536</v>
      </c>
      <c r="N217" s="376" t="n">
        <f aca="false">L217/M217*100-100</f>
        <v>-96.1565600410537</v>
      </c>
      <c r="O217" s="380" t="n">
        <v>35</v>
      </c>
      <c r="P217" s="381" t="n">
        <v>65.5</v>
      </c>
      <c r="Q217" s="380" t="n">
        <v>39</v>
      </c>
      <c r="R217" s="386" t="n">
        <f aca="false">O217*P217</f>
        <v>2292.5</v>
      </c>
    </row>
    <row r="218" customFormat="false" ht="15" hidden="false" customHeight="false" outlineLevel="0" collapsed="false">
      <c r="A218" s="288" t="n">
        <v>8</v>
      </c>
      <c r="B218" s="290" t="s">
        <v>179</v>
      </c>
      <c r="C218" s="380" t="n">
        <v>2960</v>
      </c>
      <c r="D218" s="380" t="n">
        <v>5524</v>
      </c>
      <c r="E218" s="376" t="n">
        <f aca="false">C218/D218*100-100</f>
        <v>-46.415640839971</v>
      </c>
      <c r="F218" s="380" t="n">
        <v>425</v>
      </c>
      <c r="G218" s="380" t="n">
        <v>1100</v>
      </c>
      <c r="H218" s="376" t="n">
        <f aca="false">F218/G218*100-100</f>
        <v>-61.3636363636364</v>
      </c>
      <c r="I218" s="380" t="n">
        <v>3053</v>
      </c>
      <c r="J218" s="380" t="n">
        <v>3508</v>
      </c>
      <c r="K218" s="376" t="n">
        <f aca="false">I218/J218*100-100</f>
        <v>-12.9703534777651</v>
      </c>
      <c r="L218" s="380" t="n">
        <v>0</v>
      </c>
      <c r="M218" s="380" t="n">
        <v>0</v>
      </c>
      <c r="N218" s="377" t="n">
        <f aca="false">IF(OR(L218=0,M218=0),0,L218/M218*100)</f>
        <v>0</v>
      </c>
      <c r="O218" s="380" t="n">
        <v>27</v>
      </c>
      <c r="P218" s="381" t="n">
        <v>68</v>
      </c>
      <c r="Q218" s="380" t="n">
        <v>26</v>
      </c>
      <c r="R218" s="378" t="n">
        <f aca="false">O218*P218</f>
        <v>1836</v>
      </c>
    </row>
    <row r="219" customFormat="false" ht="15" hidden="false" customHeight="false" outlineLevel="0" collapsed="false">
      <c r="A219" s="288" t="n">
        <v>9</v>
      </c>
      <c r="B219" s="301" t="s">
        <v>180</v>
      </c>
      <c r="C219" s="380" t="n">
        <v>11253</v>
      </c>
      <c r="D219" s="380" t="n">
        <v>15100</v>
      </c>
      <c r="E219" s="376" t="n">
        <f aca="false">C219/D219*100-100</f>
        <v>-25.476821192053</v>
      </c>
      <c r="F219" s="380" t="n">
        <v>1473</v>
      </c>
      <c r="G219" s="380" t="n">
        <v>1791</v>
      </c>
      <c r="H219" s="376" t="n">
        <f aca="false">F219/G219*100-100</f>
        <v>-17.7554438860972</v>
      </c>
      <c r="I219" s="380" t="n">
        <v>11253</v>
      </c>
      <c r="J219" s="380" t="n">
        <v>15100</v>
      </c>
      <c r="K219" s="376" t="n">
        <f aca="false">I219/J219*100-100</f>
        <v>-25.476821192053</v>
      </c>
      <c r="L219" s="380" t="n">
        <v>0</v>
      </c>
      <c r="M219" s="380" t="n">
        <v>0</v>
      </c>
      <c r="N219" s="377" t="n">
        <f aca="false">IF(OR(L219=0,M219=0),0,L219/M219*100)</f>
        <v>0</v>
      </c>
      <c r="O219" s="380" t="n">
        <v>14</v>
      </c>
      <c r="P219" s="381" t="n">
        <v>66.7</v>
      </c>
      <c r="Q219" s="380" t="n">
        <v>14</v>
      </c>
      <c r="R219" s="386" t="n">
        <f aca="false">O219*P219</f>
        <v>933.8</v>
      </c>
    </row>
    <row r="220" customFormat="false" ht="15" hidden="false" customHeight="false" outlineLevel="0" collapsed="false">
      <c r="A220" s="215" t="s">
        <v>170</v>
      </c>
      <c r="B220" s="215" t="s">
        <v>154</v>
      </c>
      <c r="C220" s="361" t="n">
        <f aca="false">SUM(C211:C219)</f>
        <v>643714.7</v>
      </c>
      <c r="D220" s="361" t="n">
        <f aca="false">SUM(D211:D219)</f>
        <v>825421.7</v>
      </c>
      <c r="E220" s="362" t="n">
        <f aca="false">C220/D220*100-100</f>
        <v>-22.0138385021862</v>
      </c>
      <c r="F220" s="361" t="n">
        <f aca="false">SUM(F211:F219)</f>
        <v>78945.6</v>
      </c>
      <c r="G220" s="361" t="n">
        <f aca="false">SUM(G211:G219)</f>
        <v>92156</v>
      </c>
      <c r="H220" s="362" t="n">
        <f aca="false">F220/G220*100-100</f>
        <v>-14.3348235600504</v>
      </c>
      <c r="I220" s="361" t="n">
        <f aca="false">SUM(I211:I219)</f>
        <v>293665.1</v>
      </c>
      <c r="J220" s="361" t="n">
        <f aca="false">SUM(J211:J219)</f>
        <v>584284.2</v>
      </c>
      <c r="K220" s="362" t="n">
        <f aca="false">I220/J220*100-100</f>
        <v>-49.7393391777494</v>
      </c>
      <c r="L220" s="361" t="n">
        <f aca="false">SUM(L211:L219)</f>
        <v>3595</v>
      </c>
      <c r="M220" s="361" t="n">
        <f aca="false">SUM(M211:M219)</f>
        <v>93536</v>
      </c>
      <c r="N220" s="362" t="n">
        <f aca="false">L220/M220*100-100</f>
        <v>-96.1565600410537</v>
      </c>
      <c r="O220" s="363" t="n">
        <f aca="false">SUM(O211:O219)</f>
        <v>540</v>
      </c>
      <c r="P220" s="363" t="n">
        <f aca="false">R220/O220</f>
        <v>179.412037037037</v>
      </c>
      <c r="Q220" s="363" t="n">
        <f aca="false">SUM(Q211:Q219)</f>
        <v>550</v>
      </c>
      <c r="R220" s="232" t="n">
        <f aca="false">SUM(R211:R219)</f>
        <v>96882.5</v>
      </c>
    </row>
    <row r="221" customFormat="false" ht="15" hidden="false" customHeight="false" outlineLevel="0" collapsed="false">
      <c r="A221" s="303"/>
      <c r="B221" s="195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4"/>
    </row>
    <row r="222" customFormat="false" ht="15" hidden="false" customHeight="false" outlineLevel="0" collapsed="false">
      <c r="A222" s="305" t="s">
        <v>181</v>
      </c>
      <c r="B222" s="305"/>
      <c r="C222" s="195" t="n">
        <v>3</v>
      </c>
      <c r="D222" s="195" t="n">
        <v>4</v>
      </c>
      <c r="E222" s="196" t="n">
        <v>5</v>
      </c>
      <c r="F222" s="195" t="n">
        <v>6</v>
      </c>
      <c r="G222" s="195" t="n">
        <v>7</v>
      </c>
      <c r="H222" s="195" t="n">
        <v>8</v>
      </c>
      <c r="I222" s="195" t="n">
        <v>9</v>
      </c>
      <c r="J222" s="195" t="n">
        <v>10</v>
      </c>
      <c r="K222" s="195" t="n">
        <v>11</v>
      </c>
      <c r="L222" s="195" t="n">
        <v>12</v>
      </c>
      <c r="M222" s="195" t="n">
        <v>13</v>
      </c>
      <c r="N222" s="195" t="n">
        <v>14</v>
      </c>
      <c r="O222" s="195" t="n">
        <v>15</v>
      </c>
      <c r="P222" s="196" t="n">
        <v>16</v>
      </c>
      <c r="Q222" s="195" t="n">
        <v>15</v>
      </c>
      <c r="R222" s="179"/>
    </row>
    <row r="223" customFormat="false" ht="15" hidden="false" customHeight="false" outlineLevel="0" collapsed="false">
      <c r="A223" s="262" t="n">
        <v>1</v>
      </c>
      <c r="B223" s="306" t="s">
        <v>182</v>
      </c>
      <c r="C223" s="207" t="n">
        <v>56612</v>
      </c>
      <c r="D223" s="207" t="n">
        <v>75779</v>
      </c>
      <c r="E223" s="201" t="n">
        <f aca="false">C223/D223*100-100</f>
        <v>-25.2932870584199</v>
      </c>
      <c r="F223" s="207" t="n">
        <v>1040</v>
      </c>
      <c r="G223" s="207" t="n">
        <v>21202</v>
      </c>
      <c r="H223" s="201" t="n">
        <f aca="false">F223/G223*100-100</f>
        <v>-95.0948023771342</v>
      </c>
      <c r="I223" s="207" t="n">
        <v>56612</v>
      </c>
      <c r="J223" s="207" t="n">
        <v>75779</v>
      </c>
      <c r="K223" s="201" t="n">
        <f aca="false">I223/J223*100-100</f>
        <v>-25.2932870584199</v>
      </c>
      <c r="L223" s="207" t="n">
        <f aca="false">19229+37383</f>
        <v>56612</v>
      </c>
      <c r="M223" s="207" t="n">
        <v>75779</v>
      </c>
      <c r="N223" s="201" t="n">
        <f aca="false">L223/M223*100-100</f>
        <v>-25.2932870584199</v>
      </c>
      <c r="O223" s="192" t="n">
        <v>42</v>
      </c>
      <c r="P223" s="262" t="n">
        <v>63</v>
      </c>
      <c r="Q223" s="192" t="n">
        <v>49</v>
      </c>
      <c r="R223" s="234" t="n">
        <f aca="false">O223*P223</f>
        <v>2646</v>
      </c>
    </row>
    <row r="224" customFormat="false" ht="15" hidden="false" customHeight="false" outlineLevel="0" collapsed="false">
      <c r="A224" s="262" t="n">
        <v>2</v>
      </c>
      <c r="B224" s="306" t="s">
        <v>183</v>
      </c>
      <c r="C224" s="207" t="n">
        <v>89722</v>
      </c>
      <c r="D224" s="207" t="n">
        <v>121015</v>
      </c>
      <c r="E224" s="201" t="n">
        <f aca="false">C224/D224*100-100</f>
        <v>-25.8587778374582</v>
      </c>
      <c r="F224" s="207" t="n">
        <v>19328</v>
      </c>
      <c r="G224" s="207" t="n">
        <v>7336</v>
      </c>
      <c r="H224" s="201" t="n">
        <f aca="false">F224/G224*100-100</f>
        <v>163.467829880044</v>
      </c>
      <c r="I224" s="207" t="n">
        <v>83488</v>
      </c>
      <c r="J224" s="207" t="n">
        <v>121001</v>
      </c>
      <c r="K224" s="201" t="n">
        <f aca="false">I224/J224*100-100</f>
        <v>-31.002223122123</v>
      </c>
      <c r="L224" s="207" t="n">
        <v>10861</v>
      </c>
      <c r="M224" s="207" t="n">
        <v>0</v>
      </c>
      <c r="N224" s="201" t="n">
        <v>0</v>
      </c>
      <c r="O224" s="192" t="n">
        <v>174</v>
      </c>
      <c r="P224" s="262" t="n">
        <v>185</v>
      </c>
      <c r="Q224" s="192" t="n">
        <v>176</v>
      </c>
      <c r="R224" s="234" t="n">
        <f aca="false">O224*P224</f>
        <v>32190</v>
      </c>
    </row>
    <row r="225" customFormat="false" ht="15" hidden="false" customHeight="false" outlineLevel="0" collapsed="false">
      <c r="A225" s="215" t="s">
        <v>170</v>
      </c>
      <c r="B225" s="215" t="s">
        <v>154</v>
      </c>
      <c r="C225" s="216" t="n">
        <f aca="false">SUM(C223:C224)</f>
        <v>146334</v>
      </c>
      <c r="D225" s="216" t="n">
        <f aca="false">SUM(D223:D224)</f>
        <v>196794</v>
      </c>
      <c r="E225" s="313" t="n">
        <f aca="false">C225/D225*100-100</f>
        <v>-25.6410256410256</v>
      </c>
      <c r="F225" s="216" t="n">
        <f aca="false">SUM(F223:F224)</f>
        <v>20368</v>
      </c>
      <c r="G225" s="216" t="n">
        <f aca="false">SUM(G223:G224)</f>
        <v>28538</v>
      </c>
      <c r="H225" s="313" t="n">
        <f aca="false">F225/G225*100-100</f>
        <v>-28.6284953395473</v>
      </c>
      <c r="I225" s="217" t="n">
        <f aca="false">SUM(I223:I224)</f>
        <v>140100</v>
      </c>
      <c r="J225" s="216" t="n">
        <f aca="false">SUM(J223:J224)</f>
        <v>196780</v>
      </c>
      <c r="K225" s="313" t="n">
        <f aca="false">I225/J225*100-100</f>
        <v>-28.8037402175018</v>
      </c>
      <c r="L225" s="237" t="n">
        <f aca="false">SUM(L223:L224)</f>
        <v>67473</v>
      </c>
      <c r="M225" s="216" t="n">
        <f aca="false">SUM(M223:M224)</f>
        <v>75779</v>
      </c>
      <c r="N225" s="332" t="n">
        <f aca="false">L225/M225*100-100</f>
        <v>-10.9608202800248</v>
      </c>
      <c r="O225" s="237" t="n">
        <f aca="false">SUM(O223:O224)</f>
        <v>216</v>
      </c>
      <c r="P225" s="237" t="n">
        <f aca="false">R225/O225</f>
        <v>161.277777777778</v>
      </c>
      <c r="Q225" s="237" t="n">
        <f aca="false">SUM(Q223:Q224)</f>
        <v>225</v>
      </c>
      <c r="R225" s="232" t="n">
        <f aca="false">SUM(R223:R224)</f>
        <v>34836</v>
      </c>
    </row>
  </sheetData>
  <mergeCells count="58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5:B55"/>
    <mergeCell ref="A57:B57"/>
    <mergeCell ref="A67:B67"/>
    <mergeCell ref="A69:B69"/>
    <mergeCell ref="A78:B78"/>
    <mergeCell ref="A79:B79"/>
    <mergeCell ref="A81:B81"/>
    <mergeCell ref="A93:B93"/>
    <mergeCell ref="A95:B95"/>
    <mergeCell ref="A121:B121"/>
    <mergeCell ref="A132:B132"/>
    <mergeCell ref="A134:B134"/>
    <mergeCell ref="A140:B140"/>
    <mergeCell ref="A151:B151"/>
    <mergeCell ref="A152:B152"/>
    <mergeCell ref="A162:B162"/>
    <mergeCell ref="B164:C164"/>
    <mergeCell ref="A165:B165"/>
    <mergeCell ref="A174:B174"/>
    <mergeCell ref="A187:B187"/>
    <mergeCell ref="A191:B191"/>
    <mergeCell ref="A199:B199"/>
    <mergeCell ref="A206:B206"/>
    <mergeCell ref="B209:C209"/>
    <mergeCell ref="A210:B210"/>
    <mergeCell ref="A220:B220"/>
    <mergeCell ref="A222:B222"/>
    <mergeCell ref="A225:B225"/>
  </mergeCells>
  <printOptions headings="false" gridLines="false" gridLinesSet="true" horizontalCentered="false" verticalCentered="false"/>
  <pageMargins left="0.2" right="0.2" top="0.25" bottom="0.25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7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16" activeCellId="0" sqref="A116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5.42"/>
    <col collapsed="false" customWidth="true" hidden="false" outlineLevel="0" max="3" min="3" style="0" width="11.71"/>
    <col collapsed="false" customWidth="false" hidden="false" outlineLevel="0" max="4" min="4" style="0" width="11.43"/>
    <col collapsed="false" customWidth="true" hidden="false" outlineLevel="0" max="5" min="5" style="0" width="6"/>
    <col collapsed="false" customWidth="true" hidden="false" outlineLevel="0" max="6" min="6" style="0" width="10.57"/>
    <col collapsed="false" customWidth="true" hidden="false" outlineLevel="0" max="7" min="7" style="0" width="10.28"/>
    <col collapsed="false" customWidth="true" hidden="false" outlineLevel="0" max="8" min="8" style="0" width="5.57"/>
    <col collapsed="false" customWidth="true" hidden="false" outlineLevel="0" max="9" min="9" style="0" width="11.28"/>
    <col collapsed="false" customWidth="true" hidden="false" outlineLevel="0" max="10" min="10" style="0" width="11.71"/>
    <col collapsed="false" customWidth="true" hidden="false" outlineLevel="0" max="11" min="11" style="0" width="5.71"/>
    <col collapsed="false" customWidth="true" hidden="false" outlineLevel="0" max="12" min="12" style="0" width="11.28"/>
    <col collapsed="false" customWidth="false" hidden="false" outlineLevel="0" max="13" min="13" style="0" width="11.43"/>
    <col collapsed="false" customWidth="true" hidden="false" outlineLevel="0" max="14" min="14" style="0" width="6.43"/>
    <col collapsed="false" customWidth="true" hidden="false" outlineLevel="0" max="15" min="15" style="0" width="7"/>
    <col collapsed="false" customWidth="true" hidden="false" outlineLevel="0" max="16" min="16" style="0" width="6.71"/>
    <col collapsed="false" customWidth="true" hidden="false" outlineLevel="0" max="17" min="17" style="0" width="7"/>
    <col collapsed="false" customWidth="true" hidden="false" outlineLevel="0" max="1025" min="18" style="0" width="8.53"/>
  </cols>
  <sheetData>
    <row r="1" customFormat="false" ht="15" hidden="false" customHeight="true" outlineLevel="0" collapsed="false">
      <c r="A1" s="152" t="s">
        <v>246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customFormat="false" ht="15" hidden="false" customHeight="true" outlineLevel="0" collapsed="false">
      <c r="A3" s="154" t="s">
        <v>1</v>
      </c>
      <c r="B3" s="155" t="s">
        <v>2</v>
      </c>
      <c r="C3" s="156" t="s">
        <v>3</v>
      </c>
      <c r="D3" s="156"/>
      <c r="E3" s="156"/>
      <c r="F3" s="156"/>
      <c r="G3" s="156"/>
      <c r="H3" s="156"/>
      <c r="I3" s="157" t="s">
        <v>4</v>
      </c>
      <c r="J3" s="157"/>
      <c r="K3" s="157"/>
      <c r="L3" s="156" t="s">
        <v>5</v>
      </c>
      <c r="M3" s="156"/>
      <c r="N3" s="156"/>
      <c r="O3" s="155" t="s">
        <v>6</v>
      </c>
      <c r="P3" s="158" t="s">
        <v>7</v>
      </c>
      <c r="Q3" s="155" t="s">
        <v>8</v>
      </c>
      <c r="R3" s="159"/>
    </row>
    <row r="4" customFormat="false" ht="15" hidden="false" customHeight="true" outlineLevel="0" collapsed="false">
      <c r="A4" s="154"/>
      <c r="B4" s="155"/>
      <c r="C4" s="155" t="s">
        <v>9</v>
      </c>
      <c r="D4" s="155" t="s">
        <v>10</v>
      </c>
      <c r="E4" s="160" t="s">
        <v>189</v>
      </c>
      <c r="F4" s="155" t="s">
        <v>12</v>
      </c>
      <c r="G4" s="155" t="s">
        <v>10</v>
      </c>
      <c r="H4" s="160" t="s">
        <v>189</v>
      </c>
      <c r="I4" s="155" t="s">
        <v>13</v>
      </c>
      <c r="J4" s="155" t="s">
        <v>10</v>
      </c>
      <c r="K4" s="160" t="s">
        <v>189</v>
      </c>
      <c r="L4" s="155" t="s">
        <v>13</v>
      </c>
      <c r="M4" s="155" t="s">
        <v>10</v>
      </c>
      <c r="N4" s="160" t="s">
        <v>189</v>
      </c>
      <c r="O4" s="155"/>
      <c r="P4" s="158"/>
      <c r="Q4" s="155"/>
      <c r="R4" s="159"/>
    </row>
    <row r="5" customFormat="false" ht="15" hidden="false" customHeight="false" outlineLevel="0" collapsed="false">
      <c r="A5" s="154"/>
      <c r="B5" s="155"/>
      <c r="C5" s="155"/>
      <c r="D5" s="155"/>
      <c r="E5" s="160"/>
      <c r="F5" s="155"/>
      <c r="G5" s="155"/>
      <c r="H5" s="160"/>
      <c r="I5" s="155"/>
      <c r="J5" s="155"/>
      <c r="K5" s="160"/>
      <c r="L5" s="155"/>
      <c r="M5" s="155"/>
      <c r="N5" s="160"/>
      <c r="O5" s="155"/>
      <c r="P5" s="158"/>
      <c r="Q5" s="155"/>
      <c r="R5" s="159"/>
    </row>
    <row r="6" customFormat="false" ht="15" hidden="false" customHeight="false" outlineLevel="0" collapsed="false">
      <c r="A6" s="154"/>
      <c r="B6" s="155"/>
      <c r="C6" s="155"/>
      <c r="D6" s="155"/>
      <c r="E6" s="160"/>
      <c r="F6" s="155"/>
      <c r="G6" s="155"/>
      <c r="H6" s="160"/>
      <c r="I6" s="155"/>
      <c r="J6" s="155"/>
      <c r="K6" s="160"/>
      <c r="L6" s="155"/>
      <c r="M6" s="155"/>
      <c r="N6" s="160"/>
      <c r="O6" s="155"/>
      <c r="P6" s="158"/>
      <c r="Q6" s="155"/>
      <c r="R6" s="159"/>
    </row>
    <row r="7" customFormat="false" ht="15" hidden="false" customHeight="false" outlineLevel="0" collapsed="false">
      <c r="A7" s="154"/>
      <c r="B7" s="155"/>
      <c r="C7" s="155"/>
      <c r="D7" s="155"/>
      <c r="E7" s="160"/>
      <c r="F7" s="155"/>
      <c r="G7" s="155"/>
      <c r="H7" s="160"/>
      <c r="I7" s="155"/>
      <c r="J7" s="155"/>
      <c r="K7" s="160"/>
      <c r="L7" s="155"/>
      <c r="M7" s="155"/>
      <c r="N7" s="160"/>
      <c r="O7" s="155"/>
      <c r="P7" s="158"/>
      <c r="Q7" s="155"/>
      <c r="R7" s="159"/>
    </row>
    <row r="8" customFormat="false" ht="15" hidden="false" customHeight="false" outlineLevel="0" collapsed="false">
      <c r="A8" s="154"/>
      <c r="B8" s="155"/>
      <c r="C8" s="155"/>
      <c r="D8" s="155"/>
      <c r="E8" s="160"/>
      <c r="F8" s="155"/>
      <c r="G8" s="155"/>
      <c r="H8" s="160"/>
      <c r="I8" s="155"/>
      <c r="J8" s="155"/>
      <c r="K8" s="160"/>
      <c r="L8" s="155"/>
      <c r="M8" s="155"/>
      <c r="N8" s="160"/>
      <c r="O8" s="155"/>
      <c r="P8" s="158"/>
      <c r="Q8" s="155"/>
      <c r="R8" s="159"/>
    </row>
    <row r="9" customFormat="false" ht="15" hidden="false" customHeight="false" outlineLevel="0" collapsed="false">
      <c r="A9" s="154" t="n">
        <v>1</v>
      </c>
      <c r="B9" s="154" t="n">
        <v>2</v>
      </c>
      <c r="C9" s="156" t="n">
        <v>3</v>
      </c>
      <c r="D9" s="156" t="n">
        <v>4</v>
      </c>
      <c r="E9" s="161" t="n">
        <v>5</v>
      </c>
      <c r="F9" s="156" t="n">
        <v>6</v>
      </c>
      <c r="G9" s="156" t="n">
        <v>7</v>
      </c>
      <c r="H9" s="156" t="n">
        <v>8</v>
      </c>
      <c r="I9" s="156" t="n">
        <v>11</v>
      </c>
      <c r="J9" s="156" t="n">
        <v>12</v>
      </c>
      <c r="K9" s="156" t="n">
        <v>13</v>
      </c>
      <c r="L9" s="156" t="n">
        <v>17</v>
      </c>
      <c r="M9" s="156" t="n">
        <v>18</v>
      </c>
      <c r="N9" s="156" t="n">
        <v>19</v>
      </c>
      <c r="O9" s="156" t="n">
        <v>20</v>
      </c>
      <c r="P9" s="161" t="n">
        <v>21</v>
      </c>
      <c r="Q9" s="156" t="n">
        <v>22</v>
      </c>
      <c r="R9" s="162"/>
    </row>
    <row r="10" customFormat="false" ht="28.5" hidden="false" customHeight="true" outlineLevel="0" collapsed="false">
      <c r="A10" s="163" t="n">
        <v>1</v>
      </c>
      <c r="B10" s="164" t="s">
        <v>213</v>
      </c>
      <c r="C10" s="161" t="n">
        <f aca="false">C140</f>
        <v>134636236</v>
      </c>
      <c r="D10" s="161" t="n">
        <f aca="false">D140</f>
        <v>132601033</v>
      </c>
      <c r="E10" s="165" t="n">
        <f aca="false">E140</f>
        <v>1.53483193452951</v>
      </c>
      <c r="F10" s="161" t="n">
        <f aca="false">F140</f>
        <v>12941749</v>
      </c>
      <c r="G10" s="166" t="n">
        <f aca="false">G140</f>
        <v>14421258</v>
      </c>
      <c r="H10" s="167" t="n">
        <f aca="false">H140</f>
        <v>-10.2592228777822</v>
      </c>
      <c r="I10" s="166" t="n">
        <f aca="false">I140</f>
        <v>122365563</v>
      </c>
      <c r="J10" s="166" t="n">
        <f aca="false">J140</f>
        <v>123844141</v>
      </c>
      <c r="K10" s="167" t="n">
        <f aca="false">K140</f>
        <v>-1.1939022613916</v>
      </c>
      <c r="L10" s="161" t="n">
        <f aca="false">L140</f>
        <v>84256627</v>
      </c>
      <c r="M10" s="161" t="n">
        <f aca="false">M140</f>
        <v>78606208</v>
      </c>
      <c r="N10" s="165" t="n">
        <f aca="false">N140</f>
        <v>7.18826049973052</v>
      </c>
      <c r="O10" s="161" t="n">
        <f aca="false">O140</f>
        <v>5935</v>
      </c>
      <c r="P10" s="165" t="n">
        <f aca="false">P140</f>
        <v>176.272283066554</v>
      </c>
      <c r="Q10" s="161" t="n">
        <f aca="false">Q140</f>
        <v>5934</v>
      </c>
      <c r="R10" s="161" t="n">
        <f aca="false">R140</f>
        <v>1046176</v>
      </c>
    </row>
    <row r="11" customFormat="false" ht="28.5" hidden="false" customHeight="true" outlineLevel="0" collapsed="false">
      <c r="A11" s="163"/>
      <c r="B11" s="164" t="s">
        <v>15</v>
      </c>
      <c r="C11" s="161" t="n">
        <f aca="false">C151</f>
        <v>125180097</v>
      </c>
      <c r="D11" s="161" t="n">
        <f aca="false">D151</f>
        <v>121669693</v>
      </c>
      <c r="E11" s="165" t="n">
        <f aca="false">E151</f>
        <v>2.88519179546216</v>
      </c>
      <c r="F11" s="161" t="n">
        <f aca="false">F151</f>
        <v>11481773</v>
      </c>
      <c r="G11" s="161" t="n">
        <f aca="false">G151</f>
        <v>14264452</v>
      </c>
      <c r="H11" s="165" t="n">
        <f aca="false">H151</f>
        <v>-19.5077876107684</v>
      </c>
      <c r="I11" s="161" t="n">
        <f aca="false">I151</f>
        <v>116763390</v>
      </c>
      <c r="J11" s="161" t="n">
        <f aca="false">J151</f>
        <v>119234656</v>
      </c>
      <c r="K11" s="165" t="n">
        <f aca="false">K151</f>
        <v>-2.07260714535882</v>
      </c>
      <c r="L11" s="161" t="n">
        <f aca="false">L151</f>
        <v>110408856</v>
      </c>
      <c r="M11" s="161" t="n">
        <f aca="false">M151</f>
        <v>114109165</v>
      </c>
      <c r="N11" s="165" t="n">
        <f aca="false">N151</f>
        <v>-3.24277984156663</v>
      </c>
      <c r="O11" s="161" t="n">
        <f aca="false">O151</f>
        <v>3710</v>
      </c>
      <c r="P11" s="161" t="n">
        <f aca="false">P151</f>
        <v>130.443396226415</v>
      </c>
      <c r="Q11" s="161" t="n">
        <f aca="false">Q151</f>
        <v>3685</v>
      </c>
      <c r="R11" s="168" t="n">
        <f aca="false">O11*P11</f>
        <v>483945</v>
      </c>
    </row>
    <row r="12" customFormat="false" ht="28.5" hidden="false" customHeight="true" outlineLevel="0" collapsed="false">
      <c r="A12" s="163" t="n">
        <v>2</v>
      </c>
      <c r="B12" s="164" t="s">
        <v>16</v>
      </c>
      <c r="C12" s="161" t="n">
        <f aca="false">C162</f>
        <v>10320235</v>
      </c>
      <c r="D12" s="161" t="n">
        <f aca="false">D162</f>
        <v>10323313</v>
      </c>
      <c r="E12" s="165" t="n">
        <f aca="false">E162</f>
        <v>-0.0298160096472913</v>
      </c>
      <c r="F12" s="161" t="n">
        <f aca="false">F162</f>
        <v>1578966</v>
      </c>
      <c r="G12" s="166" t="n">
        <f aca="false">G162</f>
        <v>1429396</v>
      </c>
      <c r="H12" s="167" t="n">
        <f aca="false">H162</f>
        <v>10.463860259858</v>
      </c>
      <c r="I12" s="166" t="n">
        <f aca="false">I162</f>
        <v>10973407</v>
      </c>
      <c r="J12" s="166" t="n">
        <f aca="false">J162</f>
        <v>10546701</v>
      </c>
      <c r="K12" s="167" t="n">
        <f aca="false">K162</f>
        <v>4.04587178493065</v>
      </c>
      <c r="L12" s="161" t="n">
        <f aca="false">L162</f>
        <v>4848545</v>
      </c>
      <c r="M12" s="161" t="n">
        <f aca="false">M162</f>
        <v>2839406</v>
      </c>
      <c r="N12" s="165" t="n">
        <f aca="false">N162</f>
        <v>70.7591306068945</v>
      </c>
      <c r="O12" s="161" t="n">
        <f aca="false">O162</f>
        <v>1498</v>
      </c>
      <c r="P12" s="165" t="n">
        <f aca="false">P162</f>
        <v>97.3104138851802</v>
      </c>
      <c r="Q12" s="161" t="n">
        <f aca="false">Q162</f>
        <v>1268</v>
      </c>
      <c r="R12" s="168" t="n">
        <f aca="false">O12*P12</f>
        <v>145771</v>
      </c>
    </row>
    <row r="13" customFormat="false" ht="28.5" hidden="false" customHeight="true" outlineLevel="0" collapsed="false">
      <c r="A13" s="163" t="n">
        <v>3</v>
      </c>
      <c r="B13" s="164" t="s">
        <v>17</v>
      </c>
      <c r="C13" s="161" t="n">
        <f aca="false">C209</f>
        <v>10958605</v>
      </c>
      <c r="D13" s="161" t="n">
        <f aca="false">D209</f>
        <v>9748481</v>
      </c>
      <c r="E13" s="165" t="n">
        <f aca="false">E209</f>
        <v>12.4134621588738</v>
      </c>
      <c r="F13" s="161" t="n">
        <f aca="false">F209</f>
        <v>1003698</v>
      </c>
      <c r="G13" s="161" t="n">
        <f aca="false">G209</f>
        <v>1035497</v>
      </c>
      <c r="H13" s="161" t="n">
        <f aca="false">H209</f>
        <v>-3.07089252793587</v>
      </c>
      <c r="I13" s="161" t="n">
        <f aca="false">I209</f>
        <v>10916482</v>
      </c>
      <c r="J13" s="161" t="n">
        <f aca="false">J209</f>
        <v>8945943</v>
      </c>
      <c r="K13" s="165" t="n">
        <f aca="false">K209</f>
        <v>22.0271803654461</v>
      </c>
      <c r="L13" s="161" t="n">
        <f aca="false">L209</f>
        <v>6560989</v>
      </c>
      <c r="M13" s="161" t="n">
        <f aca="false">M209</f>
        <v>5357337</v>
      </c>
      <c r="N13" s="165" t="n">
        <f aca="false">N209</f>
        <v>22.4673564496689</v>
      </c>
      <c r="O13" s="161" t="n">
        <f aca="false">O209</f>
        <v>565</v>
      </c>
      <c r="P13" s="161" t="n">
        <f aca="false">P209</f>
        <v>111.642477876106</v>
      </c>
      <c r="Q13" s="161" t="n">
        <f aca="false">Q209</f>
        <v>575</v>
      </c>
      <c r="R13" s="161" t="n">
        <f aca="false">R209</f>
        <v>63078</v>
      </c>
    </row>
    <row r="14" customFormat="false" ht="28.5" hidden="false" customHeight="true" outlineLevel="0" collapsed="false">
      <c r="A14" s="163" t="n">
        <v>4</v>
      </c>
      <c r="B14" s="164" t="s">
        <v>229</v>
      </c>
      <c r="C14" s="161" t="n">
        <f aca="false">C55</f>
        <v>1909583</v>
      </c>
      <c r="D14" s="166" t="n">
        <f aca="false">D55</f>
        <v>3055650</v>
      </c>
      <c r="E14" s="167" t="n">
        <f aca="false">E55</f>
        <v>-37.5064879812806</v>
      </c>
      <c r="F14" s="166" t="n">
        <f aca="false">F55</f>
        <v>191788</v>
      </c>
      <c r="G14" s="166" t="n">
        <f aca="false">G55</f>
        <v>321104</v>
      </c>
      <c r="H14" s="167" t="n">
        <f aca="false">H55</f>
        <v>-40.2723105286761</v>
      </c>
      <c r="I14" s="166" t="n">
        <f aca="false">I55</f>
        <v>1859594</v>
      </c>
      <c r="J14" s="166" t="n">
        <f aca="false">J55</f>
        <v>2498755</v>
      </c>
      <c r="K14" s="167" t="n">
        <f aca="false">K55</f>
        <v>-25.5791784308586</v>
      </c>
      <c r="L14" s="166" t="n">
        <f aca="false">L55</f>
        <v>849752</v>
      </c>
      <c r="M14" s="166" t="n">
        <f aca="false">M55</f>
        <v>1442567</v>
      </c>
      <c r="N14" s="167" t="n">
        <f aca="false">N55</f>
        <v>-41.0944517654986</v>
      </c>
      <c r="O14" s="166" t="n">
        <f aca="false">O55</f>
        <v>835</v>
      </c>
      <c r="P14" s="167" t="n">
        <f aca="false">P55</f>
        <v>124.323353293413</v>
      </c>
      <c r="Q14" s="166" t="n">
        <f aca="false">Q55</f>
        <v>839</v>
      </c>
      <c r="R14" s="168" t="n">
        <f aca="false">O14*P14</f>
        <v>103810</v>
      </c>
    </row>
    <row r="15" customFormat="false" ht="28.5" hidden="false" customHeight="true" outlineLevel="0" collapsed="false">
      <c r="A15" s="163" t="n">
        <v>5</v>
      </c>
      <c r="B15" s="164" t="s">
        <v>19</v>
      </c>
      <c r="C15" s="161" t="n">
        <f aca="false">C67</f>
        <v>1181011</v>
      </c>
      <c r="D15" s="166" t="n">
        <f aca="false">D67</f>
        <v>1293725</v>
      </c>
      <c r="E15" s="167" t="n">
        <f aca="false">E67</f>
        <v>-8.71236159152834</v>
      </c>
      <c r="F15" s="166" t="n">
        <f aca="false">F67</f>
        <v>147064</v>
      </c>
      <c r="G15" s="166" t="n">
        <f aca="false">G67</f>
        <v>204211</v>
      </c>
      <c r="H15" s="167" t="n">
        <f aca="false">H67</f>
        <v>-27.9842907580884</v>
      </c>
      <c r="I15" s="166" t="n">
        <f aca="false">I67</f>
        <v>1220127</v>
      </c>
      <c r="J15" s="166" t="n">
        <f aca="false">J67</f>
        <v>1286588</v>
      </c>
      <c r="K15" s="167" t="n">
        <f aca="false">K67</f>
        <v>-5.16567852335014</v>
      </c>
      <c r="L15" s="166" t="n">
        <f aca="false">L67</f>
        <v>751340</v>
      </c>
      <c r="M15" s="166" t="n">
        <f aca="false">M67</f>
        <v>820561</v>
      </c>
      <c r="N15" s="167" t="n">
        <f aca="false">N67</f>
        <v>-8.43581403454466</v>
      </c>
      <c r="O15" s="166" t="n">
        <f aca="false">O67</f>
        <v>556</v>
      </c>
      <c r="P15" s="167" t="n">
        <f aca="false">P67</f>
        <v>108.280575539568</v>
      </c>
      <c r="Q15" s="166" t="n">
        <f aca="false">Q67</f>
        <v>556</v>
      </c>
      <c r="R15" s="168" t="n">
        <f aca="false">O15*P15</f>
        <v>60204</v>
      </c>
    </row>
    <row r="16" customFormat="false" ht="28.5" hidden="false" customHeight="true" outlineLevel="0" collapsed="false">
      <c r="A16" s="163" t="n">
        <v>6</v>
      </c>
      <c r="B16" s="164" t="s">
        <v>20</v>
      </c>
      <c r="C16" s="161" t="n">
        <f aca="false">C78</f>
        <v>1152166</v>
      </c>
      <c r="D16" s="166" t="n">
        <f aca="false">D78</f>
        <v>1292201</v>
      </c>
      <c r="E16" s="167" t="n">
        <f aca="false">E78</f>
        <v>-10.836936358972</v>
      </c>
      <c r="F16" s="166" t="n">
        <f aca="false">F78</f>
        <v>109929</v>
      </c>
      <c r="G16" s="166" t="n">
        <f aca="false">G78</f>
        <v>109386</v>
      </c>
      <c r="H16" s="167" t="n">
        <f aca="false">H78</f>
        <v>0.496407218474033</v>
      </c>
      <c r="I16" s="166" t="n">
        <f aca="false">I78</f>
        <v>1192391</v>
      </c>
      <c r="J16" s="166" t="n">
        <f aca="false">J78</f>
        <v>1356391</v>
      </c>
      <c r="K16" s="167" t="n">
        <f aca="false">K78</f>
        <v>-12.0909088898408</v>
      </c>
      <c r="L16" s="166" t="n">
        <f aca="false">L78</f>
        <v>639354</v>
      </c>
      <c r="M16" s="166" t="n">
        <f aca="false">M78</f>
        <v>710482</v>
      </c>
      <c r="N16" s="167" t="n">
        <f aca="false">N78</f>
        <v>-10.0112318116434</v>
      </c>
      <c r="O16" s="166" t="n">
        <f aca="false">O78</f>
        <v>525</v>
      </c>
      <c r="P16" s="167" t="n">
        <f aca="false">P78</f>
        <v>102.771428571429</v>
      </c>
      <c r="Q16" s="166" t="n">
        <f aca="false">Q78</f>
        <v>552</v>
      </c>
      <c r="R16" s="168" t="n">
        <f aca="false">O16*P16</f>
        <v>53955</v>
      </c>
    </row>
    <row r="17" customFormat="false" ht="28.5" hidden="false" customHeight="true" outlineLevel="0" collapsed="false">
      <c r="A17" s="163" t="n">
        <v>7</v>
      </c>
      <c r="B17" s="164" t="s">
        <v>21</v>
      </c>
      <c r="C17" s="161" t="n">
        <f aca="false">C93</f>
        <v>5227811</v>
      </c>
      <c r="D17" s="166" t="n">
        <f aca="false">D93</f>
        <v>4569909</v>
      </c>
      <c r="E17" s="167" t="n">
        <f aca="false">E93</f>
        <v>14.3963917005787</v>
      </c>
      <c r="F17" s="166" t="n">
        <f aca="false">F93</f>
        <v>678282</v>
      </c>
      <c r="G17" s="166" t="n">
        <f aca="false">G93</f>
        <v>651028</v>
      </c>
      <c r="H17" s="167" t="n">
        <f aca="false">H93</f>
        <v>4.18630227885744</v>
      </c>
      <c r="I17" s="166" t="n">
        <f aca="false">I93</f>
        <v>5357922</v>
      </c>
      <c r="J17" s="166" t="n">
        <f aca="false">J93</f>
        <v>5100889</v>
      </c>
      <c r="K17" s="167" t="n">
        <f aca="false">K93</f>
        <v>5.03898438095791</v>
      </c>
      <c r="L17" s="166" t="n">
        <f aca="false">L93</f>
        <v>2887283</v>
      </c>
      <c r="M17" s="166" t="n">
        <f aca="false">M93</f>
        <v>2391516</v>
      </c>
      <c r="N17" s="167" t="n">
        <f aca="false">N93</f>
        <v>20.7302397307816</v>
      </c>
      <c r="O17" s="166" t="n">
        <f aca="false">O93</f>
        <v>3879</v>
      </c>
      <c r="P17" s="167" t="n">
        <f aca="false">P93</f>
        <v>119.648620778551</v>
      </c>
      <c r="Q17" s="166" t="n">
        <f aca="false">Q93</f>
        <v>3951</v>
      </c>
      <c r="R17" s="168" t="n">
        <f aca="false">O17*P17</f>
        <v>464117</v>
      </c>
    </row>
    <row r="18" customFormat="false" ht="28.5" hidden="false" customHeight="true" outlineLevel="0" collapsed="false">
      <c r="A18" s="163" t="n">
        <v>8</v>
      </c>
      <c r="B18" s="164" t="s">
        <v>22</v>
      </c>
      <c r="C18" s="161" t="n">
        <f aca="false">C190</f>
        <v>84583301</v>
      </c>
      <c r="D18" s="161" t="n">
        <f aca="false">D190</f>
        <v>75042037</v>
      </c>
      <c r="E18" s="165" t="n">
        <f aca="false">E190</f>
        <v>12.7145589078292</v>
      </c>
      <c r="F18" s="161" t="n">
        <f aca="false">F190</f>
        <v>10767735</v>
      </c>
      <c r="G18" s="161" t="n">
        <f aca="false">G190</f>
        <v>8952363</v>
      </c>
      <c r="H18" s="165" t="n">
        <f aca="false">H190</f>
        <v>20.2781321534884</v>
      </c>
      <c r="I18" s="161" t="n">
        <f aca="false">I190</f>
        <v>75887215</v>
      </c>
      <c r="J18" s="161" t="n">
        <f aca="false">J190</f>
        <v>66741885</v>
      </c>
      <c r="K18" s="165" t="n">
        <f aca="false">K190</f>
        <v>13.7025347725795</v>
      </c>
      <c r="L18" s="161" t="n">
        <f aca="false">L190</f>
        <v>37594165</v>
      </c>
      <c r="M18" s="161" t="n">
        <f aca="false">M190</f>
        <v>27459347</v>
      </c>
      <c r="N18" s="165" t="n">
        <f aca="false">N190</f>
        <v>36.9084450551574</v>
      </c>
      <c r="O18" s="161" t="n">
        <f aca="false">O190</f>
        <v>5242</v>
      </c>
      <c r="P18" s="165" t="n">
        <f aca="false">P190</f>
        <v>44.9992369324685</v>
      </c>
      <c r="Q18" s="161" t="n">
        <f aca="false">Q190</f>
        <v>5185</v>
      </c>
      <c r="R18" s="161" t="n">
        <f aca="false">R190</f>
        <v>235886</v>
      </c>
    </row>
    <row r="19" customFormat="false" ht="28.5" hidden="false" customHeight="true" outlineLevel="0" collapsed="false">
      <c r="A19" s="163" t="n">
        <v>9</v>
      </c>
      <c r="B19" s="164" t="s">
        <v>23</v>
      </c>
      <c r="C19" s="161" t="n">
        <f aca="false">C121</f>
        <v>2691759</v>
      </c>
      <c r="D19" s="166" t="n">
        <f aca="false">D121</f>
        <v>2630231</v>
      </c>
      <c r="E19" s="167" t="n">
        <f aca="false">E121</f>
        <v>2.33926221689273</v>
      </c>
      <c r="F19" s="166" t="n">
        <f aca="false">F121</f>
        <v>313422</v>
      </c>
      <c r="G19" s="166" t="n">
        <f aca="false">G121</f>
        <v>367757</v>
      </c>
      <c r="H19" s="167" t="n">
        <f aca="false">H121</f>
        <v>-14.7747017731817</v>
      </c>
      <c r="I19" s="166" t="n">
        <f aca="false">I121</f>
        <v>2727359</v>
      </c>
      <c r="J19" s="166" t="n">
        <f aca="false">J121</f>
        <v>2633752</v>
      </c>
      <c r="K19" s="167" t="n">
        <f aca="false">K121</f>
        <v>3.55413114066927</v>
      </c>
      <c r="L19" s="166" t="n">
        <f aca="false">L121</f>
        <v>1184954</v>
      </c>
      <c r="M19" s="166" t="n">
        <f aca="false">M121</f>
        <v>1153838</v>
      </c>
      <c r="N19" s="167" t="n">
        <f aca="false">N121</f>
        <v>2.69673905695601</v>
      </c>
      <c r="O19" s="166" t="n">
        <f aca="false">O121</f>
        <v>1824</v>
      </c>
      <c r="P19" s="167" t="n">
        <f aca="false">P121</f>
        <v>77.7434210526316</v>
      </c>
      <c r="Q19" s="166" t="n">
        <f aca="false">Q121</f>
        <v>1970</v>
      </c>
      <c r="R19" s="168" t="n">
        <f aca="false">O19*P19</f>
        <v>141804</v>
      </c>
    </row>
    <row r="20" customFormat="false" ht="28.5" hidden="false" customHeight="true" outlineLevel="0" collapsed="false">
      <c r="A20" s="163" t="n">
        <v>10</v>
      </c>
      <c r="B20" s="164" t="s">
        <v>24</v>
      </c>
      <c r="C20" s="161" t="n">
        <f aca="false">C132</f>
        <v>137170</v>
      </c>
      <c r="D20" s="166" t="n">
        <f aca="false">D132</f>
        <v>213084</v>
      </c>
      <c r="E20" s="167" t="n">
        <f aca="false">E132</f>
        <v>-35.6263257682416</v>
      </c>
      <c r="F20" s="166" t="n">
        <f aca="false">F132</f>
        <v>4611</v>
      </c>
      <c r="G20" s="166" t="n">
        <f aca="false">G132</f>
        <v>9137</v>
      </c>
      <c r="H20" s="167" t="n">
        <f aca="false">H132</f>
        <v>-49.5348582685783</v>
      </c>
      <c r="I20" s="166" t="n">
        <f aca="false">I132</f>
        <v>101884</v>
      </c>
      <c r="J20" s="166" t="n">
        <f aca="false">J132</f>
        <v>248901</v>
      </c>
      <c r="K20" s="167" t="n">
        <f aca="false">K132</f>
        <v>-59.0664561411967</v>
      </c>
      <c r="L20" s="166" t="n">
        <f aca="false">L132</f>
        <v>19451</v>
      </c>
      <c r="M20" s="166" t="n">
        <f aca="false">M132</f>
        <v>0</v>
      </c>
      <c r="N20" s="167" t="n">
        <f aca="false">N132</f>
        <v>0</v>
      </c>
      <c r="O20" s="166" t="n">
        <f aca="false">O132</f>
        <v>106</v>
      </c>
      <c r="P20" s="167" t="n">
        <f aca="false">P132</f>
        <v>83.7735849056604</v>
      </c>
      <c r="Q20" s="166" t="n">
        <f aca="false">Q132</f>
        <v>107</v>
      </c>
      <c r="R20" s="168" t="n">
        <f aca="false">O20*P20</f>
        <v>8880</v>
      </c>
    </row>
    <row r="21" customFormat="false" ht="28.5" hidden="false" customHeight="true" outlineLevel="0" collapsed="false">
      <c r="A21" s="163" t="n">
        <v>11</v>
      </c>
      <c r="B21" s="164" t="s">
        <v>25</v>
      </c>
      <c r="C21" s="161" t="n">
        <f aca="false">C222</f>
        <v>798463.3</v>
      </c>
      <c r="D21" s="166" t="n">
        <f aca="false">D222</f>
        <v>921807.7</v>
      </c>
      <c r="E21" s="167" t="n">
        <f aca="false">E222</f>
        <v>-13.3807083624925</v>
      </c>
      <c r="F21" s="166" t="n">
        <f aca="false">F222</f>
        <v>96930.9</v>
      </c>
      <c r="G21" s="166" t="n">
        <f aca="false">G222</f>
        <v>96389</v>
      </c>
      <c r="H21" s="167" t="n">
        <f aca="false">H222</f>
        <v>0.562201081036221</v>
      </c>
      <c r="I21" s="166" t="n">
        <f aca="false">I222</f>
        <v>437493.1</v>
      </c>
      <c r="J21" s="166" t="n">
        <f aca="false">J222</f>
        <v>616341.1</v>
      </c>
      <c r="K21" s="167" t="n">
        <f aca="false">K222</f>
        <v>-29.0176981544797</v>
      </c>
      <c r="L21" s="166" t="n">
        <f aca="false">L222</f>
        <v>3595</v>
      </c>
      <c r="M21" s="166" t="n">
        <f aca="false">M222</f>
        <v>93536</v>
      </c>
      <c r="N21" s="167" t="n">
        <f aca="false">N222</f>
        <v>-96.1565600410537</v>
      </c>
      <c r="O21" s="166" t="n">
        <f aca="false">O222</f>
        <v>538</v>
      </c>
      <c r="P21" s="167" t="n">
        <f aca="false">P222</f>
        <v>160.03717472119</v>
      </c>
      <c r="Q21" s="166" t="n">
        <f aca="false">Q222</f>
        <v>542</v>
      </c>
      <c r="R21" s="168" t="n">
        <f aca="false">O21*P21</f>
        <v>86100</v>
      </c>
    </row>
    <row r="22" customFormat="false" ht="28.5" hidden="false" customHeight="true" outlineLevel="0" collapsed="false">
      <c r="A22" s="163" t="n">
        <v>12</v>
      </c>
      <c r="B22" s="164" t="s">
        <v>26</v>
      </c>
      <c r="C22" s="161" t="n">
        <f aca="false">C227</f>
        <v>210306</v>
      </c>
      <c r="D22" s="166" t="n">
        <f aca="false">D227</f>
        <v>271225</v>
      </c>
      <c r="E22" s="167" t="n">
        <f aca="false">E227</f>
        <v>-22.4606876209789</v>
      </c>
      <c r="F22" s="166" t="n">
        <f aca="false">F227</f>
        <v>63972</v>
      </c>
      <c r="G22" s="166" t="n">
        <f aca="false">G227</f>
        <v>74431</v>
      </c>
      <c r="H22" s="167" t="n">
        <f aca="false">H227</f>
        <v>-14.0519407236232</v>
      </c>
      <c r="I22" s="166" t="n">
        <f aca="false">I227</f>
        <v>210478</v>
      </c>
      <c r="J22" s="166" t="n">
        <f aca="false">J227</f>
        <v>248795</v>
      </c>
      <c r="K22" s="167" t="n">
        <f aca="false">K227</f>
        <v>-15.4010329789586</v>
      </c>
      <c r="L22" s="166" t="n">
        <f aca="false">L227</f>
        <v>75180</v>
      </c>
      <c r="M22" s="166" t="n">
        <f aca="false">M227</f>
        <v>83244</v>
      </c>
      <c r="N22" s="167" t="n">
        <f aca="false">N227</f>
        <v>-9.68718466195762</v>
      </c>
      <c r="O22" s="166" t="n">
        <f aca="false">O227</f>
        <v>219</v>
      </c>
      <c r="P22" s="167" t="n">
        <f aca="false">P227</f>
        <v>78.0958904109589</v>
      </c>
      <c r="Q22" s="166" t="n">
        <f aca="false">Q227</f>
        <v>216</v>
      </c>
      <c r="R22" s="168" t="n">
        <f aca="false">O22*P22</f>
        <v>17103</v>
      </c>
    </row>
    <row r="23" customFormat="false" ht="15" hidden="false" customHeight="false" outlineLevel="0" collapsed="false">
      <c r="A23" s="307"/>
      <c r="B23" s="308" t="s">
        <v>27</v>
      </c>
      <c r="C23" s="309" t="n">
        <f aca="false">SUM(C10:C22)</f>
        <v>378986743.3</v>
      </c>
      <c r="D23" s="309" t="n">
        <f aca="false">SUM(D10:D22)</f>
        <v>363632389.7</v>
      </c>
      <c r="E23" s="310" t="n">
        <f aca="false">C23/D23*100-100</f>
        <v>4.22249338478002</v>
      </c>
      <c r="F23" s="309" t="n">
        <f aca="false">SUM(F10:F22)</f>
        <v>39379919.9</v>
      </c>
      <c r="G23" s="309" t="n">
        <f aca="false">SUM(G10:G22)</f>
        <v>41936409</v>
      </c>
      <c r="H23" s="310" t="n">
        <f aca="false">F23/G23*100-100</f>
        <v>-6.09610875361312</v>
      </c>
      <c r="I23" s="309" t="n">
        <f aca="false">SUM(I10:I22)</f>
        <v>350013305.1</v>
      </c>
      <c r="J23" s="309" t="n">
        <f aca="false">SUM(J10:J22)</f>
        <v>343303738.1</v>
      </c>
      <c r="K23" s="310" t="n">
        <f aca="false">I23/J23*100-100</f>
        <v>1.95441128521752</v>
      </c>
      <c r="L23" s="309" t="n">
        <f aca="false">SUM(L10:L22)</f>
        <v>250080091</v>
      </c>
      <c r="M23" s="309" t="n">
        <f aca="false">SUM(M10:M22)</f>
        <v>235067207</v>
      </c>
      <c r="N23" s="310" t="n">
        <f aca="false">L23/M23*100-100</f>
        <v>6.38663478058001</v>
      </c>
      <c r="O23" s="309" t="n">
        <f aca="false">SUM(O10:O22)</f>
        <v>25432</v>
      </c>
      <c r="P23" s="311" t="n">
        <f aca="false">R23/O23</f>
        <v>114.455371185908</v>
      </c>
      <c r="Q23" s="309" t="n">
        <f aca="false">SUM(Q10:Q22)</f>
        <v>25380</v>
      </c>
      <c r="R23" s="312" t="n">
        <f aca="false">SUM(R10:R22)</f>
        <v>2910829</v>
      </c>
    </row>
    <row r="24" customFormat="false" ht="15" hidden="false" customHeight="false" outlineLevel="0" collapsed="false">
      <c r="A24" s="173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3"/>
      <c r="Q24" s="173"/>
      <c r="R24" s="174"/>
    </row>
    <row r="25" customFormat="false" ht="15" hidden="false" customHeight="false" outlineLevel="0" collapsed="false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6"/>
      <c r="Q25" s="176"/>
      <c r="R25" s="177"/>
    </row>
    <row r="26" customFormat="false" ht="15" hidden="false" customHeight="false" outlineLevel="0" collapsed="false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7" customFormat="false" ht="15" hidden="false" customHeight="false" outlineLevel="0" collapsed="false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</row>
    <row r="28" customFormat="false" ht="15" hidden="false" customHeight="false" outlineLevel="0" collapsed="false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</row>
    <row r="29" customFormat="false" ht="102.75" hidden="false" customHeight="true" outlineLevel="0" collapsed="false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customFormat="false" ht="15" hidden="false" customHeight="true" outlineLevel="0" collapsed="false">
      <c r="A30" s="178" t="s">
        <v>247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</row>
    <row r="31" customFormat="false" ht="15" hidden="false" customHeight="false" outlineLevel="0" collapsed="false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9"/>
    </row>
    <row r="32" customFormat="false" ht="15.75" hidden="false" customHeight="false" outlineLevel="0" collapsed="false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80"/>
    </row>
    <row r="33" customFormat="false" ht="24.75" hidden="false" customHeight="true" outlineLevel="0" collapsed="false">
      <c r="A33" s="181" t="s">
        <v>1</v>
      </c>
      <c r="B33" s="182" t="s">
        <v>29</v>
      </c>
      <c r="C33" s="183" t="s">
        <v>3</v>
      </c>
      <c r="D33" s="183"/>
      <c r="E33" s="183"/>
      <c r="F33" s="183"/>
      <c r="G33" s="183"/>
      <c r="H33" s="183" t="s">
        <v>4</v>
      </c>
      <c r="I33" s="183"/>
      <c r="J33" s="183"/>
      <c r="K33" s="183"/>
      <c r="L33" s="183"/>
      <c r="M33" s="183" t="s">
        <v>5</v>
      </c>
      <c r="N33" s="184"/>
      <c r="O33" s="182" t="s">
        <v>30</v>
      </c>
      <c r="P33" s="185" t="s">
        <v>31</v>
      </c>
      <c r="Q33" s="186" t="s">
        <v>32</v>
      </c>
      <c r="R33" s="187"/>
    </row>
    <row r="34" customFormat="false" ht="60" hidden="false" customHeight="false" outlineLevel="0" collapsed="false">
      <c r="A34" s="181"/>
      <c r="B34" s="182"/>
      <c r="C34" s="186" t="s">
        <v>9</v>
      </c>
      <c r="D34" s="186" t="s">
        <v>33</v>
      </c>
      <c r="E34" s="188" t="s">
        <v>189</v>
      </c>
      <c r="F34" s="186" t="s">
        <v>12</v>
      </c>
      <c r="G34" s="186" t="s">
        <v>35</v>
      </c>
      <c r="H34" s="188" t="s">
        <v>189</v>
      </c>
      <c r="I34" s="186" t="s">
        <v>13</v>
      </c>
      <c r="J34" s="186" t="s">
        <v>33</v>
      </c>
      <c r="K34" s="188" t="s">
        <v>189</v>
      </c>
      <c r="L34" s="186" t="s">
        <v>13</v>
      </c>
      <c r="M34" s="186" t="s">
        <v>33</v>
      </c>
      <c r="N34" s="188" t="s">
        <v>189</v>
      </c>
      <c r="O34" s="182"/>
      <c r="P34" s="185"/>
      <c r="Q34" s="186"/>
      <c r="R34" s="189"/>
    </row>
    <row r="35" customFormat="false" ht="15" hidden="false" customHeight="false" outlineLevel="0" collapsed="false">
      <c r="A35" s="190"/>
      <c r="B35" s="191" t="s">
        <v>186</v>
      </c>
      <c r="C35" s="190"/>
      <c r="D35" s="190"/>
      <c r="E35" s="190"/>
      <c r="F35" s="190"/>
      <c r="G35" s="190"/>
      <c r="H35" s="190"/>
      <c r="I35" s="190"/>
      <c r="J35" s="190"/>
      <c r="K35" s="192"/>
      <c r="L35" s="190"/>
      <c r="M35" s="190"/>
      <c r="N35" s="190"/>
      <c r="O35" s="190"/>
      <c r="P35" s="193"/>
      <c r="Q35" s="193"/>
      <c r="R35" s="194"/>
    </row>
    <row r="36" customFormat="false" ht="15" hidden="false" customHeight="false" outlineLevel="0" collapsed="false">
      <c r="A36" s="195" t="s">
        <v>37</v>
      </c>
      <c r="B36" s="195"/>
      <c r="C36" s="195" t="n">
        <v>3</v>
      </c>
      <c r="D36" s="195" t="n">
        <v>4</v>
      </c>
      <c r="E36" s="196" t="n">
        <v>5</v>
      </c>
      <c r="F36" s="195" t="n">
        <v>6</v>
      </c>
      <c r="G36" s="195" t="n">
        <v>7</v>
      </c>
      <c r="H36" s="195" t="n">
        <v>8</v>
      </c>
      <c r="I36" s="195" t="n">
        <v>9</v>
      </c>
      <c r="J36" s="195" t="n">
        <v>10</v>
      </c>
      <c r="K36" s="195" t="n">
        <v>11</v>
      </c>
      <c r="L36" s="195" t="n">
        <v>12</v>
      </c>
      <c r="M36" s="195" t="n">
        <v>13</v>
      </c>
      <c r="N36" s="195" t="n">
        <v>14</v>
      </c>
      <c r="O36" s="195" t="n">
        <v>15</v>
      </c>
      <c r="P36" s="196" t="n">
        <v>16</v>
      </c>
      <c r="Q36" s="195" t="n">
        <v>17</v>
      </c>
      <c r="R36" s="197"/>
    </row>
    <row r="37" customFormat="false" ht="15" hidden="false" customHeight="false" outlineLevel="0" collapsed="false">
      <c r="A37" s="198" t="n">
        <v>1</v>
      </c>
      <c r="B37" s="199" t="s">
        <v>38</v>
      </c>
      <c r="C37" s="200" t="n">
        <v>93098</v>
      </c>
      <c r="D37" s="200" t="n">
        <v>120426</v>
      </c>
      <c r="E37" s="201" t="n">
        <f aca="false">C37/D37*100-100</f>
        <v>-22.6927739856842</v>
      </c>
      <c r="F37" s="200" t="n">
        <v>8429</v>
      </c>
      <c r="G37" s="200" t="n">
        <v>4294</v>
      </c>
      <c r="H37" s="201" t="n">
        <f aca="false">F37/G37*100-100</f>
        <v>96.2971588262692</v>
      </c>
      <c r="I37" s="200" t="n">
        <v>93098</v>
      </c>
      <c r="J37" s="200" t="n">
        <v>120426</v>
      </c>
      <c r="K37" s="201" t="n">
        <f aca="false">I37/J37*100-100</f>
        <v>-22.6927739856842</v>
      </c>
      <c r="L37" s="200" t="n">
        <v>1672</v>
      </c>
      <c r="M37" s="200" t="n">
        <v>5504</v>
      </c>
      <c r="N37" s="201" t="n">
        <f aca="false">L37/M37*100-100</f>
        <v>-69.6220930232558</v>
      </c>
      <c r="O37" s="200" t="n">
        <v>78</v>
      </c>
      <c r="P37" s="200" t="n">
        <v>110</v>
      </c>
      <c r="Q37" s="200" t="n">
        <v>80</v>
      </c>
      <c r="R37" s="202" t="n">
        <f aca="false">O37*P37</f>
        <v>8580</v>
      </c>
    </row>
    <row r="38" customFormat="false" ht="15" hidden="false" customHeight="false" outlineLevel="0" collapsed="false">
      <c r="A38" s="198" t="n">
        <v>2</v>
      </c>
      <c r="B38" s="199" t="s">
        <v>39</v>
      </c>
      <c r="C38" s="200" t="n">
        <v>219410</v>
      </c>
      <c r="D38" s="200" t="n">
        <v>274912</v>
      </c>
      <c r="E38" s="201" t="n">
        <f aca="false">C38/D38*100-100</f>
        <v>-20.1890059364451</v>
      </c>
      <c r="F38" s="200" t="n">
        <v>37527</v>
      </c>
      <c r="G38" s="200" t="n">
        <v>76583</v>
      </c>
      <c r="H38" s="201" t="n">
        <v>0</v>
      </c>
      <c r="I38" s="200" t="n">
        <v>219410</v>
      </c>
      <c r="J38" s="200" t="n">
        <v>274912</v>
      </c>
      <c r="K38" s="201" t="n">
        <f aca="false">I38/J38*100-100</f>
        <v>-20.1890059364451</v>
      </c>
      <c r="L38" s="200" t="n">
        <v>119376</v>
      </c>
      <c r="M38" s="200" t="n">
        <v>185988</v>
      </c>
      <c r="N38" s="201" t="n">
        <v>0</v>
      </c>
      <c r="O38" s="203" t="n">
        <v>95</v>
      </c>
      <c r="P38" s="204" t="n">
        <v>179</v>
      </c>
      <c r="Q38" s="203" t="n">
        <v>94</v>
      </c>
      <c r="R38" s="202" t="n">
        <f aca="false">O38*P38</f>
        <v>17005</v>
      </c>
    </row>
    <row r="39" customFormat="false" ht="15" hidden="false" customHeight="false" outlineLevel="0" collapsed="false">
      <c r="A39" s="198" t="n">
        <v>3</v>
      </c>
      <c r="B39" s="199" t="s">
        <v>40</v>
      </c>
      <c r="C39" s="200" t="n">
        <v>57367</v>
      </c>
      <c r="D39" s="200" t="n">
        <v>66458</v>
      </c>
      <c r="E39" s="201" t="n">
        <f aca="false">C39/D39*100-100</f>
        <v>-13.6793162598935</v>
      </c>
      <c r="F39" s="200" t="n">
        <v>7850</v>
      </c>
      <c r="G39" s="200" t="n">
        <v>13900</v>
      </c>
      <c r="H39" s="201" t="n">
        <f aca="false">F39/G39*100-100</f>
        <v>-43.5251798561151</v>
      </c>
      <c r="I39" s="200" t="n">
        <v>94468</v>
      </c>
      <c r="J39" s="200" t="n">
        <v>103511</v>
      </c>
      <c r="K39" s="201" t="n">
        <f aca="false">I39/J39*100-100</f>
        <v>-8.73626957521422</v>
      </c>
      <c r="L39" s="200" t="n">
        <v>0</v>
      </c>
      <c r="M39" s="200" t="n">
        <v>0</v>
      </c>
      <c r="N39" s="201" t="n">
        <v>0</v>
      </c>
      <c r="O39" s="203" t="n">
        <v>34</v>
      </c>
      <c r="P39" s="204" t="n">
        <v>90</v>
      </c>
      <c r="Q39" s="203" t="n">
        <v>31</v>
      </c>
      <c r="R39" s="202" t="n">
        <f aca="false">O39*P39</f>
        <v>3060</v>
      </c>
    </row>
    <row r="40" customFormat="false" ht="15" hidden="false" customHeight="false" outlineLevel="0" collapsed="false">
      <c r="A40" s="198" t="n">
        <v>4</v>
      </c>
      <c r="B40" s="199" t="s">
        <v>215</v>
      </c>
      <c r="C40" s="200" t="n">
        <v>18630</v>
      </c>
      <c r="D40" s="200" t="n">
        <v>12700</v>
      </c>
      <c r="E40" s="201" t="n">
        <f aca="false">C40/D40*100-100</f>
        <v>46.6929133858268</v>
      </c>
      <c r="F40" s="200" t="n">
        <v>4200</v>
      </c>
      <c r="G40" s="200" t="n">
        <v>2400</v>
      </c>
      <c r="H40" s="201" t="n">
        <f aca="false">F40/G40*100-100</f>
        <v>75</v>
      </c>
      <c r="I40" s="200" t="n">
        <v>23697</v>
      </c>
      <c r="J40" s="200" t="n">
        <v>16541</v>
      </c>
      <c r="K40" s="201" t="n">
        <f aca="false">I40/J40*100-100</f>
        <v>43.262196965117</v>
      </c>
      <c r="L40" s="200" t="n">
        <v>23697</v>
      </c>
      <c r="M40" s="200" t="n">
        <v>16541</v>
      </c>
      <c r="N40" s="201" t="n">
        <v>0</v>
      </c>
      <c r="O40" s="203" t="n">
        <v>14</v>
      </c>
      <c r="P40" s="204" t="n">
        <v>60</v>
      </c>
      <c r="Q40" s="203" t="n">
        <v>15</v>
      </c>
      <c r="R40" s="202" t="n">
        <f aca="false">O40*P40</f>
        <v>840</v>
      </c>
    </row>
    <row r="41" customFormat="false" ht="15" hidden="false" customHeight="false" outlineLevel="0" collapsed="false">
      <c r="A41" s="198" t="n">
        <v>5</v>
      </c>
      <c r="B41" s="199" t="s">
        <v>248</v>
      </c>
      <c r="C41" s="206" t="n">
        <v>31331</v>
      </c>
      <c r="D41" s="206" t="n">
        <v>39942</v>
      </c>
      <c r="E41" s="201" t="n">
        <f aca="false">C41/D41*100-100</f>
        <v>-21.5587602022933</v>
      </c>
      <c r="F41" s="206" t="n">
        <v>3673</v>
      </c>
      <c r="G41" s="206" t="n">
        <v>5238</v>
      </c>
      <c r="H41" s="201" t="n">
        <f aca="false">F41/G41*100-100</f>
        <v>-29.8778159602902</v>
      </c>
      <c r="I41" s="206" t="n">
        <v>42773</v>
      </c>
      <c r="J41" s="206" t="n">
        <v>46263</v>
      </c>
      <c r="K41" s="201" t="n">
        <f aca="false">I41/J41*100-100</f>
        <v>-7.54382551931349</v>
      </c>
      <c r="L41" s="206" t="n">
        <v>5695</v>
      </c>
      <c r="M41" s="206" t="n">
        <f aca="false">6244+2898</f>
        <v>9142</v>
      </c>
      <c r="N41" s="201" t="n">
        <f aca="false">L41/M41*100-100</f>
        <v>-37.7050973528768</v>
      </c>
      <c r="O41" s="203" t="n">
        <v>58</v>
      </c>
      <c r="P41" s="204" t="n">
        <v>65</v>
      </c>
      <c r="Q41" s="203" t="n">
        <v>59</v>
      </c>
      <c r="R41" s="202" t="n">
        <f aca="false">O41*P41</f>
        <v>3770</v>
      </c>
    </row>
    <row r="42" customFormat="false" ht="15" hidden="false" customHeight="false" outlineLevel="0" collapsed="false">
      <c r="A42" s="198" t="n">
        <v>6</v>
      </c>
      <c r="B42" s="199" t="s">
        <v>43</v>
      </c>
      <c r="C42" s="207" t="n">
        <v>105269</v>
      </c>
      <c r="D42" s="200" t="n">
        <v>74438</v>
      </c>
      <c r="E42" s="201" t="n">
        <f aca="false">C42/D42*100-100</f>
        <v>41.4183615895107</v>
      </c>
      <c r="F42" s="200" t="n">
        <v>10440</v>
      </c>
      <c r="G42" s="200" t="n">
        <v>9412</v>
      </c>
      <c r="H42" s="201" t="n">
        <f aca="false">F42/G42*100-100</f>
        <v>10.9222269443264</v>
      </c>
      <c r="I42" s="200" t="n">
        <v>99259</v>
      </c>
      <c r="J42" s="200" t="n">
        <v>73675</v>
      </c>
      <c r="K42" s="201" t="n">
        <f aca="false">I42/J42*100-100</f>
        <v>34.7254835425857</v>
      </c>
      <c r="L42" s="200" t="n">
        <v>0</v>
      </c>
      <c r="M42" s="200" t="n">
        <v>878</v>
      </c>
      <c r="N42" s="201" t="n">
        <v>0</v>
      </c>
      <c r="O42" s="203" t="n">
        <v>66</v>
      </c>
      <c r="P42" s="204" t="n">
        <v>90</v>
      </c>
      <c r="Q42" s="203" t="n">
        <v>67</v>
      </c>
      <c r="R42" s="202" t="n">
        <f aca="false">O42*P42</f>
        <v>5940</v>
      </c>
    </row>
    <row r="43" customFormat="false" ht="15" hidden="false" customHeight="false" outlineLevel="0" collapsed="false">
      <c r="A43" s="198" t="n">
        <v>7</v>
      </c>
      <c r="B43" s="199" t="s">
        <v>44</v>
      </c>
      <c r="C43" s="200" t="n">
        <v>0</v>
      </c>
      <c r="D43" s="200" t="n">
        <v>0</v>
      </c>
      <c r="E43" s="201" t="n">
        <v>0</v>
      </c>
      <c r="F43" s="200" t="n">
        <v>0</v>
      </c>
      <c r="G43" s="200" t="n">
        <v>0</v>
      </c>
      <c r="H43" s="201" t="n">
        <v>0</v>
      </c>
      <c r="I43" s="200" t="n">
        <v>0</v>
      </c>
      <c r="J43" s="200" t="n">
        <v>0</v>
      </c>
      <c r="K43" s="201" t="n">
        <v>0</v>
      </c>
      <c r="L43" s="200" t="n">
        <v>0</v>
      </c>
      <c r="M43" s="200" t="n">
        <v>0</v>
      </c>
      <c r="N43" s="201" t="n">
        <v>0</v>
      </c>
      <c r="O43" s="203" t="n">
        <v>0</v>
      </c>
      <c r="P43" s="204" t="n">
        <v>0</v>
      </c>
      <c r="Q43" s="203" t="n">
        <v>0</v>
      </c>
      <c r="R43" s="202" t="n">
        <f aca="false">O43*P43</f>
        <v>0</v>
      </c>
    </row>
    <row r="44" customFormat="false" ht="15" hidden="false" customHeight="false" outlineLevel="0" collapsed="false">
      <c r="A44" s="198" t="n">
        <v>8</v>
      </c>
      <c r="B44" s="199" t="s">
        <v>45</v>
      </c>
      <c r="C44" s="206" t="n">
        <v>104395</v>
      </c>
      <c r="D44" s="206" t="n">
        <v>75441</v>
      </c>
      <c r="E44" s="201" t="n">
        <f aca="false">C44/D44*100-100</f>
        <v>38.3796609270821</v>
      </c>
      <c r="F44" s="206" t="n">
        <v>8358</v>
      </c>
      <c r="G44" s="206" t="n">
        <v>12116</v>
      </c>
      <c r="H44" s="201" t="n">
        <f aca="false">F44/G44*100-100</f>
        <v>-31.0168372400132</v>
      </c>
      <c r="I44" s="206" t="n">
        <v>104395</v>
      </c>
      <c r="J44" s="206" t="n">
        <v>73839</v>
      </c>
      <c r="K44" s="201" t="n">
        <f aca="false">I44/J44*100-100</f>
        <v>41.3819255407034</v>
      </c>
      <c r="L44" s="200" t="n">
        <v>0</v>
      </c>
      <c r="M44" s="200" t="n">
        <v>0</v>
      </c>
      <c r="N44" s="201" t="n">
        <v>0</v>
      </c>
      <c r="O44" s="203" t="n">
        <v>46</v>
      </c>
      <c r="P44" s="204" t="n">
        <v>106</v>
      </c>
      <c r="Q44" s="203" t="n">
        <v>47</v>
      </c>
      <c r="R44" s="202" t="n">
        <f aca="false">O44*P44</f>
        <v>4876</v>
      </c>
    </row>
    <row r="45" customFormat="false" ht="15" hidden="false" customHeight="false" outlineLevel="0" collapsed="false">
      <c r="A45" s="198" t="n">
        <v>9</v>
      </c>
      <c r="B45" s="199" t="s">
        <v>46</v>
      </c>
      <c r="C45" s="208" t="n">
        <v>226290</v>
      </c>
      <c r="D45" s="200" t="n">
        <v>213759</v>
      </c>
      <c r="E45" s="201" t="n">
        <f aca="false">C45/D45*100-100</f>
        <v>5.86220931048518</v>
      </c>
      <c r="F45" s="208" t="n">
        <v>22907</v>
      </c>
      <c r="G45" s="200" t="n">
        <v>36647</v>
      </c>
      <c r="H45" s="201" t="n">
        <f aca="false">F45/G45*100-100</f>
        <v>-37.4928370671542</v>
      </c>
      <c r="I45" s="200" t="n">
        <v>212568</v>
      </c>
      <c r="J45" s="200" t="n">
        <v>190716</v>
      </c>
      <c r="K45" s="201" t="n">
        <f aca="false">I45/J45*100-100</f>
        <v>11.4578745359592</v>
      </c>
      <c r="L45" s="200" t="n">
        <v>0</v>
      </c>
      <c r="M45" s="200" t="n">
        <v>0</v>
      </c>
      <c r="N45" s="201" t="n">
        <v>0</v>
      </c>
      <c r="O45" s="203" t="n">
        <v>69</v>
      </c>
      <c r="P45" s="204" t="n">
        <v>160</v>
      </c>
      <c r="Q45" s="203" t="n">
        <v>74</v>
      </c>
      <c r="R45" s="202" t="n">
        <f aca="false">O45*P45</f>
        <v>11040</v>
      </c>
    </row>
    <row r="46" customFormat="false" ht="15" hidden="false" customHeight="false" outlineLevel="0" collapsed="false">
      <c r="A46" s="210" t="n">
        <v>10</v>
      </c>
      <c r="B46" s="199" t="s">
        <v>47</v>
      </c>
      <c r="C46" s="208" t="n">
        <v>540378</v>
      </c>
      <c r="D46" s="200" t="n">
        <v>806820</v>
      </c>
      <c r="E46" s="201" t="n">
        <f aca="false">C46/D46*100-100</f>
        <v>-33.0237227634417</v>
      </c>
      <c r="F46" s="208" t="n">
        <v>32639</v>
      </c>
      <c r="G46" s="200" t="n">
        <v>62851</v>
      </c>
      <c r="H46" s="201" t="n">
        <f aca="false">F46/G46*100-100</f>
        <v>-48.0692431305787</v>
      </c>
      <c r="I46" s="200" t="n">
        <v>516498</v>
      </c>
      <c r="J46" s="200" t="n">
        <v>718568</v>
      </c>
      <c r="K46" s="201" t="n">
        <f aca="false">I46/J46*100-100</f>
        <v>-28.1212077353848</v>
      </c>
      <c r="L46" s="200" t="n">
        <v>513914</v>
      </c>
      <c r="M46" s="200" t="n">
        <v>713448</v>
      </c>
      <c r="N46" s="201" t="n">
        <f aca="false">L46/M46*100-100</f>
        <v>-27.9675603547841</v>
      </c>
      <c r="O46" s="203" t="n">
        <v>180</v>
      </c>
      <c r="P46" s="204" t="n">
        <v>84</v>
      </c>
      <c r="Q46" s="203" t="n">
        <v>188</v>
      </c>
      <c r="R46" s="202" t="n">
        <f aca="false">O46*P46</f>
        <v>15120</v>
      </c>
    </row>
    <row r="47" customFormat="false" ht="15" hidden="false" customHeight="false" outlineLevel="0" collapsed="false">
      <c r="A47" s="198" t="n">
        <v>11</v>
      </c>
      <c r="B47" s="199" t="s">
        <v>48</v>
      </c>
      <c r="C47" s="208" t="n">
        <v>1771</v>
      </c>
      <c r="D47" s="200" t="n">
        <v>23715</v>
      </c>
      <c r="E47" s="201" t="n">
        <f aca="false">C47/D47*100-100</f>
        <v>-92.5321526460046</v>
      </c>
      <c r="F47" s="200" t="n">
        <v>0</v>
      </c>
      <c r="G47" s="200" t="n">
        <v>6462</v>
      </c>
      <c r="H47" s="201" t="n">
        <v>0</v>
      </c>
      <c r="I47" s="200" t="n">
        <v>2619</v>
      </c>
      <c r="J47" s="200" t="n">
        <v>30807</v>
      </c>
      <c r="K47" s="201" t="n">
        <v>0</v>
      </c>
      <c r="L47" s="208" t="n">
        <v>1771</v>
      </c>
      <c r="M47" s="200" t="n">
        <v>23715</v>
      </c>
      <c r="N47" s="201" t="n">
        <v>0</v>
      </c>
      <c r="O47" s="203" t="n">
        <v>25</v>
      </c>
      <c r="P47" s="204" t="n">
        <v>85</v>
      </c>
      <c r="Q47" s="203" t="n">
        <v>26</v>
      </c>
      <c r="R47" s="202" t="n">
        <f aca="false">O47*P47</f>
        <v>2125</v>
      </c>
    </row>
    <row r="48" customFormat="false" ht="15" hidden="false" customHeight="false" outlineLevel="0" collapsed="false">
      <c r="A48" s="198" t="n">
        <v>12</v>
      </c>
      <c r="B48" s="199" t="s">
        <v>49</v>
      </c>
      <c r="C48" s="200" t="n">
        <v>64971</v>
      </c>
      <c r="D48" s="200" t="n">
        <v>75527</v>
      </c>
      <c r="E48" s="201" t="n">
        <f aca="false">C48/D48*100-100</f>
        <v>-13.976458749851</v>
      </c>
      <c r="F48" s="212" t="n">
        <v>95</v>
      </c>
      <c r="G48" s="212" t="n">
        <v>4539</v>
      </c>
      <c r="H48" s="201" t="n">
        <f aca="false">F48/G48*100-100</f>
        <v>-97.9070279797312</v>
      </c>
      <c r="I48" s="212" t="n">
        <v>75668</v>
      </c>
      <c r="J48" s="212" t="n">
        <v>80423</v>
      </c>
      <c r="K48" s="201" t="n">
        <f aca="false">I48/J48*100-100</f>
        <v>-5.91248772117429</v>
      </c>
      <c r="L48" s="213" t="n">
        <v>66893</v>
      </c>
      <c r="M48" s="212" t="n">
        <v>74862</v>
      </c>
      <c r="N48" s="201" t="n">
        <f aca="false">L48/M48*100-100</f>
        <v>-10.6449199861078</v>
      </c>
      <c r="O48" s="203" t="n">
        <v>27</v>
      </c>
      <c r="P48" s="204" t="n">
        <v>138</v>
      </c>
      <c r="Q48" s="203" t="n">
        <v>15</v>
      </c>
      <c r="R48" s="202" t="n">
        <f aca="false">O48*P48</f>
        <v>3726</v>
      </c>
    </row>
    <row r="49" customFormat="false" ht="15" hidden="false" customHeight="false" outlineLevel="0" collapsed="false">
      <c r="A49" s="198" t="n">
        <v>13</v>
      </c>
      <c r="B49" s="199" t="s">
        <v>50</v>
      </c>
      <c r="C49" s="207" t="n">
        <v>236379</v>
      </c>
      <c r="D49" s="207" t="n">
        <v>285136</v>
      </c>
      <c r="E49" s="201" t="n">
        <f aca="false">C49/D49*100-100</f>
        <v>-17.0995595084451</v>
      </c>
      <c r="F49" s="207" t="n">
        <v>9215</v>
      </c>
      <c r="G49" s="207" t="n">
        <v>24487</v>
      </c>
      <c r="H49" s="201" t="n">
        <f aca="false">F49/G49*100-100</f>
        <v>-62.3677869890146</v>
      </c>
      <c r="I49" s="200" t="n">
        <v>219086</v>
      </c>
      <c r="J49" s="200" t="n">
        <v>278668</v>
      </c>
      <c r="K49" s="201" t="n">
        <f aca="false">I49/J49*100-100</f>
        <v>-21.3809981770422</v>
      </c>
      <c r="L49" s="207" t="n">
        <v>0</v>
      </c>
      <c r="M49" s="207" t="n">
        <v>3429</v>
      </c>
      <c r="N49" s="201" t="n">
        <v>0</v>
      </c>
      <c r="O49" s="203" t="n">
        <v>65</v>
      </c>
      <c r="P49" s="204" t="n">
        <v>150</v>
      </c>
      <c r="Q49" s="203" t="n">
        <v>65</v>
      </c>
      <c r="R49" s="202" t="n">
        <f aca="false">O49*P49</f>
        <v>9750</v>
      </c>
    </row>
    <row r="50" customFormat="false" ht="15" hidden="false" customHeight="false" outlineLevel="0" collapsed="false">
      <c r="A50" s="198" t="n">
        <v>14</v>
      </c>
      <c r="B50" s="199" t="s">
        <v>216</v>
      </c>
      <c r="C50" s="203" t="n">
        <v>14784</v>
      </c>
      <c r="D50" s="203" t="n">
        <v>13427</v>
      </c>
      <c r="E50" s="201" t="n">
        <f aca="false">C50/D50*100-100</f>
        <v>10.1065018246816</v>
      </c>
      <c r="F50" s="203" t="n">
        <v>2178</v>
      </c>
      <c r="G50" s="203" t="n">
        <v>1455</v>
      </c>
      <c r="H50" s="201" t="n">
        <v>0</v>
      </c>
      <c r="I50" s="203" t="n">
        <v>14106</v>
      </c>
      <c r="J50" s="203" t="n">
        <v>15490</v>
      </c>
      <c r="K50" s="201" t="n">
        <f aca="false">I50/J50*100-100</f>
        <v>-8.93479664299548</v>
      </c>
      <c r="L50" s="203" t="n">
        <v>1576</v>
      </c>
      <c r="M50" s="203" t="n">
        <v>0</v>
      </c>
      <c r="N50" s="201" t="n">
        <v>0</v>
      </c>
      <c r="O50" s="203" t="n">
        <v>14</v>
      </c>
      <c r="P50" s="204" t="n">
        <v>80</v>
      </c>
      <c r="Q50" s="203" t="n">
        <v>13</v>
      </c>
      <c r="R50" s="202" t="n">
        <f aca="false">O50*P50</f>
        <v>1120</v>
      </c>
    </row>
    <row r="51" customFormat="false" ht="15" hidden="false" customHeight="false" outlineLevel="0" collapsed="false">
      <c r="A51" s="198" t="n">
        <v>15</v>
      </c>
      <c r="B51" s="199" t="s">
        <v>52</v>
      </c>
      <c r="C51" s="203" t="n">
        <v>175595</v>
      </c>
      <c r="D51" s="203" t="n">
        <v>275943</v>
      </c>
      <c r="E51" s="203" t="n">
        <f aca="false">C51/D51*100-100</f>
        <v>-36.3654812769304</v>
      </c>
      <c r="F51" s="203" t="n">
        <v>44277</v>
      </c>
      <c r="G51" s="203" t="n">
        <v>50820</v>
      </c>
      <c r="H51" s="203" t="n">
        <f aca="false">F51/G51*100-100</f>
        <v>-12.874852420307</v>
      </c>
      <c r="I51" s="203" t="n">
        <v>122034</v>
      </c>
      <c r="J51" s="203" t="n">
        <v>415610</v>
      </c>
      <c r="K51" s="203" t="n">
        <f aca="false">I51/J51*100-100</f>
        <v>-70.6373763865162</v>
      </c>
      <c r="L51" s="203" t="n">
        <v>115158</v>
      </c>
      <c r="M51" s="203" t="n">
        <f aca="false">392587+16473</f>
        <v>409060</v>
      </c>
      <c r="N51" s="201" t="n">
        <f aca="false">L51/M51*100-100</f>
        <v>-71.848139637217</v>
      </c>
      <c r="O51" s="203" t="n">
        <v>57</v>
      </c>
      <c r="P51" s="204" t="n">
        <v>114</v>
      </c>
      <c r="Q51" s="203" t="n">
        <v>58</v>
      </c>
      <c r="R51" s="202" t="n">
        <f aca="false">O51*P51</f>
        <v>6498</v>
      </c>
    </row>
    <row r="52" customFormat="false" ht="15" hidden="false" customHeight="false" outlineLevel="0" collapsed="false">
      <c r="A52" s="198" t="n">
        <v>16</v>
      </c>
      <c r="B52" s="199" t="s">
        <v>53</v>
      </c>
      <c r="C52" s="200" t="n">
        <v>2494</v>
      </c>
      <c r="D52" s="209" t="n">
        <v>3106</v>
      </c>
      <c r="E52" s="201" t="n">
        <f aca="false">C52/D52*100-100</f>
        <v>-19.703799098519</v>
      </c>
      <c r="F52" s="200" t="n">
        <v>0</v>
      </c>
      <c r="G52" s="200" t="n">
        <v>0</v>
      </c>
      <c r="H52" s="201" t="n">
        <v>0</v>
      </c>
      <c r="I52" s="200" t="n">
        <v>2494</v>
      </c>
      <c r="J52" s="200" t="n">
        <v>3106</v>
      </c>
      <c r="K52" s="201" t="n">
        <f aca="false">I52/J52*100-100</f>
        <v>-19.703799098519</v>
      </c>
      <c r="L52" s="200" t="n">
        <v>0</v>
      </c>
      <c r="M52" s="200" t="n">
        <v>0</v>
      </c>
      <c r="N52" s="201" t="n">
        <v>0</v>
      </c>
      <c r="O52" s="203" t="n">
        <v>3</v>
      </c>
      <c r="P52" s="204" t="n">
        <v>45</v>
      </c>
      <c r="Q52" s="203" t="n">
        <v>3</v>
      </c>
      <c r="R52" s="202" t="n">
        <f aca="false">O52*P52</f>
        <v>135</v>
      </c>
    </row>
    <row r="53" customFormat="false" ht="15" hidden="false" customHeight="false" outlineLevel="0" collapsed="false">
      <c r="A53" s="198" t="n">
        <v>17</v>
      </c>
      <c r="B53" s="199" t="s">
        <v>54</v>
      </c>
      <c r="C53" s="203" t="n">
        <v>17421</v>
      </c>
      <c r="D53" s="203" t="n">
        <v>693900</v>
      </c>
      <c r="E53" s="201" t="n">
        <f aca="false">C53/D53*100-100</f>
        <v>-97.4894076956334</v>
      </c>
      <c r="F53" s="203" t="n">
        <v>0</v>
      </c>
      <c r="G53" s="203" t="n">
        <v>9900</v>
      </c>
      <c r="H53" s="201" t="n">
        <f aca="false">F53/G53*100-100</f>
        <v>-100</v>
      </c>
      <c r="I53" s="203" t="n">
        <v>17421</v>
      </c>
      <c r="J53" s="203" t="n">
        <v>56200</v>
      </c>
      <c r="K53" s="223" t="n">
        <f aca="false">I53/J53*100-100</f>
        <v>-69.0017793594306</v>
      </c>
      <c r="L53" s="203" t="n">
        <v>0</v>
      </c>
      <c r="M53" s="203" t="n">
        <v>0</v>
      </c>
      <c r="N53" s="201" t="n">
        <v>0</v>
      </c>
      <c r="O53" s="203" t="n">
        <v>4</v>
      </c>
      <c r="P53" s="204" t="n">
        <v>70</v>
      </c>
      <c r="Q53" s="203" t="n">
        <v>4</v>
      </c>
      <c r="R53" s="202" t="n">
        <f aca="false">O53*P53</f>
        <v>280</v>
      </c>
    </row>
    <row r="54" customFormat="false" ht="15" hidden="false" customHeight="false" outlineLevel="0" collapsed="false">
      <c r="A54" s="198" t="n">
        <v>18</v>
      </c>
      <c r="B54" s="220" t="s">
        <v>231</v>
      </c>
      <c r="C54" s="203" t="n">
        <v>569189</v>
      </c>
      <c r="D54" s="203" t="n">
        <v>0</v>
      </c>
      <c r="E54" s="201" t="n">
        <v>0</v>
      </c>
      <c r="F54" s="203" t="n">
        <v>35849</v>
      </c>
      <c r="G54" s="203" t="n">
        <v>0</v>
      </c>
      <c r="H54" s="201" t="n">
        <v>0</v>
      </c>
      <c r="I54" s="203" t="n">
        <v>569189</v>
      </c>
      <c r="J54" s="203" t="n">
        <v>0</v>
      </c>
      <c r="K54" s="201" t="n">
        <v>0</v>
      </c>
      <c r="L54" s="203" t="n">
        <v>517520</v>
      </c>
      <c r="M54" s="203" t="n">
        <v>0</v>
      </c>
      <c r="N54" s="201" t="n">
        <v>0</v>
      </c>
      <c r="O54" s="203" t="n">
        <v>117</v>
      </c>
      <c r="P54" s="204" t="n">
        <v>85</v>
      </c>
      <c r="Q54" s="203" t="n">
        <v>122</v>
      </c>
      <c r="R54" s="202" t="n">
        <f aca="false">O54*P54</f>
        <v>9945</v>
      </c>
    </row>
    <row r="55" customFormat="false" ht="15" hidden="false" customHeight="false" outlineLevel="0" collapsed="false">
      <c r="A55" s="215" t="s">
        <v>55</v>
      </c>
      <c r="B55" s="215"/>
      <c r="C55" s="216" t="n">
        <f aca="false">SUM(C37:C53)</f>
        <v>1909583</v>
      </c>
      <c r="D55" s="216" t="n">
        <f aca="false">SUM(D37:D53)</f>
        <v>3055650</v>
      </c>
      <c r="E55" s="313" t="n">
        <f aca="false">C55/D55*100-100</f>
        <v>-37.5064879812806</v>
      </c>
      <c r="F55" s="216" t="n">
        <f aca="false">SUM(F37:F53)</f>
        <v>191788</v>
      </c>
      <c r="G55" s="216" t="n">
        <f aca="false">SUM(G37:G53)</f>
        <v>321104</v>
      </c>
      <c r="H55" s="313" t="n">
        <f aca="false">F55/G55*100-100</f>
        <v>-40.2723105286761</v>
      </c>
      <c r="I55" s="216" t="n">
        <f aca="false">SUM(I37:I53)</f>
        <v>1859594</v>
      </c>
      <c r="J55" s="216" t="n">
        <f aca="false">SUM(J37:J53)</f>
        <v>2498755</v>
      </c>
      <c r="K55" s="313" t="n">
        <f aca="false">I55/J55*100-100</f>
        <v>-25.5791784308586</v>
      </c>
      <c r="L55" s="216" t="n">
        <f aca="false">SUM(L37:L53)</f>
        <v>849752</v>
      </c>
      <c r="M55" s="216" t="n">
        <f aca="false">SUM(M37:M53)</f>
        <v>1442567</v>
      </c>
      <c r="N55" s="313" t="n">
        <f aca="false">L55/M55*100-100</f>
        <v>-41.0944517654986</v>
      </c>
      <c r="O55" s="216" t="n">
        <f aca="false">SUM(O37:O53)</f>
        <v>835</v>
      </c>
      <c r="P55" s="217" t="n">
        <f aca="false">R55/O55</f>
        <v>124.323353293413</v>
      </c>
      <c r="Q55" s="216" t="n">
        <f aca="false">SUM(Q37:Q53)</f>
        <v>839</v>
      </c>
      <c r="R55" s="216" t="n">
        <f aca="false">SUM(R37:R54)</f>
        <v>103810</v>
      </c>
    </row>
    <row r="56" customFormat="false" ht="15" hidden="false" customHeight="false" outlineLevel="0" collapsed="false">
      <c r="A56" s="203"/>
      <c r="B56" s="218"/>
      <c r="C56" s="203"/>
      <c r="D56" s="203"/>
      <c r="E56" s="203"/>
      <c r="F56" s="203"/>
      <c r="G56" s="203"/>
      <c r="H56" s="203"/>
      <c r="I56" s="203"/>
      <c r="J56" s="203"/>
      <c r="K56" s="192"/>
      <c r="L56" s="203"/>
      <c r="M56" s="203"/>
      <c r="N56" s="203"/>
      <c r="O56" s="203"/>
      <c r="P56" s="219"/>
      <c r="Q56" s="203"/>
      <c r="R56" s="197"/>
    </row>
    <row r="57" customFormat="false" ht="15" hidden="false" customHeight="false" outlineLevel="0" collapsed="false">
      <c r="A57" s="195" t="s">
        <v>56</v>
      </c>
      <c r="B57" s="195"/>
      <c r="C57" s="195" t="n">
        <v>3</v>
      </c>
      <c r="D57" s="195" t="n">
        <v>4</v>
      </c>
      <c r="E57" s="196" t="n">
        <v>5</v>
      </c>
      <c r="F57" s="195" t="n">
        <v>6</v>
      </c>
      <c r="G57" s="195" t="n">
        <v>7</v>
      </c>
      <c r="H57" s="195" t="n">
        <v>8</v>
      </c>
      <c r="I57" s="195" t="n">
        <v>9</v>
      </c>
      <c r="J57" s="195" t="n">
        <v>10</v>
      </c>
      <c r="K57" s="195" t="n">
        <v>11</v>
      </c>
      <c r="L57" s="195" t="n">
        <v>12</v>
      </c>
      <c r="M57" s="195" t="n">
        <v>13</v>
      </c>
      <c r="N57" s="195" t="n">
        <v>14</v>
      </c>
      <c r="O57" s="195" t="n">
        <v>15</v>
      </c>
      <c r="P57" s="196" t="n">
        <v>16</v>
      </c>
      <c r="Q57" s="195" t="n">
        <v>15</v>
      </c>
      <c r="R57" s="197"/>
    </row>
    <row r="58" customFormat="false" ht="15" hidden="false" customHeight="false" outlineLevel="0" collapsed="false">
      <c r="A58" s="204" t="n">
        <v>1</v>
      </c>
      <c r="B58" s="220" t="s">
        <v>57</v>
      </c>
      <c r="C58" s="221" t="n">
        <v>369521</v>
      </c>
      <c r="D58" s="222" t="n">
        <v>423708</v>
      </c>
      <c r="E58" s="201" t="n">
        <f aca="false">C58/D58*100-100</f>
        <v>-12.7887601839002</v>
      </c>
      <c r="F58" s="222" t="n">
        <v>50833</v>
      </c>
      <c r="G58" s="223" t="n">
        <v>46053</v>
      </c>
      <c r="H58" s="223" t="n">
        <f aca="false">F58/G58*100-100</f>
        <v>10.3793455366643</v>
      </c>
      <c r="I58" s="222" t="n">
        <v>363721</v>
      </c>
      <c r="J58" s="222" t="n">
        <v>424083</v>
      </c>
      <c r="K58" s="201" t="n">
        <f aca="false">I58/J58*100-100</f>
        <v>-14.2335344732045</v>
      </c>
      <c r="L58" s="222" t="n">
        <v>360733</v>
      </c>
      <c r="M58" s="222" t="n">
        <v>422935</v>
      </c>
      <c r="N58" s="201" t="n">
        <f aca="false">L58/M58*100-100</f>
        <v>-14.7072245144053</v>
      </c>
      <c r="O58" s="223" t="n">
        <v>158</v>
      </c>
      <c r="P58" s="222" t="n">
        <v>90</v>
      </c>
      <c r="Q58" s="223" t="n">
        <v>158</v>
      </c>
      <c r="R58" s="202" t="n">
        <f aca="false">O58*P58</f>
        <v>14220</v>
      </c>
    </row>
    <row r="59" customFormat="false" ht="15" hidden="false" customHeight="false" outlineLevel="0" collapsed="false">
      <c r="A59" s="224" t="n">
        <v>2</v>
      </c>
      <c r="B59" s="220" t="s">
        <v>58</v>
      </c>
      <c r="C59" s="200" t="n">
        <v>70008</v>
      </c>
      <c r="D59" s="200" t="n">
        <v>121901</v>
      </c>
      <c r="E59" s="201" t="n">
        <f aca="false">C59/D59*100-100</f>
        <v>-42.5697902396207</v>
      </c>
      <c r="F59" s="223" t="n">
        <v>5372</v>
      </c>
      <c r="G59" s="223" t="n">
        <v>1907</v>
      </c>
      <c r="H59" s="223" t="n">
        <f aca="false">F59/G59*100-100</f>
        <v>181.699003670687</v>
      </c>
      <c r="I59" s="223" t="n">
        <v>51450</v>
      </c>
      <c r="J59" s="223" t="n">
        <v>133478</v>
      </c>
      <c r="K59" s="201" t="n">
        <f aca="false">I59/J59*100-100</f>
        <v>-61.4543220605643</v>
      </c>
      <c r="L59" s="223" t="n">
        <v>0</v>
      </c>
      <c r="M59" s="223" t="n">
        <v>0</v>
      </c>
      <c r="N59" s="201" t="n">
        <v>0</v>
      </c>
      <c r="O59" s="223" t="n">
        <v>103</v>
      </c>
      <c r="P59" s="223" t="n">
        <v>105</v>
      </c>
      <c r="Q59" s="223" t="n">
        <v>100</v>
      </c>
      <c r="R59" s="202" t="n">
        <f aca="false">O59*P59</f>
        <v>10815</v>
      </c>
    </row>
    <row r="60" customFormat="false" ht="15" hidden="false" customHeight="false" outlineLevel="0" collapsed="false">
      <c r="A60" s="224" t="n">
        <v>3</v>
      </c>
      <c r="B60" s="220" t="s">
        <v>59</v>
      </c>
      <c r="C60" s="223" t="n">
        <v>253825</v>
      </c>
      <c r="D60" s="223" t="n">
        <v>200146</v>
      </c>
      <c r="E60" s="201" t="n">
        <f aca="false">C60/D60*100-100</f>
        <v>26.8199214573361</v>
      </c>
      <c r="F60" s="223" t="n">
        <v>38030</v>
      </c>
      <c r="G60" s="223" t="n">
        <v>28725</v>
      </c>
      <c r="H60" s="201" t="n">
        <f aca="false">F60/G60*100-100</f>
        <v>32.3933855526545</v>
      </c>
      <c r="I60" s="223" t="n">
        <v>253825</v>
      </c>
      <c r="J60" s="223" t="n">
        <v>200146</v>
      </c>
      <c r="K60" s="201" t="n">
        <v>0</v>
      </c>
      <c r="L60" s="223" t="n">
        <v>0</v>
      </c>
      <c r="M60" s="223" t="n">
        <v>0</v>
      </c>
      <c r="N60" s="201" t="n">
        <v>0</v>
      </c>
      <c r="O60" s="223" t="n">
        <v>111</v>
      </c>
      <c r="P60" s="223" t="n">
        <v>168</v>
      </c>
      <c r="Q60" s="223" t="n">
        <v>109</v>
      </c>
      <c r="R60" s="202" t="n">
        <f aca="false">O60*P60</f>
        <v>18648</v>
      </c>
    </row>
    <row r="61" customFormat="false" ht="15" hidden="false" customHeight="false" outlineLevel="0" collapsed="false">
      <c r="A61" s="204" t="n">
        <v>4</v>
      </c>
      <c r="B61" s="220" t="s">
        <v>60</v>
      </c>
      <c r="C61" s="223" t="n">
        <v>264331</v>
      </c>
      <c r="D61" s="223" t="n">
        <v>209555</v>
      </c>
      <c r="E61" s="201" t="n">
        <f aca="false">C61/D61*100-100</f>
        <v>26.1391997327671</v>
      </c>
      <c r="F61" s="223" t="n">
        <v>26528</v>
      </c>
      <c r="G61" s="223" t="n">
        <v>16103</v>
      </c>
      <c r="H61" s="201" t="n">
        <f aca="false">F61/G61*100-100</f>
        <v>64.7394895361113</v>
      </c>
      <c r="I61" s="206" t="n">
        <v>265603</v>
      </c>
      <c r="J61" s="206" t="n">
        <v>223729</v>
      </c>
      <c r="K61" s="201" t="n">
        <f aca="false">I61/J61*100-100</f>
        <v>18.7163934939145</v>
      </c>
      <c r="L61" s="223" t="n">
        <f aca="false">82485+22620</f>
        <v>105105</v>
      </c>
      <c r="M61" s="223" t="n">
        <f aca="false">96603+2761</f>
        <v>99364</v>
      </c>
      <c r="N61" s="201" t="n">
        <v>0</v>
      </c>
      <c r="O61" s="223" t="n">
        <v>70</v>
      </c>
      <c r="P61" s="223" t="n">
        <v>124</v>
      </c>
      <c r="Q61" s="223" t="n">
        <v>70</v>
      </c>
      <c r="R61" s="202" t="n">
        <f aca="false">O61*P61</f>
        <v>8680</v>
      </c>
    </row>
    <row r="62" customFormat="false" ht="15" hidden="false" customHeight="false" outlineLevel="0" collapsed="false">
      <c r="A62" s="224" t="n">
        <v>5</v>
      </c>
      <c r="B62" s="220" t="s">
        <v>61</v>
      </c>
      <c r="C62" s="200" t="n">
        <v>0</v>
      </c>
      <c r="D62" s="200" t="n">
        <v>0</v>
      </c>
      <c r="E62" s="201" t="n">
        <v>0</v>
      </c>
      <c r="F62" s="200" t="n">
        <v>0</v>
      </c>
      <c r="G62" s="200" t="n">
        <v>0</v>
      </c>
      <c r="H62" s="201" t="n">
        <v>0</v>
      </c>
      <c r="I62" s="200" t="n">
        <v>0</v>
      </c>
      <c r="J62" s="200" t="n">
        <v>0</v>
      </c>
      <c r="K62" s="201" t="n">
        <v>0</v>
      </c>
      <c r="L62" s="200" t="n">
        <v>0</v>
      </c>
      <c r="M62" s="200" t="n">
        <v>0</v>
      </c>
      <c r="N62" s="201" t="n">
        <v>0</v>
      </c>
      <c r="O62" s="203" t="n">
        <v>0</v>
      </c>
      <c r="P62" s="204" t="n">
        <v>0</v>
      </c>
      <c r="Q62" s="203" t="n">
        <v>0</v>
      </c>
      <c r="R62" s="202" t="n">
        <f aca="false">O62*P62</f>
        <v>0</v>
      </c>
    </row>
    <row r="63" customFormat="false" ht="15" hidden="false" customHeight="false" outlineLevel="0" collapsed="false">
      <c r="A63" s="224" t="n">
        <v>6</v>
      </c>
      <c r="B63" s="220" t="s">
        <v>217</v>
      </c>
      <c r="C63" s="223" t="n">
        <v>39288</v>
      </c>
      <c r="D63" s="223" t="n">
        <v>40169</v>
      </c>
      <c r="E63" s="201" t="n">
        <f aca="false">C63/D63*100-100</f>
        <v>-2.19323358809032</v>
      </c>
      <c r="F63" s="223" t="n">
        <v>4716</v>
      </c>
      <c r="G63" s="223" t="n">
        <v>3659</v>
      </c>
      <c r="H63" s="201" t="n">
        <f aca="false">F63/G63*100-100</f>
        <v>28.8876742279311</v>
      </c>
      <c r="I63" s="223" t="n">
        <v>40256</v>
      </c>
      <c r="J63" s="223" t="n">
        <v>44259</v>
      </c>
      <c r="K63" s="201" t="n">
        <f aca="false">I63/J63*100-100</f>
        <v>-9.0444881267087</v>
      </c>
      <c r="L63" s="223" t="n">
        <v>40256</v>
      </c>
      <c r="M63" s="223" t="n">
        <v>44124</v>
      </c>
      <c r="N63" s="201" t="n">
        <f aca="false">L63/M63*100-100</f>
        <v>-8.76620433324268</v>
      </c>
      <c r="O63" s="223" t="n">
        <v>42</v>
      </c>
      <c r="P63" s="223" t="n">
        <v>63</v>
      </c>
      <c r="Q63" s="223" t="n">
        <v>47</v>
      </c>
      <c r="R63" s="202" t="n">
        <f aca="false">O63*P63</f>
        <v>2646</v>
      </c>
    </row>
    <row r="64" customFormat="false" ht="15" hidden="false" customHeight="false" outlineLevel="0" collapsed="false">
      <c r="A64" s="204" t="n">
        <v>7</v>
      </c>
      <c r="B64" s="220" t="s">
        <v>63</v>
      </c>
      <c r="C64" s="200" t="n">
        <v>36138</v>
      </c>
      <c r="D64" s="200" t="n">
        <v>42846</v>
      </c>
      <c r="E64" s="201" t="n">
        <f aca="false">C64/D64*100-100</f>
        <v>-15.6560705783504</v>
      </c>
      <c r="F64" s="200" t="n">
        <v>10985</v>
      </c>
      <c r="G64" s="200" t="n">
        <v>5464</v>
      </c>
      <c r="H64" s="201" t="n">
        <v>0</v>
      </c>
      <c r="I64" s="200" t="n">
        <v>46414</v>
      </c>
      <c r="J64" s="200" t="n">
        <v>45166</v>
      </c>
      <c r="K64" s="201" t="n">
        <f aca="false">I64/J64*100-100</f>
        <v>2.76314041535667</v>
      </c>
      <c r="L64" s="225" t="n">
        <v>46388</v>
      </c>
      <c r="M64" s="200" t="n">
        <v>38411</v>
      </c>
      <c r="N64" s="201" t="n">
        <f aca="false">L64/M64*100-100</f>
        <v>20.7674884798625</v>
      </c>
      <c r="O64" s="223" t="n">
        <v>37</v>
      </c>
      <c r="P64" s="223" t="n">
        <v>60</v>
      </c>
      <c r="Q64" s="223" t="n">
        <v>37</v>
      </c>
      <c r="R64" s="202" t="n">
        <f aca="false">O64*P64</f>
        <v>2220</v>
      </c>
    </row>
    <row r="65" customFormat="false" ht="15" hidden="false" customHeight="false" outlineLevel="0" collapsed="false">
      <c r="A65" s="224" t="n">
        <v>8</v>
      </c>
      <c r="B65" s="220" t="s">
        <v>64</v>
      </c>
      <c r="C65" s="226" t="n">
        <v>147900</v>
      </c>
      <c r="D65" s="200" t="n">
        <v>255400</v>
      </c>
      <c r="E65" s="201" t="n">
        <f aca="false">C65/D65*100-100</f>
        <v>-42.0908379013313</v>
      </c>
      <c r="F65" s="200" t="n">
        <v>10600</v>
      </c>
      <c r="G65" s="227" t="n">
        <v>102300</v>
      </c>
      <c r="H65" s="201" t="n">
        <v>0</v>
      </c>
      <c r="I65" s="200" t="n">
        <v>198858</v>
      </c>
      <c r="J65" s="227" t="n">
        <v>215727</v>
      </c>
      <c r="K65" s="201" t="n">
        <f aca="false">I65/J65*100-100</f>
        <v>-7.81960533452002</v>
      </c>
      <c r="L65" s="200" t="n">
        <v>198858</v>
      </c>
      <c r="M65" s="227" t="n">
        <v>215727</v>
      </c>
      <c r="N65" s="201" t="n">
        <f aca="false">L65/M65*100-100</f>
        <v>-7.81960533452002</v>
      </c>
      <c r="O65" s="223" t="n">
        <v>35</v>
      </c>
      <c r="P65" s="222" t="n">
        <v>85</v>
      </c>
      <c r="Q65" s="223" t="n">
        <v>35</v>
      </c>
      <c r="R65" s="202" t="n">
        <f aca="false">O65*P65</f>
        <v>2975</v>
      </c>
    </row>
    <row r="66" customFormat="false" ht="15" hidden="false" customHeight="false" outlineLevel="0" collapsed="false">
      <c r="A66" s="224" t="n">
        <v>9</v>
      </c>
      <c r="B66" s="220" t="s">
        <v>65</v>
      </c>
      <c r="C66" s="200" t="n">
        <v>0</v>
      </c>
      <c r="D66" s="200" t="n">
        <v>0</v>
      </c>
      <c r="E66" s="201" t="n">
        <v>0</v>
      </c>
      <c r="F66" s="200" t="n">
        <v>0</v>
      </c>
      <c r="G66" s="200" t="n">
        <v>0</v>
      </c>
      <c r="H66" s="201" t="n">
        <v>0</v>
      </c>
      <c r="I66" s="200" t="n">
        <v>0</v>
      </c>
      <c r="J66" s="200" t="n">
        <v>0</v>
      </c>
      <c r="K66" s="201" t="n">
        <v>0</v>
      </c>
      <c r="L66" s="200" t="n">
        <v>0</v>
      </c>
      <c r="M66" s="200" t="n">
        <v>0</v>
      </c>
      <c r="N66" s="201" t="n">
        <v>0</v>
      </c>
      <c r="O66" s="203" t="n">
        <v>0</v>
      </c>
      <c r="P66" s="204" t="n">
        <v>0</v>
      </c>
      <c r="Q66" s="203" t="n">
        <v>0</v>
      </c>
      <c r="R66" s="202" t="n">
        <f aca="false">O66*P66</f>
        <v>0</v>
      </c>
    </row>
    <row r="67" customFormat="false" ht="15" hidden="false" customHeight="false" outlineLevel="0" collapsed="false">
      <c r="A67" s="228" t="s">
        <v>66</v>
      </c>
      <c r="B67" s="228"/>
      <c r="C67" s="229" t="n">
        <f aca="false">SUM(C58:C66)</f>
        <v>1181011</v>
      </c>
      <c r="D67" s="229" t="n">
        <f aca="false">SUM(D58:D66)</f>
        <v>1293725</v>
      </c>
      <c r="E67" s="313" t="n">
        <f aca="false">C67/D67*100-100</f>
        <v>-8.71236159152834</v>
      </c>
      <c r="F67" s="229" t="n">
        <f aca="false">SUM(F58:F66)</f>
        <v>147064</v>
      </c>
      <c r="G67" s="229" t="n">
        <f aca="false">SUM(G58:G66)</f>
        <v>204211</v>
      </c>
      <c r="H67" s="313" t="n">
        <f aca="false">F67/G67*100-100</f>
        <v>-27.9842907580884</v>
      </c>
      <c r="I67" s="231" t="n">
        <f aca="false">SUM(I58:I66)</f>
        <v>1220127</v>
      </c>
      <c r="J67" s="229" t="n">
        <f aca="false">SUM(J58:J66)</f>
        <v>1286588</v>
      </c>
      <c r="K67" s="313" t="n">
        <f aca="false">I67/J67*100-100</f>
        <v>-5.16567852335014</v>
      </c>
      <c r="L67" s="229" t="n">
        <f aca="false">SUM(L58:L66)</f>
        <v>751340</v>
      </c>
      <c r="M67" s="229" t="n">
        <f aca="false">SUM(M58:M66)</f>
        <v>820561</v>
      </c>
      <c r="N67" s="313" t="n">
        <f aca="false">L67/M67*100-100</f>
        <v>-8.43581403454466</v>
      </c>
      <c r="O67" s="231" t="n">
        <f aca="false">SUM(O58:O66)</f>
        <v>556</v>
      </c>
      <c r="P67" s="230" t="n">
        <f aca="false">R67/O67</f>
        <v>108.280575539568</v>
      </c>
      <c r="Q67" s="231" t="n">
        <f aca="false">SUM(Q58:Q66)</f>
        <v>556</v>
      </c>
      <c r="R67" s="232" t="n">
        <f aca="false">SUM(R58:R66)</f>
        <v>60204</v>
      </c>
    </row>
    <row r="68" customFormat="false" ht="15" hidden="false" customHeight="false" outlineLevel="0" collapsed="false">
      <c r="A68" s="197"/>
      <c r="B68" s="233"/>
      <c r="C68" s="197"/>
      <c r="D68" s="197"/>
      <c r="E68" s="197"/>
      <c r="F68" s="197"/>
      <c r="G68" s="197"/>
      <c r="H68" s="197"/>
      <c r="I68" s="197"/>
      <c r="J68" s="197"/>
      <c r="K68" s="234"/>
      <c r="L68" s="197"/>
      <c r="M68" s="197"/>
      <c r="N68" s="197"/>
      <c r="O68" s="197"/>
      <c r="P68" s="235"/>
      <c r="Q68" s="197"/>
      <c r="R68" s="197"/>
    </row>
    <row r="69" customFormat="false" ht="15" hidden="false" customHeight="false" outlineLevel="0" collapsed="false">
      <c r="A69" s="195" t="s">
        <v>67</v>
      </c>
      <c r="B69" s="195"/>
      <c r="C69" s="195" t="n">
        <v>3</v>
      </c>
      <c r="D69" s="195" t="n">
        <v>4</v>
      </c>
      <c r="E69" s="196" t="n">
        <v>5</v>
      </c>
      <c r="F69" s="195" t="n">
        <v>6</v>
      </c>
      <c r="G69" s="195" t="n">
        <v>7</v>
      </c>
      <c r="H69" s="195" t="n">
        <v>8</v>
      </c>
      <c r="I69" s="195" t="n">
        <v>9</v>
      </c>
      <c r="J69" s="195" t="n">
        <v>10</v>
      </c>
      <c r="K69" s="195" t="n">
        <v>11</v>
      </c>
      <c r="L69" s="195" t="n">
        <v>12</v>
      </c>
      <c r="M69" s="195" t="n">
        <v>13</v>
      </c>
      <c r="N69" s="195" t="n">
        <v>14</v>
      </c>
      <c r="O69" s="195" t="n">
        <v>15</v>
      </c>
      <c r="P69" s="196" t="n">
        <v>16</v>
      </c>
      <c r="Q69" s="195" t="n">
        <v>15</v>
      </c>
      <c r="R69" s="197"/>
    </row>
    <row r="70" customFormat="false" ht="15" hidden="false" customHeight="false" outlineLevel="0" collapsed="false">
      <c r="A70" s="198" t="n">
        <v>1</v>
      </c>
      <c r="B70" s="199" t="s">
        <v>68</v>
      </c>
      <c r="C70" s="203" t="n">
        <v>9763</v>
      </c>
      <c r="D70" s="203" t="n">
        <v>55836</v>
      </c>
      <c r="E70" s="201" t="n">
        <f aca="false">C70/D70*100-100</f>
        <v>-82.5148649616735</v>
      </c>
      <c r="F70" s="203" t="n">
        <v>1076</v>
      </c>
      <c r="G70" s="203" t="n">
        <v>5931</v>
      </c>
      <c r="H70" s="223" t="n">
        <f aca="false">F70/G70*100-100</f>
        <v>-81.8580340583376</v>
      </c>
      <c r="I70" s="203" t="n">
        <v>17858</v>
      </c>
      <c r="J70" s="203" t="n">
        <v>135768</v>
      </c>
      <c r="K70" s="214" t="n">
        <f aca="false">I70/J70*100</f>
        <v>13.153320370043</v>
      </c>
      <c r="L70" s="203" t="n">
        <v>14671</v>
      </c>
      <c r="M70" s="203" t="n">
        <v>53172</v>
      </c>
      <c r="N70" s="201" t="n">
        <f aca="false">L70/M70*100-100</f>
        <v>-72.4084104415858</v>
      </c>
      <c r="O70" s="203" t="n">
        <v>147</v>
      </c>
      <c r="P70" s="219" t="n">
        <v>55</v>
      </c>
      <c r="Q70" s="203" t="n">
        <v>146</v>
      </c>
      <c r="R70" s="202" t="n">
        <f aca="false">O70*P70</f>
        <v>8085</v>
      </c>
    </row>
    <row r="71" customFormat="false" ht="15" hidden="false" customHeight="false" outlineLevel="0" collapsed="false">
      <c r="A71" s="198" t="n">
        <v>2</v>
      </c>
      <c r="B71" s="199" t="s">
        <v>69</v>
      </c>
      <c r="C71" s="208" t="n">
        <v>428115</v>
      </c>
      <c r="D71" s="208" t="n">
        <v>409787</v>
      </c>
      <c r="E71" s="201" t="n">
        <f aca="false">C71/D71*100-100</f>
        <v>4.4725674557758</v>
      </c>
      <c r="F71" s="208" t="n">
        <v>21148</v>
      </c>
      <c r="G71" s="208" t="n">
        <v>34692</v>
      </c>
      <c r="H71" s="201" t="n">
        <f aca="false">F71/G71*100-100</f>
        <v>-39.0407010261732</v>
      </c>
      <c r="I71" s="208" t="n">
        <v>427996</v>
      </c>
      <c r="J71" s="208" t="n">
        <v>409528</v>
      </c>
      <c r="K71" s="201" t="n">
        <f aca="false">I71/J71*100-100</f>
        <v>4.50958176241917</v>
      </c>
      <c r="L71" s="208" t="n">
        <v>427996</v>
      </c>
      <c r="M71" s="208" t="n">
        <v>409528</v>
      </c>
      <c r="N71" s="201" t="n">
        <f aca="false">L71/M71*100-100</f>
        <v>4.50958176241917</v>
      </c>
      <c r="O71" s="203" t="n">
        <v>23</v>
      </c>
      <c r="P71" s="204" t="n">
        <v>89</v>
      </c>
      <c r="Q71" s="203" t="n">
        <v>23</v>
      </c>
      <c r="R71" s="202" t="n">
        <f aca="false">O71*P71</f>
        <v>2047</v>
      </c>
    </row>
    <row r="72" customFormat="false" ht="15" hidden="false" customHeight="false" outlineLevel="0" collapsed="false">
      <c r="A72" s="198" t="n">
        <v>3</v>
      </c>
      <c r="B72" s="199" t="s">
        <v>70</v>
      </c>
      <c r="C72" s="203" t="n">
        <v>21660</v>
      </c>
      <c r="D72" s="203" t="n">
        <v>31081</v>
      </c>
      <c r="E72" s="201" t="n">
        <f aca="false">C72/D72*100-100</f>
        <v>-30.3111225507545</v>
      </c>
      <c r="F72" s="203" t="n">
        <v>1522</v>
      </c>
      <c r="G72" s="203" t="n">
        <v>1473</v>
      </c>
      <c r="H72" s="201" t="n">
        <f aca="false">F72/G72*100-100</f>
        <v>3.32654446707399</v>
      </c>
      <c r="I72" s="203" t="n">
        <v>21182</v>
      </c>
      <c r="J72" s="203" t="n">
        <v>30308</v>
      </c>
      <c r="K72" s="201" t="n">
        <f aca="false">I72/J72*100-100</f>
        <v>-30.1108618186617</v>
      </c>
      <c r="L72" s="203" t="n">
        <v>7659</v>
      </c>
      <c r="M72" s="203" t="n">
        <v>4160</v>
      </c>
      <c r="N72" s="201" t="n">
        <f aca="false">L72/M72*100-100</f>
        <v>84.1105769230769</v>
      </c>
      <c r="O72" s="203" t="n">
        <v>43</v>
      </c>
      <c r="P72" s="219" t="n">
        <v>71</v>
      </c>
      <c r="Q72" s="203" t="n">
        <v>52</v>
      </c>
      <c r="R72" s="202" t="n">
        <f aca="false">O72*P72</f>
        <v>3053</v>
      </c>
    </row>
    <row r="73" customFormat="false" ht="15" hidden="false" customHeight="false" outlineLevel="0" collapsed="false">
      <c r="A73" s="198" t="n">
        <v>4</v>
      </c>
      <c r="B73" s="199" t="s">
        <v>218</v>
      </c>
      <c r="C73" s="203" t="n">
        <v>48837</v>
      </c>
      <c r="D73" s="203" t="n">
        <v>30215</v>
      </c>
      <c r="E73" s="201" t="n">
        <f aca="false">C73/D73*100-100</f>
        <v>61.63163991395</v>
      </c>
      <c r="F73" s="203" t="n">
        <v>3065</v>
      </c>
      <c r="G73" s="203" t="n">
        <v>1180</v>
      </c>
      <c r="H73" s="201" t="n">
        <f aca="false">F73/G73*100-100</f>
        <v>159.745762711864</v>
      </c>
      <c r="I73" s="203" t="n">
        <v>47217</v>
      </c>
      <c r="J73" s="203" t="n">
        <v>39603</v>
      </c>
      <c r="K73" s="201" t="n">
        <f aca="false">I73/J73*100-100</f>
        <v>19.2258162260435</v>
      </c>
      <c r="L73" s="203" t="n">
        <v>34491</v>
      </c>
      <c r="M73" s="203" t="n">
        <v>23341</v>
      </c>
      <c r="N73" s="201" t="n">
        <f aca="false">L73/M73*100-100</f>
        <v>47.7700184225183</v>
      </c>
      <c r="O73" s="203" t="n">
        <v>65</v>
      </c>
      <c r="P73" s="236" t="n">
        <v>50</v>
      </c>
      <c r="Q73" s="203" t="n">
        <v>74</v>
      </c>
      <c r="R73" s="202" t="n">
        <f aca="false">O73*P73</f>
        <v>3250</v>
      </c>
    </row>
    <row r="74" customFormat="false" ht="15" hidden="false" customHeight="false" outlineLevel="0" collapsed="false">
      <c r="A74" s="198" t="n">
        <v>5</v>
      </c>
      <c r="B74" s="199" t="s">
        <v>72</v>
      </c>
      <c r="C74" s="203" t="n">
        <v>59862</v>
      </c>
      <c r="D74" s="203" t="n">
        <v>55772</v>
      </c>
      <c r="E74" s="201" t="n">
        <f aca="false">C74/D74*100-100</f>
        <v>7.33342896076886</v>
      </c>
      <c r="F74" s="203" t="n">
        <v>150</v>
      </c>
      <c r="G74" s="203" t="n">
        <v>125</v>
      </c>
      <c r="H74" s="201" t="n">
        <f aca="false">F74/G74*100-100</f>
        <v>20</v>
      </c>
      <c r="I74" s="203" t="n">
        <v>59862</v>
      </c>
      <c r="J74" s="203" t="n">
        <v>56554</v>
      </c>
      <c r="K74" s="201" t="n">
        <f aca="false">I74/J74*100-100</f>
        <v>5.84927679739718</v>
      </c>
      <c r="L74" s="203" t="n">
        <v>47792</v>
      </c>
      <c r="M74" s="203" t="n">
        <f aca="false">41935+2033</f>
        <v>43968</v>
      </c>
      <c r="N74" s="201" t="n">
        <f aca="false">L74/M74*100-100</f>
        <v>8.69723435225617</v>
      </c>
      <c r="O74" s="203" t="n">
        <v>75</v>
      </c>
      <c r="P74" s="219" t="n">
        <v>120</v>
      </c>
      <c r="Q74" s="203" t="n">
        <v>78</v>
      </c>
      <c r="R74" s="202" t="n">
        <f aca="false">O74*P74</f>
        <v>9000</v>
      </c>
    </row>
    <row r="75" customFormat="false" ht="15" hidden="false" customHeight="false" outlineLevel="0" collapsed="false">
      <c r="A75" s="210" t="n">
        <v>6</v>
      </c>
      <c r="B75" s="199" t="s">
        <v>232</v>
      </c>
      <c r="C75" s="203" t="n">
        <v>36088</v>
      </c>
      <c r="D75" s="203" t="n">
        <v>2696</v>
      </c>
      <c r="E75" s="223" t="n">
        <f aca="false">C75/D75*100-100</f>
        <v>1238.57566765579</v>
      </c>
      <c r="F75" s="203" t="n">
        <v>85</v>
      </c>
      <c r="G75" s="203" t="n">
        <v>540</v>
      </c>
      <c r="H75" s="201" t="n">
        <v>0</v>
      </c>
      <c r="I75" s="203" t="n">
        <v>55336</v>
      </c>
      <c r="J75" s="203" t="n">
        <v>2836</v>
      </c>
      <c r="K75" s="223" t="n">
        <f aca="false">I75/J75*100-100</f>
        <v>1851.19887165021</v>
      </c>
      <c r="L75" s="203" t="n">
        <v>33961</v>
      </c>
      <c r="M75" s="203" t="n">
        <v>48</v>
      </c>
      <c r="N75" s="223" t="n">
        <f aca="false">L75/M75*100-100</f>
        <v>70652.0833333333</v>
      </c>
      <c r="O75" s="203" t="n">
        <v>8</v>
      </c>
      <c r="P75" s="219" t="n">
        <v>65</v>
      </c>
      <c r="Q75" s="203" t="n">
        <v>8</v>
      </c>
      <c r="R75" s="202" t="n">
        <f aca="false">O75*P75</f>
        <v>520</v>
      </c>
    </row>
    <row r="76" customFormat="false" ht="15" hidden="false" customHeight="false" outlineLevel="0" collapsed="false">
      <c r="A76" s="198" t="n">
        <v>7</v>
      </c>
      <c r="B76" s="199" t="s">
        <v>74</v>
      </c>
      <c r="C76" s="203" t="n">
        <v>463199</v>
      </c>
      <c r="D76" s="203" t="n">
        <v>704022</v>
      </c>
      <c r="E76" s="201" t="n">
        <f aca="false">C76/D76*100-100</f>
        <v>-34.2067435392644</v>
      </c>
      <c r="F76" s="203" t="n">
        <v>74509</v>
      </c>
      <c r="G76" s="203" t="n">
        <v>65369</v>
      </c>
      <c r="H76" s="201" t="n">
        <f aca="false">F76/G76*100-100</f>
        <v>13.9821627988802</v>
      </c>
      <c r="I76" s="203" t="n">
        <v>478298</v>
      </c>
      <c r="J76" s="203" t="n">
        <v>678722</v>
      </c>
      <c r="K76" s="201" t="n">
        <f aca="false">I76/J76*100-100</f>
        <v>-29.5296159546913</v>
      </c>
      <c r="L76" s="203" t="n">
        <f aca="false">21475+50264</f>
        <v>71739</v>
      </c>
      <c r="M76" s="203" t="n">
        <f aca="false">17865+158400</f>
        <v>176265</v>
      </c>
      <c r="N76" s="201" t="n">
        <f aca="false">L76/M76*100-100</f>
        <v>-59.3004850651009</v>
      </c>
      <c r="O76" s="203" t="n">
        <v>134</v>
      </c>
      <c r="P76" s="204" t="n">
        <v>200</v>
      </c>
      <c r="Q76" s="203" t="n">
        <v>139</v>
      </c>
      <c r="R76" s="202" t="n">
        <f aca="false">O76*P76</f>
        <v>26800</v>
      </c>
    </row>
    <row r="77" customFormat="false" ht="15" hidden="false" customHeight="false" outlineLevel="0" collapsed="false">
      <c r="A77" s="198" t="n">
        <v>8</v>
      </c>
      <c r="B77" s="199" t="s">
        <v>75</v>
      </c>
      <c r="C77" s="203" t="n">
        <v>84642</v>
      </c>
      <c r="D77" s="203" t="n">
        <v>2792</v>
      </c>
      <c r="E77" s="223" t="n">
        <f aca="false">C77/D77*100-100</f>
        <v>2931.59025787966</v>
      </c>
      <c r="F77" s="203" t="n">
        <v>8374</v>
      </c>
      <c r="G77" s="203" t="n">
        <v>76</v>
      </c>
      <c r="H77" s="201" t="n">
        <v>0</v>
      </c>
      <c r="I77" s="203" t="n">
        <v>84642</v>
      </c>
      <c r="J77" s="203" t="n">
        <v>3072</v>
      </c>
      <c r="K77" s="223" t="n">
        <f aca="false">I77/J77*100-100</f>
        <v>2655.2734375</v>
      </c>
      <c r="L77" s="203" t="n">
        <v>1045</v>
      </c>
      <c r="M77" s="203" t="n">
        <v>0</v>
      </c>
      <c r="N77" s="201" t="n">
        <v>0</v>
      </c>
      <c r="O77" s="203" t="n">
        <v>30</v>
      </c>
      <c r="P77" s="219" t="n">
        <v>40</v>
      </c>
      <c r="Q77" s="203" t="n">
        <v>32</v>
      </c>
      <c r="R77" s="202" t="n">
        <f aca="false">O77*P77</f>
        <v>1200</v>
      </c>
    </row>
    <row r="78" customFormat="false" ht="15" hidden="false" customHeight="false" outlineLevel="0" collapsed="false">
      <c r="A78" s="215" t="s">
        <v>76</v>
      </c>
      <c r="B78" s="215" t="s">
        <v>77</v>
      </c>
      <c r="C78" s="216" t="n">
        <f aca="false">SUM(C70:C77)</f>
        <v>1152166</v>
      </c>
      <c r="D78" s="216" t="n">
        <f aca="false">SUM(D70:D77)</f>
        <v>1292201</v>
      </c>
      <c r="E78" s="313" t="n">
        <f aca="false">C78/D78*100-100</f>
        <v>-10.836936358972</v>
      </c>
      <c r="F78" s="216" t="n">
        <f aca="false">SUM(F70:F77)</f>
        <v>109929</v>
      </c>
      <c r="G78" s="216" t="n">
        <f aca="false">SUM(G70:G77)</f>
        <v>109386</v>
      </c>
      <c r="H78" s="313" t="n">
        <f aca="false">F78/G78*100-100</f>
        <v>0.496407218474033</v>
      </c>
      <c r="I78" s="216" t="n">
        <f aca="false">SUM(I70:I77)</f>
        <v>1192391</v>
      </c>
      <c r="J78" s="216" t="n">
        <f aca="false">SUM(J70:J77)</f>
        <v>1356391</v>
      </c>
      <c r="K78" s="313" t="n">
        <f aca="false">I78/J78*100-100</f>
        <v>-12.0909088898408</v>
      </c>
      <c r="L78" s="216" t="n">
        <f aca="false">SUM(L70:L77)</f>
        <v>639354</v>
      </c>
      <c r="M78" s="216" t="n">
        <f aca="false">SUM(M70:M77)</f>
        <v>710482</v>
      </c>
      <c r="N78" s="313" t="n">
        <f aca="false">L78/M78*100-100</f>
        <v>-10.0112318116434</v>
      </c>
      <c r="O78" s="216" t="n">
        <f aca="false">SUM(O70:O77)</f>
        <v>525</v>
      </c>
      <c r="P78" s="217" t="n">
        <f aca="false">R78/O78</f>
        <v>102.771428571429</v>
      </c>
      <c r="Q78" s="216" t="n">
        <f aca="false">SUM(Q70:Q77)</f>
        <v>552</v>
      </c>
      <c r="R78" s="232" t="n">
        <f aca="false">SUM(R70:R77)</f>
        <v>53955</v>
      </c>
    </row>
    <row r="79" customFormat="false" ht="15" hidden="false" customHeight="false" outlineLevel="0" collapsed="false">
      <c r="A79" s="314" t="s">
        <v>78</v>
      </c>
      <c r="B79" s="314" t="s">
        <v>78</v>
      </c>
      <c r="C79" s="315" t="n">
        <f aca="false">C55+C67+C78</f>
        <v>4242760</v>
      </c>
      <c r="D79" s="315" t="n">
        <f aca="false">D55+D67+D78</f>
        <v>5641576</v>
      </c>
      <c r="E79" s="316" t="n">
        <f aca="false">C79/D79*100-100</f>
        <v>-24.7947736589917</v>
      </c>
      <c r="F79" s="315" t="n">
        <f aca="false">F55+F67+F78</f>
        <v>448781</v>
      </c>
      <c r="G79" s="315" t="n">
        <f aca="false">G55+G67+G78</f>
        <v>634701</v>
      </c>
      <c r="H79" s="316" t="n">
        <f aca="false">F79/G79*100-100</f>
        <v>-29.2925330194848</v>
      </c>
      <c r="I79" s="315" t="n">
        <f aca="false">I55+I67+I78</f>
        <v>4272112</v>
      </c>
      <c r="J79" s="315" t="n">
        <f aca="false">J55+J67+J78</f>
        <v>5141734</v>
      </c>
      <c r="K79" s="316" t="n">
        <f aca="false">I79/J79*100-100</f>
        <v>-16.9130102801895</v>
      </c>
      <c r="L79" s="315" t="n">
        <f aca="false">L55+L67+L78</f>
        <v>2240446</v>
      </c>
      <c r="M79" s="315" t="n">
        <f aca="false">M55+M67+M78</f>
        <v>2973610</v>
      </c>
      <c r="N79" s="316" t="n">
        <f aca="false">L79/M79*100-100</f>
        <v>-24.6556878676087</v>
      </c>
      <c r="O79" s="315" t="n">
        <f aca="false">O55+O67+O78</f>
        <v>1916</v>
      </c>
      <c r="P79" s="317" t="n">
        <f aca="false">R79/O79</f>
        <v>113.762526096033</v>
      </c>
      <c r="Q79" s="315" t="n">
        <f aca="false">Q55+Q67+Q78</f>
        <v>1947</v>
      </c>
      <c r="R79" s="318" t="n">
        <f aca="false">R55+R67+R78</f>
        <v>217969</v>
      </c>
    </row>
    <row r="80" customFormat="false" ht="15" hidden="false" customHeight="false" outlineLevel="0" collapsed="false">
      <c r="A80" s="203"/>
      <c r="B80" s="218"/>
      <c r="C80" s="203"/>
      <c r="D80" s="203"/>
      <c r="E80" s="203"/>
      <c r="F80" s="203"/>
      <c r="G80" s="203"/>
      <c r="H80" s="203"/>
      <c r="I80" s="203"/>
      <c r="J80" s="203"/>
      <c r="K80" s="192"/>
      <c r="L80" s="203"/>
      <c r="M80" s="203"/>
      <c r="N80" s="203"/>
      <c r="O80" s="203"/>
      <c r="P80" s="219"/>
      <c r="Q80" s="203"/>
      <c r="R80" s="197"/>
    </row>
    <row r="81" customFormat="false" ht="15" hidden="false" customHeight="false" outlineLevel="0" collapsed="false">
      <c r="A81" s="190" t="s">
        <v>79</v>
      </c>
      <c r="B81" s="190"/>
      <c r="C81" s="195" t="n">
        <v>3</v>
      </c>
      <c r="D81" s="195" t="n">
        <v>4</v>
      </c>
      <c r="E81" s="196" t="n">
        <v>5</v>
      </c>
      <c r="F81" s="195" t="n">
        <v>6</v>
      </c>
      <c r="G81" s="195" t="n">
        <v>7</v>
      </c>
      <c r="H81" s="195" t="n">
        <v>8</v>
      </c>
      <c r="I81" s="195" t="n">
        <v>9</v>
      </c>
      <c r="J81" s="195" t="n">
        <v>10</v>
      </c>
      <c r="K81" s="195" t="n">
        <v>11</v>
      </c>
      <c r="L81" s="195" t="n">
        <v>12</v>
      </c>
      <c r="M81" s="195" t="n">
        <v>13</v>
      </c>
      <c r="N81" s="195" t="n">
        <v>14</v>
      </c>
      <c r="O81" s="195" t="n">
        <v>15</v>
      </c>
      <c r="P81" s="196" t="n">
        <v>16</v>
      </c>
      <c r="Q81" s="195" t="n">
        <v>15</v>
      </c>
      <c r="R81" s="197"/>
    </row>
    <row r="82" customFormat="false" ht="15" hidden="false" customHeight="false" outlineLevel="0" collapsed="false">
      <c r="A82" s="242" t="n">
        <v>1</v>
      </c>
      <c r="B82" s="243" t="s">
        <v>80</v>
      </c>
      <c r="C82" s="208" t="n">
        <v>3143</v>
      </c>
      <c r="D82" s="208" t="n">
        <v>11444</v>
      </c>
      <c r="E82" s="201" t="n">
        <f aca="false">C82/D82*100-100</f>
        <v>-72.535826634044</v>
      </c>
      <c r="F82" s="208" t="n">
        <v>47</v>
      </c>
      <c r="G82" s="208" t="n">
        <v>338</v>
      </c>
      <c r="H82" s="201" t="n">
        <f aca="false">F82/G82*100-100</f>
        <v>-86.094674556213</v>
      </c>
      <c r="I82" s="208" t="n">
        <v>0</v>
      </c>
      <c r="J82" s="208" t="n">
        <v>0</v>
      </c>
      <c r="K82" s="201" t="n">
        <v>0</v>
      </c>
      <c r="L82" s="203" t="n">
        <v>0</v>
      </c>
      <c r="M82" s="208" t="n">
        <v>0</v>
      </c>
      <c r="N82" s="201" t="n">
        <v>0</v>
      </c>
      <c r="O82" s="203" t="n">
        <v>2504</v>
      </c>
      <c r="P82" s="208" t="n">
        <v>113</v>
      </c>
      <c r="Q82" s="203" t="n">
        <v>2560</v>
      </c>
      <c r="R82" s="202" t="n">
        <f aca="false">O82*P82</f>
        <v>282952</v>
      </c>
    </row>
    <row r="83" customFormat="false" ht="15" hidden="false" customHeight="false" outlineLevel="0" collapsed="false">
      <c r="A83" s="244" t="n">
        <v>2</v>
      </c>
      <c r="B83" s="243" t="s">
        <v>81</v>
      </c>
      <c r="C83" s="208" t="n">
        <v>323614</v>
      </c>
      <c r="D83" s="208" t="n">
        <v>465683</v>
      </c>
      <c r="E83" s="201" t="n">
        <f aca="false">C83/D83*100-100</f>
        <v>-30.5076629380931</v>
      </c>
      <c r="F83" s="208" t="n">
        <v>0</v>
      </c>
      <c r="G83" s="208" t="n">
        <v>61535</v>
      </c>
      <c r="H83" s="201" t="n">
        <f aca="false">F83/G83*100-100</f>
        <v>-100</v>
      </c>
      <c r="I83" s="208" t="n">
        <v>373942</v>
      </c>
      <c r="J83" s="208" t="n">
        <v>500704</v>
      </c>
      <c r="K83" s="201" t="n">
        <f aca="false">I83/J83*100-100</f>
        <v>-25.3167540103534</v>
      </c>
      <c r="L83" s="208" t="n">
        <v>361588</v>
      </c>
      <c r="M83" s="208" t="n">
        <v>493973</v>
      </c>
      <c r="N83" s="201" t="n">
        <f aca="false">L83/M83*100-100</f>
        <v>-26.8000477758906</v>
      </c>
      <c r="O83" s="203" t="n">
        <v>729</v>
      </c>
      <c r="P83" s="208" t="n">
        <v>130</v>
      </c>
      <c r="Q83" s="203" t="n">
        <v>737</v>
      </c>
      <c r="R83" s="202" t="n">
        <f aca="false">O83*P83</f>
        <v>94770</v>
      </c>
    </row>
    <row r="84" customFormat="false" ht="15" hidden="false" customHeight="false" outlineLevel="0" collapsed="false">
      <c r="A84" s="242" t="n">
        <v>3</v>
      </c>
      <c r="B84" s="243" t="s">
        <v>82</v>
      </c>
      <c r="C84" s="208" t="n">
        <v>981184</v>
      </c>
      <c r="D84" s="208" t="n">
        <v>750197</v>
      </c>
      <c r="E84" s="201" t="n">
        <f aca="false">C84/D84*100-100</f>
        <v>30.790179112953</v>
      </c>
      <c r="F84" s="208" t="n">
        <v>171587</v>
      </c>
      <c r="G84" s="208" t="n">
        <v>141915</v>
      </c>
      <c r="H84" s="201" t="n">
        <f aca="false">F84/G84*100-100</f>
        <v>20.9082901736955</v>
      </c>
      <c r="I84" s="208" t="n">
        <v>1053837</v>
      </c>
      <c r="J84" s="208" t="n">
        <v>1509886</v>
      </c>
      <c r="K84" s="201" t="n">
        <f aca="false">I84/J84*100-100</f>
        <v>-30.2042008469513</v>
      </c>
      <c r="L84" s="208" t="n">
        <v>274880</v>
      </c>
      <c r="M84" s="208" t="n">
        <v>331794</v>
      </c>
      <c r="N84" s="201" t="n">
        <f aca="false">L84/M84*100-100</f>
        <v>-17.1534144680133</v>
      </c>
      <c r="O84" s="203" t="n">
        <v>30</v>
      </c>
      <c r="P84" s="208" t="n">
        <v>306</v>
      </c>
      <c r="Q84" s="203" t="n">
        <v>28</v>
      </c>
      <c r="R84" s="202" t="n">
        <f aca="false">O84*P84</f>
        <v>9180</v>
      </c>
    </row>
    <row r="85" customFormat="false" ht="15" hidden="false" customHeight="false" outlineLevel="0" collapsed="false">
      <c r="A85" s="244" t="n">
        <v>4</v>
      </c>
      <c r="B85" s="243" t="s">
        <v>83</v>
      </c>
      <c r="C85" s="208" t="n">
        <v>798744</v>
      </c>
      <c r="D85" s="208" t="n">
        <v>653172</v>
      </c>
      <c r="E85" s="201" t="n">
        <f aca="false">C85/D85*100-100</f>
        <v>22.2869320791461</v>
      </c>
      <c r="F85" s="208" t="n">
        <v>117051</v>
      </c>
      <c r="G85" s="208" t="n">
        <v>85777</v>
      </c>
      <c r="H85" s="201" t="n">
        <f aca="false">F85/G85*100-100</f>
        <v>36.4596570176155</v>
      </c>
      <c r="I85" s="208" t="n">
        <v>784953</v>
      </c>
      <c r="J85" s="208" t="n">
        <v>610255</v>
      </c>
      <c r="K85" s="201" t="n">
        <f aca="false">I85/J85*100-100</f>
        <v>28.6270493482233</v>
      </c>
      <c r="L85" s="203" t="n">
        <v>558284</v>
      </c>
      <c r="M85" s="208" t="n">
        <v>419474</v>
      </c>
      <c r="N85" s="201" t="n">
        <f aca="false">L85/M85*100-100</f>
        <v>33.0914430930165</v>
      </c>
      <c r="O85" s="203" t="n">
        <v>180</v>
      </c>
      <c r="P85" s="208" t="n">
        <v>40</v>
      </c>
      <c r="Q85" s="203" t="n">
        <v>190</v>
      </c>
      <c r="R85" s="202" t="n">
        <f aca="false">O85*P85</f>
        <v>7200</v>
      </c>
    </row>
    <row r="86" customFormat="false" ht="15" hidden="false" customHeight="false" outlineLevel="0" collapsed="false">
      <c r="A86" s="242" t="n">
        <v>5</v>
      </c>
      <c r="B86" s="243" t="s">
        <v>84</v>
      </c>
      <c r="C86" s="219" t="n">
        <v>274531</v>
      </c>
      <c r="D86" s="219" t="n">
        <v>258769</v>
      </c>
      <c r="E86" s="201" t="n">
        <f aca="false">C86/D86*100-100</f>
        <v>6.09114693027372</v>
      </c>
      <c r="F86" s="219" t="n">
        <v>27796</v>
      </c>
      <c r="G86" s="219" t="n">
        <v>43814</v>
      </c>
      <c r="H86" s="201" t="n">
        <f aca="false">F86/G86*100-100</f>
        <v>-36.5590907016022</v>
      </c>
      <c r="I86" s="219" t="n">
        <v>276486</v>
      </c>
      <c r="J86" s="219" t="n">
        <v>258026</v>
      </c>
      <c r="K86" s="201" t="n">
        <f aca="false">I86/J86*100-100</f>
        <v>7.15431778192894</v>
      </c>
      <c r="L86" s="203" t="n">
        <v>153096</v>
      </c>
      <c r="M86" s="219" t="n">
        <v>110123</v>
      </c>
      <c r="N86" s="201" t="n">
        <f aca="false">L86/M86*100-100</f>
        <v>39.0227291301545</v>
      </c>
      <c r="O86" s="203" t="n">
        <v>91</v>
      </c>
      <c r="P86" s="219" t="n">
        <v>74</v>
      </c>
      <c r="Q86" s="203" t="n">
        <v>93</v>
      </c>
      <c r="R86" s="202" t="n">
        <f aca="false">O86*P86</f>
        <v>6734</v>
      </c>
    </row>
    <row r="87" customFormat="false" ht="15" hidden="false" customHeight="false" outlineLevel="0" collapsed="false">
      <c r="A87" s="244" t="n">
        <v>6</v>
      </c>
      <c r="B87" s="243" t="s">
        <v>85</v>
      </c>
      <c r="C87" s="200" t="n">
        <v>0</v>
      </c>
      <c r="D87" s="200" t="n">
        <v>0</v>
      </c>
      <c r="E87" s="201" t="n">
        <v>0</v>
      </c>
      <c r="F87" s="200" t="n">
        <v>0</v>
      </c>
      <c r="G87" s="200" t="n">
        <v>0</v>
      </c>
      <c r="H87" s="201" t="n">
        <v>0</v>
      </c>
      <c r="I87" s="200" t="n">
        <v>0</v>
      </c>
      <c r="J87" s="200" t="n">
        <v>0</v>
      </c>
      <c r="K87" s="201" t="n">
        <v>0</v>
      </c>
      <c r="L87" s="200" t="n">
        <v>0</v>
      </c>
      <c r="M87" s="200" t="n">
        <v>0</v>
      </c>
      <c r="N87" s="201" t="n">
        <v>0</v>
      </c>
      <c r="O87" s="203" t="n">
        <v>0</v>
      </c>
      <c r="P87" s="204" t="n">
        <v>0</v>
      </c>
      <c r="Q87" s="203" t="n">
        <v>0</v>
      </c>
      <c r="R87" s="202" t="n">
        <f aca="false">O87*P87</f>
        <v>0</v>
      </c>
    </row>
    <row r="88" customFormat="false" ht="15" hidden="false" customHeight="false" outlineLevel="0" collapsed="false">
      <c r="A88" s="244" t="n">
        <v>7</v>
      </c>
      <c r="B88" s="245" t="s">
        <v>87</v>
      </c>
      <c r="C88" s="219" t="n">
        <v>524449</v>
      </c>
      <c r="D88" s="219" t="n">
        <v>736807</v>
      </c>
      <c r="E88" s="201" t="n">
        <f aca="false">C88/D88*100-100</f>
        <v>-28.8213874189577</v>
      </c>
      <c r="F88" s="219" t="n">
        <v>82320</v>
      </c>
      <c r="G88" s="219" t="n">
        <v>79087</v>
      </c>
      <c r="H88" s="201" t="n">
        <f aca="false">F88/G88*100-100</f>
        <v>4.08790319521539</v>
      </c>
      <c r="I88" s="219" t="n">
        <v>850672</v>
      </c>
      <c r="J88" s="219" t="n">
        <v>818059</v>
      </c>
      <c r="K88" s="201" t="n">
        <f aca="false">I88/J88*100-100</f>
        <v>3.98663177105807</v>
      </c>
      <c r="L88" s="203" t="n">
        <v>243054</v>
      </c>
      <c r="M88" s="219" t="n">
        <v>149810</v>
      </c>
      <c r="N88" s="201" t="n">
        <f aca="false">L88/M88*100-100</f>
        <v>62.2415059074828</v>
      </c>
      <c r="O88" s="203" t="n">
        <v>65</v>
      </c>
      <c r="P88" s="208" t="n">
        <v>128</v>
      </c>
      <c r="Q88" s="203" t="n">
        <v>65</v>
      </c>
      <c r="R88" s="202" t="n">
        <f aca="false">O88*P88</f>
        <v>8320</v>
      </c>
    </row>
    <row r="89" customFormat="false" ht="15" hidden="false" customHeight="false" outlineLevel="0" collapsed="false">
      <c r="A89" s="242" t="n">
        <v>8</v>
      </c>
      <c r="B89" s="243" t="s">
        <v>89</v>
      </c>
      <c r="C89" s="208" t="n">
        <v>1177549</v>
      </c>
      <c r="D89" s="208" t="n">
        <v>937454</v>
      </c>
      <c r="E89" s="201" t="n">
        <f aca="false">C89/D89*100-100</f>
        <v>25.6113899988693</v>
      </c>
      <c r="F89" s="208" t="n">
        <v>189542</v>
      </c>
      <c r="G89" s="208" t="n">
        <v>157960</v>
      </c>
      <c r="H89" s="201" t="n">
        <f aca="false">F89/G89*100-100</f>
        <v>19.9936692833629</v>
      </c>
      <c r="I89" s="208" t="n">
        <v>1179368</v>
      </c>
      <c r="J89" s="208" t="n">
        <v>866441</v>
      </c>
      <c r="K89" s="201" t="n">
        <f aca="false">I89/J89*100-100</f>
        <v>36.1163656844494</v>
      </c>
      <c r="L89" s="203" t="n">
        <f aca="false">306350+427963</f>
        <v>734313</v>
      </c>
      <c r="M89" s="208" t="n">
        <f aca="false">242620+261535</f>
        <v>504155</v>
      </c>
      <c r="N89" s="201" t="n">
        <f aca="false">L89/M89*100-100</f>
        <v>45.652229968958</v>
      </c>
      <c r="O89" s="203" t="n">
        <v>103</v>
      </c>
      <c r="P89" s="208" t="n">
        <v>291</v>
      </c>
      <c r="Q89" s="203" t="n">
        <v>101</v>
      </c>
      <c r="R89" s="202" t="n">
        <f aca="false">O89*P89</f>
        <v>29973</v>
      </c>
    </row>
    <row r="90" customFormat="false" ht="15" hidden="false" customHeight="false" outlineLevel="0" collapsed="false">
      <c r="A90" s="242" t="n">
        <v>9</v>
      </c>
      <c r="B90" s="243" t="s">
        <v>233</v>
      </c>
      <c r="C90" s="208" t="n">
        <v>734452</v>
      </c>
      <c r="D90" s="208" t="n">
        <v>465019</v>
      </c>
      <c r="E90" s="201" t="n">
        <f aca="false">C90/D90*100-100</f>
        <v>57.9402131955899</v>
      </c>
      <c r="F90" s="208" t="n">
        <v>63189</v>
      </c>
      <c r="G90" s="208" t="n">
        <v>45797</v>
      </c>
      <c r="H90" s="201" t="n">
        <f aca="false">F90/G90*100-100</f>
        <v>37.9762866563312</v>
      </c>
      <c r="I90" s="208" t="n">
        <v>659988</v>
      </c>
      <c r="J90" s="208" t="n">
        <v>437718</v>
      </c>
      <c r="K90" s="201" t="n">
        <f aca="false">I90/J90*100-100</f>
        <v>50.7792688443244</v>
      </c>
      <c r="L90" s="203" t="n">
        <f aca="false">149531+41713</f>
        <v>191244</v>
      </c>
      <c r="M90" s="208" t="n">
        <f aca="false">104885+18067</f>
        <v>122952</v>
      </c>
      <c r="N90" s="201" t="n">
        <f aca="false">L90/M90*100-100</f>
        <v>55.5436267811829</v>
      </c>
      <c r="O90" s="203" t="n">
        <v>74</v>
      </c>
      <c r="P90" s="208" t="n">
        <v>162</v>
      </c>
      <c r="Q90" s="203" t="n">
        <v>74</v>
      </c>
      <c r="R90" s="202" t="n">
        <f aca="false">O90*P90</f>
        <v>11988</v>
      </c>
    </row>
    <row r="91" customFormat="false" ht="15" hidden="false" customHeight="false" outlineLevel="0" collapsed="false">
      <c r="A91" s="242" t="n">
        <v>10</v>
      </c>
      <c r="B91" s="243" t="s">
        <v>234</v>
      </c>
      <c r="C91" s="208" t="n">
        <v>163048</v>
      </c>
      <c r="D91" s="208" t="n">
        <v>75507</v>
      </c>
      <c r="E91" s="201" t="n">
        <f aca="false">C91/D91*100-100</f>
        <v>115.93759518985</v>
      </c>
      <c r="F91" s="208" t="n">
        <v>11122</v>
      </c>
      <c r="G91" s="208" t="n">
        <v>10512</v>
      </c>
      <c r="H91" s="201" t="n">
        <f aca="false">F91/G91*100-100</f>
        <v>5.80289193302892</v>
      </c>
      <c r="I91" s="208" t="n">
        <v>163048</v>
      </c>
      <c r="J91" s="208" t="n">
        <v>75507</v>
      </c>
      <c r="K91" s="201" t="n">
        <f aca="false">I91/J91*100-100</f>
        <v>115.93759518985</v>
      </c>
      <c r="L91" s="203" t="n">
        <f aca="false">19111+69276</f>
        <v>88387</v>
      </c>
      <c r="M91" s="208" t="n">
        <f aca="false">20727+5439</f>
        <v>26166</v>
      </c>
      <c r="N91" s="201" t="n">
        <f aca="false">L91/M91*100-100</f>
        <v>237.793319575021</v>
      </c>
      <c r="O91" s="203" t="n">
        <v>51</v>
      </c>
      <c r="P91" s="208"/>
      <c r="Q91" s="203" t="n">
        <v>51</v>
      </c>
      <c r="R91" s="202"/>
    </row>
    <row r="92" customFormat="false" ht="15" hidden="false" customHeight="false" outlineLevel="0" collapsed="false">
      <c r="A92" s="244" t="n">
        <v>11</v>
      </c>
      <c r="B92" s="243" t="s">
        <v>90</v>
      </c>
      <c r="C92" s="242" t="n">
        <v>247097</v>
      </c>
      <c r="D92" s="364" t="n">
        <v>215857</v>
      </c>
      <c r="E92" s="201" t="n">
        <f aca="false">C92/D92*100-100</f>
        <v>14.4725443233252</v>
      </c>
      <c r="F92" s="208" t="n">
        <v>15628</v>
      </c>
      <c r="G92" s="208" t="n">
        <v>24293</v>
      </c>
      <c r="H92" s="201" t="n">
        <f aca="false">F92/G92*100-100</f>
        <v>-35.6687111513605</v>
      </c>
      <c r="I92" s="247" t="n">
        <v>15628</v>
      </c>
      <c r="J92" s="248" t="n">
        <v>24293</v>
      </c>
      <c r="K92" s="201" t="n">
        <f aca="false">I92/J92*100-100</f>
        <v>-35.6687111513605</v>
      </c>
      <c r="L92" s="247" t="n">
        <f aca="false">270853+11584</f>
        <v>282437</v>
      </c>
      <c r="M92" s="248" t="n">
        <f aca="false">208371+24698</f>
        <v>233069</v>
      </c>
      <c r="N92" s="201" t="n">
        <f aca="false">L92/M92*100-100</f>
        <v>21.1817101373413</v>
      </c>
      <c r="O92" s="203" t="n">
        <v>52</v>
      </c>
      <c r="P92" s="208" t="n">
        <v>250</v>
      </c>
      <c r="Q92" s="203" t="n">
        <v>52</v>
      </c>
      <c r="R92" s="202" t="n">
        <f aca="false">O92*P92</f>
        <v>13000</v>
      </c>
    </row>
    <row r="93" customFormat="false" ht="15" hidden="false" customHeight="false" outlineLevel="0" collapsed="false">
      <c r="A93" s="215" t="s">
        <v>91</v>
      </c>
      <c r="B93" s="215" t="s">
        <v>92</v>
      </c>
      <c r="C93" s="237" t="n">
        <f aca="false">SUM(C82:C92)</f>
        <v>5227811</v>
      </c>
      <c r="D93" s="237" t="n">
        <f aca="false">SUM(D82:D92)</f>
        <v>4569909</v>
      </c>
      <c r="E93" s="313" t="n">
        <f aca="false">C93/D93*100-100</f>
        <v>14.3963917005787</v>
      </c>
      <c r="F93" s="237" t="n">
        <f aca="false">SUM(F82:F92)</f>
        <v>678282</v>
      </c>
      <c r="G93" s="237" t="n">
        <f aca="false">SUM(G82:G92)</f>
        <v>651028</v>
      </c>
      <c r="H93" s="313" t="n">
        <f aca="false">F93/G93*100-100</f>
        <v>4.18630227885744</v>
      </c>
      <c r="I93" s="237" t="n">
        <f aca="false">SUM(I82:I92)</f>
        <v>5357922</v>
      </c>
      <c r="J93" s="237" t="n">
        <f aca="false">SUM(J82:J92)</f>
        <v>5100889</v>
      </c>
      <c r="K93" s="313" t="n">
        <f aca="false">I93/J93*100-100</f>
        <v>5.03898438095791</v>
      </c>
      <c r="L93" s="237" t="n">
        <f aca="false">SUM(L82:L92)</f>
        <v>2887283</v>
      </c>
      <c r="M93" s="237" t="n">
        <f aca="false">SUM(M82:M92)</f>
        <v>2391516</v>
      </c>
      <c r="N93" s="313" t="n">
        <f aca="false">L93/M93*100-100</f>
        <v>20.7302397307816</v>
      </c>
      <c r="O93" s="216" t="n">
        <f aca="false">SUM(O82:O92)</f>
        <v>3879</v>
      </c>
      <c r="P93" s="217" t="n">
        <f aca="false">R93/O93</f>
        <v>119.648620778551</v>
      </c>
      <c r="Q93" s="216" t="n">
        <f aca="false">SUM(Q82:Q92)</f>
        <v>3951</v>
      </c>
      <c r="R93" s="232" t="n">
        <f aca="false">SUM(R82:R92)</f>
        <v>464117</v>
      </c>
    </row>
    <row r="94" customFormat="false" ht="15" hidden="false" customHeight="false" outlineLevel="0" collapsed="false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192"/>
      <c r="L94" s="203"/>
      <c r="M94" s="203"/>
      <c r="N94" s="203"/>
      <c r="O94" s="203"/>
      <c r="P94" s="219"/>
      <c r="Q94" s="203"/>
      <c r="R94" s="197"/>
    </row>
    <row r="95" customFormat="false" ht="15" hidden="false" customHeight="false" outlineLevel="0" collapsed="false">
      <c r="A95" s="190" t="s">
        <v>93</v>
      </c>
      <c r="B95" s="190"/>
      <c r="C95" s="195" t="n">
        <v>3</v>
      </c>
      <c r="D95" s="195" t="n">
        <v>4</v>
      </c>
      <c r="E95" s="196" t="n">
        <v>5</v>
      </c>
      <c r="F95" s="195" t="n">
        <v>6</v>
      </c>
      <c r="G95" s="195" t="n">
        <v>7</v>
      </c>
      <c r="H95" s="195" t="n">
        <v>8</v>
      </c>
      <c r="I95" s="195" t="n">
        <v>9</v>
      </c>
      <c r="J95" s="195" t="n">
        <v>10</v>
      </c>
      <c r="K95" s="195" t="n">
        <v>11</v>
      </c>
      <c r="L95" s="195" t="n">
        <v>12</v>
      </c>
      <c r="M95" s="195" t="n">
        <v>13</v>
      </c>
      <c r="N95" s="195" t="n">
        <v>14</v>
      </c>
      <c r="O95" s="195" t="n">
        <v>15</v>
      </c>
      <c r="P95" s="196" t="n">
        <v>16</v>
      </c>
      <c r="Q95" s="195" t="n">
        <v>15</v>
      </c>
      <c r="R95" s="197"/>
    </row>
    <row r="96" customFormat="false" ht="15" hidden="false" customHeight="false" outlineLevel="0" collapsed="false">
      <c r="A96" s="249" t="n">
        <v>1</v>
      </c>
      <c r="B96" s="245" t="s">
        <v>94</v>
      </c>
      <c r="C96" s="250" t="n">
        <v>276587</v>
      </c>
      <c r="D96" s="250" t="n">
        <v>209003</v>
      </c>
      <c r="E96" s="201" t="n">
        <f aca="false">C96/D96*100-100</f>
        <v>32.336377946728</v>
      </c>
      <c r="F96" s="250" t="n">
        <v>34448</v>
      </c>
      <c r="G96" s="250" t="n">
        <v>29360</v>
      </c>
      <c r="H96" s="201" t="n">
        <f aca="false">F96/G96*100-100</f>
        <v>17.3297002724796</v>
      </c>
      <c r="I96" s="250" t="n">
        <v>277334</v>
      </c>
      <c r="J96" s="251" t="n">
        <v>198233</v>
      </c>
      <c r="K96" s="201" t="n">
        <f aca="false">I96/J96*100-100</f>
        <v>39.903043388336</v>
      </c>
      <c r="L96" s="250" t="n">
        <v>277314</v>
      </c>
      <c r="M96" s="250" t="n">
        <v>198188</v>
      </c>
      <c r="N96" s="201" t="n">
        <f aca="false">L96/M96*100-100</f>
        <v>39.9247179445779</v>
      </c>
      <c r="O96" s="250" t="n">
        <v>269</v>
      </c>
      <c r="P96" s="250" t="n">
        <v>99</v>
      </c>
      <c r="Q96" s="250" t="n">
        <v>307</v>
      </c>
      <c r="R96" s="202" t="n">
        <f aca="false">O96*P96</f>
        <v>26631</v>
      </c>
    </row>
    <row r="97" customFormat="false" ht="15" hidden="false" customHeight="false" outlineLevel="0" collapsed="false">
      <c r="A97" s="249" t="n">
        <v>2</v>
      </c>
      <c r="B97" s="245" t="s">
        <v>95</v>
      </c>
      <c r="C97" s="200" t="n">
        <v>0</v>
      </c>
      <c r="D97" s="200" t="n">
        <v>0</v>
      </c>
      <c r="E97" s="201" t="n">
        <v>0</v>
      </c>
      <c r="F97" s="200" t="n">
        <v>0</v>
      </c>
      <c r="G97" s="200" t="n">
        <v>0</v>
      </c>
      <c r="H97" s="201" t="n">
        <v>0</v>
      </c>
      <c r="I97" s="200" t="n">
        <v>0</v>
      </c>
      <c r="J97" s="200" t="n">
        <v>0</v>
      </c>
      <c r="K97" s="201" t="n">
        <v>0</v>
      </c>
      <c r="L97" s="200" t="n">
        <v>0</v>
      </c>
      <c r="M97" s="200" t="n">
        <v>0</v>
      </c>
      <c r="N97" s="201" t="n">
        <v>0</v>
      </c>
      <c r="O97" s="250" t="n">
        <v>0</v>
      </c>
      <c r="P97" s="250" t="n">
        <v>0</v>
      </c>
      <c r="Q97" s="250" t="n">
        <v>0</v>
      </c>
      <c r="R97" s="202" t="n">
        <f aca="false">O97*P97</f>
        <v>0</v>
      </c>
    </row>
    <row r="98" customFormat="false" ht="15" hidden="false" customHeight="false" outlineLevel="0" collapsed="false">
      <c r="A98" s="249" t="n">
        <v>3</v>
      </c>
      <c r="B98" s="243" t="s">
        <v>96</v>
      </c>
      <c r="C98" s="200" t="n">
        <v>0</v>
      </c>
      <c r="D98" s="200" t="n">
        <v>0</v>
      </c>
      <c r="E98" s="201" t="n">
        <v>0</v>
      </c>
      <c r="F98" s="200" t="n">
        <v>0</v>
      </c>
      <c r="G98" s="200" t="n">
        <v>0</v>
      </c>
      <c r="H98" s="201" t="n">
        <v>0</v>
      </c>
      <c r="I98" s="200" t="n">
        <v>0</v>
      </c>
      <c r="J98" s="200" t="n">
        <v>0</v>
      </c>
      <c r="K98" s="201" t="n">
        <v>0</v>
      </c>
      <c r="L98" s="200" t="n">
        <v>0</v>
      </c>
      <c r="M98" s="200" t="n">
        <v>0</v>
      </c>
      <c r="N98" s="201" t="n">
        <v>0</v>
      </c>
      <c r="O98" s="250" t="n">
        <v>0</v>
      </c>
      <c r="P98" s="250" t="n">
        <v>0</v>
      </c>
      <c r="Q98" s="250" t="n">
        <v>0</v>
      </c>
      <c r="R98" s="202" t="n">
        <v>0</v>
      </c>
      <c r="S98" s="347"/>
    </row>
    <row r="99" customFormat="false" ht="15" hidden="false" customHeight="false" outlineLevel="0" collapsed="false">
      <c r="A99" s="249" t="n">
        <v>4</v>
      </c>
      <c r="B99" s="243" t="s">
        <v>97</v>
      </c>
      <c r="C99" s="200" t="n">
        <v>22825</v>
      </c>
      <c r="D99" s="200" t="n">
        <v>0</v>
      </c>
      <c r="E99" s="201" t="n">
        <v>0</v>
      </c>
      <c r="F99" s="200" t="n">
        <v>2200</v>
      </c>
      <c r="G99" s="200" t="n">
        <v>0</v>
      </c>
      <c r="H99" s="201" t="n">
        <v>0</v>
      </c>
      <c r="I99" s="200" t="n">
        <v>11207</v>
      </c>
      <c r="J99" s="200" t="n">
        <v>9664</v>
      </c>
      <c r="K99" s="201" t="n">
        <v>0</v>
      </c>
      <c r="L99" s="200" t="n">
        <v>0</v>
      </c>
      <c r="M99" s="200" t="n">
        <v>0</v>
      </c>
      <c r="N99" s="201" t="n">
        <v>0</v>
      </c>
      <c r="O99" s="250" t="n">
        <v>34</v>
      </c>
      <c r="P99" s="250" t="n">
        <v>130</v>
      </c>
      <c r="Q99" s="250" t="n">
        <v>35</v>
      </c>
      <c r="R99" s="202" t="n">
        <f aca="false">O99*P99</f>
        <v>4420</v>
      </c>
    </row>
    <row r="100" customFormat="false" ht="15" hidden="false" customHeight="false" outlineLevel="0" collapsed="false">
      <c r="A100" s="249" t="n">
        <v>5</v>
      </c>
      <c r="B100" s="245" t="s">
        <v>98</v>
      </c>
      <c r="C100" s="250" t="n">
        <v>402248</v>
      </c>
      <c r="D100" s="250" t="n">
        <v>436051</v>
      </c>
      <c r="E100" s="201" t="n">
        <f aca="false">C100/D100*100-100</f>
        <v>-7.75207487197599</v>
      </c>
      <c r="F100" s="250" t="n">
        <v>11368</v>
      </c>
      <c r="G100" s="250" t="n">
        <v>86082</v>
      </c>
      <c r="H100" s="201" t="n">
        <v>0</v>
      </c>
      <c r="I100" s="250" t="n">
        <v>406915</v>
      </c>
      <c r="J100" s="250" t="n">
        <v>469327</v>
      </c>
      <c r="K100" s="201" t="n">
        <f aca="false">I100/J100*100-100</f>
        <v>-13.2981908136544</v>
      </c>
      <c r="L100" s="250" t="n">
        <f aca="false">4542+402373</f>
        <v>406915</v>
      </c>
      <c r="M100" s="250" t="n">
        <v>469327</v>
      </c>
      <c r="N100" s="201" t="n">
        <f aca="false">L100/M100*100-100</f>
        <v>-13.2981908136544</v>
      </c>
      <c r="O100" s="250" t="n">
        <v>408</v>
      </c>
      <c r="P100" s="250" t="n">
        <v>52</v>
      </c>
      <c r="Q100" s="250" t="n">
        <v>408</v>
      </c>
      <c r="R100" s="202" t="n">
        <f aca="false">O100*P100</f>
        <v>21216</v>
      </c>
    </row>
    <row r="101" customFormat="false" ht="15" hidden="false" customHeight="false" outlineLevel="0" collapsed="false">
      <c r="A101" s="249" t="n">
        <v>6</v>
      </c>
      <c r="B101" s="245" t="s">
        <v>99</v>
      </c>
      <c r="C101" s="200" t="n">
        <v>0</v>
      </c>
      <c r="D101" s="200" t="n">
        <v>0</v>
      </c>
      <c r="E101" s="201" t="n">
        <v>0</v>
      </c>
      <c r="F101" s="200" t="n">
        <v>0</v>
      </c>
      <c r="G101" s="200" t="n">
        <v>0</v>
      </c>
      <c r="H101" s="201" t="n">
        <v>0</v>
      </c>
      <c r="I101" s="200" t="n">
        <v>0</v>
      </c>
      <c r="J101" s="200" t="n">
        <v>0</v>
      </c>
      <c r="K101" s="201" t="n">
        <v>0</v>
      </c>
      <c r="L101" s="200" t="n">
        <v>0</v>
      </c>
      <c r="M101" s="200" t="n">
        <v>0</v>
      </c>
      <c r="N101" s="201" t="n">
        <v>0</v>
      </c>
      <c r="O101" s="250" t="n">
        <v>0</v>
      </c>
      <c r="P101" s="250" t="n">
        <v>0</v>
      </c>
      <c r="Q101" s="250" t="n">
        <v>0</v>
      </c>
      <c r="R101" s="202" t="n">
        <f aca="false">O101*P101</f>
        <v>0</v>
      </c>
    </row>
    <row r="102" customFormat="false" ht="15" hidden="false" customHeight="false" outlineLevel="0" collapsed="false">
      <c r="A102" s="249" t="n">
        <v>7</v>
      </c>
      <c r="B102" s="243" t="s">
        <v>100</v>
      </c>
      <c r="C102" s="200" t="n">
        <v>0</v>
      </c>
      <c r="D102" s="200" t="n">
        <v>0</v>
      </c>
      <c r="E102" s="201" t="n">
        <v>0</v>
      </c>
      <c r="F102" s="200" t="n">
        <v>0</v>
      </c>
      <c r="G102" s="200" t="n">
        <v>0</v>
      </c>
      <c r="H102" s="201" t="n">
        <v>0</v>
      </c>
      <c r="I102" s="200" t="n">
        <v>0</v>
      </c>
      <c r="J102" s="200" t="n">
        <v>0</v>
      </c>
      <c r="K102" s="201" t="n">
        <v>0</v>
      </c>
      <c r="L102" s="200" t="n">
        <v>0</v>
      </c>
      <c r="M102" s="200" t="n">
        <v>0</v>
      </c>
      <c r="N102" s="201" t="n">
        <v>0</v>
      </c>
      <c r="O102" s="250" t="n">
        <v>0</v>
      </c>
      <c r="P102" s="250" t="n">
        <v>0</v>
      </c>
      <c r="Q102" s="250" t="n">
        <v>0</v>
      </c>
      <c r="R102" s="202" t="n">
        <f aca="false">O102*P102</f>
        <v>0</v>
      </c>
    </row>
    <row r="103" customFormat="false" ht="15" hidden="false" customHeight="false" outlineLevel="0" collapsed="false">
      <c r="A103" s="249" t="n">
        <v>8</v>
      </c>
      <c r="B103" s="245" t="s">
        <v>101</v>
      </c>
      <c r="C103" s="208" t="n">
        <v>296977</v>
      </c>
      <c r="D103" s="208" t="n">
        <v>250431</v>
      </c>
      <c r="E103" s="201" t="n">
        <f aca="false">C103/D103*100-100</f>
        <v>18.5863571203246</v>
      </c>
      <c r="F103" s="208" t="n">
        <v>19692</v>
      </c>
      <c r="G103" s="208" t="n">
        <v>43214</v>
      </c>
      <c r="H103" s="201" t="n">
        <f aca="false">F103/G103*100-100</f>
        <v>-54.4314342574166</v>
      </c>
      <c r="I103" s="208" t="n">
        <v>321621</v>
      </c>
      <c r="J103" s="208" t="n">
        <v>180073</v>
      </c>
      <c r="K103" s="201" t="n">
        <f aca="false">I103/J103*100-100</f>
        <v>78.6058987188529</v>
      </c>
      <c r="L103" s="208" t="n">
        <f aca="false">38543+69157</f>
        <v>107700</v>
      </c>
      <c r="M103" s="208" t="n">
        <f aca="false">1971+37149</f>
        <v>39120</v>
      </c>
      <c r="N103" s="223" t="n">
        <f aca="false">L103/M103*100-100</f>
        <v>175.306748466258</v>
      </c>
      <c r="O103" s="250" t="n">
        <v>127</v>
      </c>
      <c r="P103" s="250" t="n">
        <v>146</v>
      </c>
      <c r="Q103" s="250" t="n">
        <v>144</v>
      </c>
      <c r="R103" s="202" t="n">
        <f aca="false">O103*P103</f>
        <v>18542</v>
      </c>
    </row>
    <row r="104" customFormat="false" ht="15" hidden="false" customHeight="false" outlineLevel="0" collapsed="false">
      <c r="A104" s="249" t="n">
        <v>9</v>
      </c>
      <c r="B104" s="245" t="s">
        <v>102</v>
      </c>
      <c r="C104" s="200" t="n">
        <v>0</v>
      </c>
      <c r="D104" s="200" t="n">
        <v>0</v>
      </c>
      <c r="E104" s="201" t="n">
        <v>0</v>
      </c>
      <c r="F104" s="200" t="n">
        <v>0</v>
      </c>
      <c r="G104" s="200" t="n">
        <v>0</v>
      </c>
      <c r="H104" s="201" t="n">
        <v>0</v>
      </c>
      <c r="I104" s="200" t="n">
        <v>0</v>
      </c>
      <c r="J104" s="200" t="n">
        <v>0</v>
      </c>
      <c r="K104" s="201" t="n">
        <v>0</v>
      </c>
      <c r="L104" s="200" t="n">
        <v>0</v>
      </c>
      <c r="M104" s="200" t="n">
        <v>0</v>
      </c>
      <c r="N104" s="201" t="n">
        <v>0</v>
      </c>
      <c r="O104" s="250" t="n">
        <v>0</v>
      </c>
      <c r="P104" s="250" t="n">
        <v>0</v>
      </c>
      <c r="Q104" s="250" t="n">
        <v>0</v>
      </c>
      <c r="R104" s="202" t="n">
        <f aca="false">O104*P104</f>
        <v>0</v>
      </c>
    </row>
    <row r="105" customFormat="false" ht="15" hidden="false" customHeight="false" outlineLevel="0" collapsed="false">
      <c r="A105" s="249" t="n">
        <v>10</v>
      </c>
      <c r="B105" s="243" t="s">
        <v>220</v>
      </c>
      <c r="C105" s="203" t="n">
        <v>131674</v>
      </c>
      <c r="D105" s="203" t="n">
        <v>74817</v>
      </c>
      <c r="E105" s="201" t="n">
        <f aca="false">C105/D105*100-100</f>
        <v>75.9947605490731</v>
      </c>
      <c r="F105" s="203" t="n">
        <v>26611</v>
      </c>
      <c r="G105" s="203" t="n">
        <v>15773</v>
      </c>
      <c r="H105" s="201" t="n">
        <v>0</v>
      </c>
      <c r="I105" s="203" t="n">
        <v>131674</v>
      </c>
      <c r="J105" s="203" t="n">
        <v>74817</v>
      </c>
      <c r="K105" s="201" t="n">
        <f aca="false">I105/J105*100-100</f>
        <v>75.9947605490731</v>
      </c>
      <c r="L105" s="203" t="n">
        <v>131674</v>
      </c>
      <c r="M105" s="203" t="n">
        <v>74817</v>
      </c>
      <c r="N105" s="201" t="n">
        <f aca="false">L105/M105*100-100</f>
        <v>75.9947605490731</v>
      </c>
      <c r="O105" s="250" t="n">
        <v>86</v>
      </c>
      <c r="P105" s="250" t="n">
        <v>62</v>
      </c>
      <c r="Q105" s="250" t="n">
        <v>90</v>
      </c>
      <c r="R105" s="202" t="n">
        <f aca="false">O105*P105</f>
        <v>5332</v>
      </c>
    </row>
    <row r="106" customFormat="false" ht="15" hidden="false" customHeight="false" outlineLevel="0" collapsed="false">
      <c r="A106" s="249" t="n">
        <v>11</v>
      </c>
      <c r="B106" s="245" t="s">
        <v>104</v>
      </c>
      <c r="C106" s="200" t="n">
        <v>0</v>
      </c>
      <c r="D106" s="200" t="n">
        <v>0</v>
      </c>
      <c r="E106" s="201" t="n">
        <v>0</v>
      </c>
      <c r="F106" s="200" t="n">
        <v>0</v>
      </c>
      <c r="G106" s="200" t="n">
        <v>0</v>
      </c>
      <c r="H106" s="201" t="n">
        <v>0</v>
      </c>
      <c r="I106" s="200" t="n">
        <v>0</v>
      </c>
      <c r="J106" s="200" t="n">
        <v>0</v>
      </c>
      <c r="K106" s="201" t="n">
        <v>0</v>
      </c>
      <c r="L106" s="200" t="n">
        <v>0</v>
      </c>
      <c r="M106" s="200" t="n">
        <v>0</v>
      </c>
      <c r="N106" s="201" t="n">
        <v>0</v>
      </c>
      <c r="O106" s="250" t="n">
        <v>0</v>
      </c>
      <c r="P106" s="250" t="n">
        <v>0</v>
      </c>
      <c r="Q106" s="250" t="n">
        <v>0</v>
      </c>
      <c r="R106" s="202" t="n">
        <f aca="false">O106*P106</f>
        <v>0</v>
      </c>
    </row>
    <row r="107" customFormat="false" ht="15" hidden="false" customHeight="false" outlineLevel="0" collapsed="false">
      <c r="A107" s="249" t="n">
        <v>12</v>
      </c>
      <c r="B107" s="245" t="s">
        <v>221</v>
      </c>
      <c r="C107" s="251" t="n">
        <v>63730</v>
      </c>
      <c r="D107" s="250" t="n">
        <v>71524</v>
      </c>
      <c r="E107" s="201" t="n">
        <f aca="false">C107/D107*100-100</f>
        <v>-10.8970415524859</v>
      </c>
      <c r="F107" s="251" t="n">
        <v>8500</v>
      </c>
      <c r="G107" s="250" t="n">
        <v>9540</v>
      </c>
      <c r="H107" s="201" t="n">
        <f aca="false">F107/G107*100-100</f>
        <v>-10.9014675052411</v>
      </c>
      <c r="I107" s="251" t="n">
        <v>59200</v>
      </c>
      <c r="J107" s="251" t="n">
        <v>70200</v>
      </c>
      <c r="K107" s="201" t="n">
        <f aca="false">I107/J107*100-100</f>
        <v>-15.6695156695157</v>
      </c>
      <c r="L107" s="250" t="n">
        <v>0</v>
      </c>
      <c r="M107" s="250" t="n">
        <v>0</v>
      </c>
      <c r="N107" s="201" t="n">
        <v>0</v>
      </c>
      <c r="O107" s="250" t="n">
        <v>12</v>
      </c>
      <c r="P107" s="250" t="n">
        <v>58</v>
      </c>
      <c r="Q107" s="250" t="n">
        <v>15</v>
      </c>
      <c r="R107" s="202" t="n">
        <f aca="false">O107*P107</f>
        <v>696</v>
      </c>
    </row>
    <row r="108" customFormat="false" ht="15" hidden="false" customHeight="false" outlineLevel="0" collapsed="false">
      <c r="A108" s="249" t="n">
        <v>13</v>
      </c>
      <c r="B108" s="245" t="s">
        <v>222</v>
      </c>
      <c r="C108" s="251"/>
      <c r="D108" s="251"/>
      <c r="E108" s="251" t="e">
        <f aca="false">C108/D108*100-100</f>
        <v>#DIV/0!</v>
      </c>
      <c r="F108" s="251"/>
      <c r="G108" s="251"/>
      <c r="H108" s="251" t="e">
        <f aca="false">F108/G108*100-100</f>
        <v>#DIV/0!</v>
      </c>
      <c r="I108" s="251"/>
      <c r="J108" s="251"/>
      <c r="K108" s="260" t="e">
        <f aca="false">I108/J108*100-100</f>
        <v>#DIV/0!</v>
      </c>
      <c r="L108" s="251"/>
      <c r="M108" s="251"/>
      <c r="N108" s="260" t="e">
        <f aca="false">L108/M108*100-100</f>
        <v>#DIV/0!</v>
      </c>
      <c r="O108" s="251" t="n">
        <v>0</v>
      </c>
      <c r="P108" s="251" t="n">
        <v>69</v>
      </c>
      <c r="Q108" s="251" t="n">
        <v>57</v>
      </c>
      <c r="R108" s="202" t="n">
        <f aca="false">O108*P108</f>
        <v>0</v>
      </c>
    </row>
    <row r="109" customFormat="false" ht="15" hidden="false" customHeight="false" outlineLevel="0" collapsed="false">
      <c r="A109" s="249" t="n">
        <v>14</v>
      </c>
      <c r="B109" s="245" t="s">
        <v>223</v>
      </c>
      <c r="C109" s="200" t="n">
        <v>0</v>
      </c>
      <c r="D109" s="200" t="n">
        <v>0</v>
      </c>
      <c r="E109" s="201" t="n">
        <v>0</v>
      </c>
      <c r="F109" s="200" t="n">
        <v>0</v>
      </c>
      <c r="G109" s="200" t="n">
        <v>0</v>
      </c>
      <c r="H109" s="201" t="n">
        <v>0</v>
      </c>
      <c r="I109" s="200" t="n">
        <v>0</v>
      </c>
      <c r="J109" s="200" t="n">
        <v>0</v>
      </c>
      <c r="K109" s="201" t="n">
        <v>0</v>
      </c>
      <c r="L109" s="200" t="n">
        <v>0</v>
      </c>
      <c r="M109" s="200" t="n">
        <v>0</v>
      </c>
      <c r="N109" s="201" t="n">
        <v>0</v>
      </c>
      <c r="O109" s="250" t="n">
        <v>0</v>
      </c>
      <c r="P109" s="250" t="n">
        <v>0</v>
      </c>
      <c r="Q109" s="250" t="n">
        <v>0</v>
      </c>
      <c r="R109" s="202" t="n">
        <f aca="false">O109*P109</f>
        <v>0</v>
      </c>
    </row>
    <row r="110" customFormat="false" ht="15" hidden="false" customHeight="false" outlineLevel="0" collapsed="false">
      <c r="A110" s="249" t="n">
        <v>15</v>
      </c>
      <c r="B110" s="245" t="s">
        <v>224</v>
      </c>
      <c r="C110" s="208" t="n">
        <v>103229</v>
      </c>
      <c r="D110" s="208" t="n">
        <v>43921</v>
      </c>
      <c r="E110" s="201" t="n">
        <f aca="false">C110/D110*100-100</f>
        <v>135.033355342547</v>
      </c>
      <c r="F110" s="208" t="n">
        <v>4992</v>
      </c>
      <c r="G110" s="208" t="n">
        <v>17431</v>
      </c>
      <c r="H110" s="201" t="n">
        <v>0</v>
      </c>
      <c r="I110" s="208" t="n">
        <v>103229</v>
      </c>
      <c r="J110" s="208" t="n">
        <v>43921</v>
      </c>
      <c r="K110" s="201" t="n">
        <f aca="false">I110/J110*100-100</f>
        <v>135.033355342547</v>
      </c>
      <c r="L110" s="208" t="n">
        <v>103229</v>
      </c>
      <c r="M110" s="208" t="n">
        <v>43921</v>
      </c>
      <c r="N110" s="201" t="n">
        <f aca="false">L110/M110*100-100</f>
        <v>135.033355342547</v>
      </c>
      <c r="O110" s="250" t="n">
        <v>95</v>
      </c>
      <c r="P110" s="250" t="n">
        <v>100</v>
      </c>
      <c r="Q110" s="250" t="n">
        <v>93</v>
      </c>
      <c r="R110" s="202" t="n">
        <f aca="false">O110*P110</f>
        <v>9500</v>
      </c>
    </row>
    <row r="111" customFormat="false" ht="15" hidden="false" customHeight="false" outlineLevel="0" collapsed="false">
      <c r="A111" s="249" t="n">
        <v>16</v>
      </c>
      <c r="B111" s="245" t="s">
        <v>109</v>
      </c>
      <c r="C111" s="208" t="n">
        <v>168390</v>
      </c>
      <c r="D111" s="208" t="n">
        <v>385458</v>
      </c>
      <c r="E111" s="201" t="n">
        <f aca="false">C111/D111*100-100</f>
        <v>-56.3143066170633</v>
      </c>
      <c r="F111" s="208" t="n">
        <v>14501</v>
      </c>
      <c r="G111" s="208" t="n">
        <v>49537</v>
      </c>
      <c r="H111" s="201" t="n">
        <f aca="false">F111/G111*100-100</f>
        <v>-70.7269313846216</v>
      </c>
      <c r="I111" s="208" t="n">
        <v>166758</v>
      </c>
      <c r="J111" s="208" t="n">
        <v>376398</v>
      </c>
      <c r="K111" s="201" t="n">
        <f aca="false">I111/J111*100-100</f>
        <v>-55.6963639551751</v>
      </c>
      <c r="L111" s="208" t="n">
        <v>0</v>
      </c>
      <c r="M111" s="208" t="n">
        <v>0</v>
      </c>
      <c r="N111" s="201" t="n">
        <v>0</v>
      </c>
      <c r="O111" s="250" t="n">
        <v>98</v>
      </c>
      <c r="P111" s="250" t="n">
        <v>75</v>
      </c>
      <c r="Q111" s="250" t="n">
        <v>100</v>
      </c>
      <c r="R111" s="202" t="n">
        <f aca="false">O111*P111</f>
        <v>7350</v>
      </c>
    </row>
    <row r="112" customFormat="false" ht="15" hidden="false" customHeight="false" outlineLevel="0" collapsed="false">
      <c r="A112" s="249" t="n">
        <v>17</v>
      </c>
      <c r="B112" s="245" t="s">
        <v>110</v>
      </c>
      <c r="C112" s="251" t="n">
        <v>467917</v>
      </c>
      <c r="D112" s="250" t="n">
        <v>670890</v>
      </c>
      <c r="E112" s="201" t="n">
        <f aca="false">C112/D112*100-100</f>
        <v>-30.2542890786865</v>
      </c>
      <c r="F112" s="251" t="n">
        <v>46681</v>
      </c>
      <c r="G112" s="251" t="n">
        <v>68852</v>
      </c>
      <c r="H112" s="201" t="n">
        <f aca="false">F112/G112*100-100</f>
        <v>-32.2009527682566</v>
      </c>
      <c r="I112" s="251" t="n">
        <v>415311</v>
      </c>
      <c r="J112" s="251" t="n">
        <v>607185</v>
      </c>
      <c r="K112" s="201" t="n">
        <f aca="false">I112/J112*100-100</f>
        <v>-31.6005830183552</v>
      </c>
      <c r="L112" s="250" t="n">
        <v>0</v>
      </c>
      <c r="M112" s="250" t="n">
        <v>0</v>
      </c>
      <c r="N112" s="251" t="n">
        <v>0</v>
      </c>
      <c r="O112" s="250" t="n">
        <v>169</v>
      </c>
      <c r="P112" s="250" t="n">
        <v>70</v>
      </c>
      <c r="Q112" s="250" t="n">
        <v>170</v>
      </c>
      <c r="R112" s="202" t="n">
        <f aca="false">O112*P112</f>
        <v>11830</v>
      </c>
    </row>
    <row r="113" customFormat="false" ht="15" hidden="false" customHeight="false" outlineLevel="0" collapsed="false">
      <c r="A113" s="249" t="n">
        <v>18</v>
      </c>
      <c r="B113" s="243" t="s">
        <v>111</v>
      </c>
      <c r="C113" s="208" t="n">
        <v>503582</v>
      </c>
      <c r="D113" s="208" t="n">
        <v>300716</v>
      </c>
      <c r="E113" s="201" t="n">
        <f aca="false">C113/D113*100-100</f>
        <v>67.4609930964764</v>
      </c>
      <c r="F113" s="208" t="n">
        <v>113339</v>
      </c>
      <c r="G113" s="208" t="n">
        <v>19530</v>
      </c>
      <c r="H113" s="201" t="n">
        <f aca="false">F113/G113*100-100</f>
        <v>480.332821300563</v>
      </c>
      <c r="I113" s="208" t="n">
        <v>503582</v>
      </c>
      <c r="J113" s="208" t="n">
        <v>300716</v>
      </c>
      <c r="K113" s="201" t="n">
        <f aca="false">I113/J113*100-100</f>
        <v>67.4609930964764</v>
      </c>
      <c r="L113" s="208" t="n">
        <f aca="false">74005+39334</f>
        <v>113339</v>
      </c>
      <c r="M113" s="208" t="n">
        <v>300716</v>
      </c>
      <c r="N113" s="201" t="n">
        <f aca="false">L113/M113*100-100</f>
        <v>-62.3102861171338</v>
      </c>
      <c r="O113" s="250" t="n">
        <v>361</v>
      </c>
      <c r="P113" s="250" t="n">
        <v>70</v>
      </c>
      <c r="Q113" s="250" t="n">
        <v>410</v>
      </c>
      <c r="R113" s="202" t="n">
        <f aca="false">O113*P113</f>
        <v>25270</v>
      </c>
    </row>
    <row r="114" customFormat="false" ht="15" hidden="false" customHeight="false" outlineLevel="0" collapsed="false">
      <c r="A114" s="249" t="n">
        <v>19</v>
      </c>
      <c r="B114" s="245" t="s">
        <v>112</v>
      </c>
      <c r="C114" s="200" t="n">
        <v>0</v>
      </c>
      <c r="D114" s="200" t="n">
        <v>0</v>
      </c>
      <c r="E114" s="201" t="n">
        <v>0</v>
      </c>
      <c r="F114" s="200" t="n">
        <v>0</v>
      </c>
      <c r="G114" s="200" t="n">
        <v>0</v>
      </c>
      <c r="H114" s="201" t="n">
        <v>0</v>
      </c>
      <c r="I114" s="200" t="n">
        <v>0</v>
      </c>
      <c r="J114" s="200" t="n">
        <v>0</v>
      </c>
      <c r="K114" s="201" t="n">
        <v>0</v>
      </c>
      <c r="L114" s="200" t="n">
        <v>0</v>
      </c>
      <c r="M114" s="200" t="n">
        <v>0</v>
      </c>
      <c r="N114" s="201" t="n">
        <v>0</v>
      </c>
      <c r="O114" s="251" t="n">
        <v>0</v>
      </c>
      <c r="P114" s="251" t="n">
        <v>0</v>
      </c>
      <c r="Q114" s="251" t="n">
        <v>0</v>
      </c>
      <c r="R114" s="202" t="n">
        <f aca="false">O114*P114</f>
        <v>0</v>
      </c>
    </row>
    <row r="115" customFormat="false" ht="15" hidden="false" customHeight="false" outlineLevel="0" collapsed="false">
      <c r="A115" s="249" t="n">
        <v>20</v>
      </c>
      <c r="B115" s="245" t="s">
        <v>113</v>
      </c>
      <c r="C115" s="200" t="n">
        <v>0</v>
      </c>
      <c r="D115" s="200" t="n">
        <v>0</v>
      </c>
      <c r="E115" s="201" t="n">
        <v>0</v>
      </c>
      <c r="F115" s="200" t="n">
        <v>0</v>
      </c>
      <c r="G115" s="200" t="n">
        <v>0</v>
      </c>
      <c r="H115" s="201" t="n">
        <v>0</v>
      </c>
      <c r="I115" s="200" t="n">
        <v>0</v>
      </c>
      <c r="J115" s="200" t="n">
        <v>0</v>
      </c>
      <c r="K115" s="201" t="n">
        <v>0</v>
      </c>
      <c r="L115" s="200" t="n">
        <v>0</v>
      </c>
      <c r="M115" s="200" t="n">
        <v>0</v>
      </c>
      <c r="N115" s="201" t="n">
        <v>0</v>
      </c>
      <c r="O115" s="251" t="n">
        <v>0</v>
      </c>
      <c r="P115" s="251" t="n">
        <v>0</v>
      </c>
      <c r="Q115" s="251" t="n">
        <v>0</v>
      </c>
      <c r="R115" s="202" t="n">
        <f aca="false">O115*P115</f>
        <v>0</v>
      </c>
    </row>
    <row r="116" customFormat="false" ht="15" hidden="false" customHeight="false" outlineLevel="0" collapsed="false">
      <c r="A116" s="249" t="n">
        <v>21</v>
      </c>
      <c r="B116" s="245" t="s">
        <v>225</v>
      </c>
      <c r="C116" s="250" t="n">
        <v>59468</v>
      </c>
      <c r="D116" s="250" t="n">
        <v>29415</v>
      </c>
      <c r="E116" s="201" t="n">
        <f aca="false">C116/D116*100-100</f>
        <v>102.168961414244</v>
      </c>
      <c r="F116" s="250" t="n">
        <v>8368</v>
      </c>
      <c r="G116" s="250" t="n">
        <v>7046</v>
      </c>
      <c r="H116" s="201" t="n">
        <f aca="false">F116/G116*100-100</f>
        <v>18.7624183934147</v>
      </c>
      <c r="I116" s="250" t="n">
        <v>59468</v>
      </c>
      <c r="J116" s="250" t="n">
        <v>29415</v>
      </c>
      <c r="K116" s="201" t="n">
        <f aca="false">I116/J116*100-100</f>
        <v>102.168961414244</v>
      </c>
      <c r="L116" s="250" t="n">
        <v>44783</v>
      </c>
      <c r="M116" s="250" t="n">
        <v>27749</v>
      </c>
      <c r="N116" s="201" t="n">
        <f aca="false">L116/M116*100-100</f>
        <v>61.3859958917439</v>
      </c>
      <c r="O116" s="251" t="n">
        <v>14</v>
      </c>
      <c r="P116" s="251" t="n">
        <v>60</v>
      </c>
      <c r="Q116" s="251" t="n">
        <v>14</v>
      </c>
      <c r="R116" s="202" t="n">
        <f aca="false">O116*P116</f>
        <v>840</v>
      </c>
    </row>
    <row r="117" customFormat="false" ht="15" hidden="false" customHeight="false" outlineLevel="0" collapsed="false">
      <c r="A117" s="249" t="n">
        <v>22</v>
      </c>
      <c r="B117" s="243" t="s">
        <v>115</v>
      </c>
      <c r="C117" s="251" t="n">
        <v>23450</v>
      </c>
      <c r="D117" s="251" t="n">
        <v>16450</v>
      </c>
      <c r="E117" s="201" t="n">
        <f aca="false">C117/D117*100-100</f>
        <v>42.5531914893617</v>
      </c>
      <c r="F117" s="251" t="n">
        <v>5040</v>
      </c>
      <c r="G117" s="251" t="n">
        <v>2240</v>
      </c>
      <c r="H117" s="201" t="n">
        <f aca="false">F117/G117*100-100</f>
        <v>125</v>
      </c>
      <c r="I117" s="251" t="n">
        <v>33183</v>
      </c>
      <c r="J117" s="251" t="n">
        <v>27630</v>
      </c>
      <c r="K117" s="201" t="n">
        <f aca="false">I117/J117*100-100</f>
        <v>20.0977198697068</v>
      </c>
      <c r="L117" s="250" t="n">
        <v>0</v>
      </c>
      <c r="M117" s="251" t="n">
        <v>0</v>
      </c>
      <c r="N117" s="201" t="n">
        <v>0</v>
      </c>
      <c r="O117" s="251" t="n">
        <v>40</v>
      </c>
      <c r="P117" s="251" t="n">
        <v>77</v>
      </c>
      <c r="Q117" s="251" t="n">
        <v>13</v>
      </c>
      <c r="R117" s="202" t="n">
        <f aca="false">O117*P117</f>
        <v>3080</v>
      </c>
    </row>
    <row r="118" customFormat="false" ht="15" hidden="false" customHeight="false" outlineLevel="0" collapsed="false">
      <c r="A118" s="249" t="n">
        <v>23</v>
      </c>
      <c r="B118" s="243" t="s">
        <v>116</v>
      </c>
      <c r="C118" s="251" t="n">
        <v>105318</v>
      </c>
      <c r="D118" s="250" t="n">
        <v>92327</v>
      </c>
      <c r="E118" s="201" t="n">
        <f aca="false">C118/D118*100-100</f>
        <v>14.0706402244197</v>
      </c>
      <c r="F118" s="251" t="n">
        <v>14658</v>
      </c>
      <c r="G118" s="251" t="n">
        <v>14555</v>
      </c>
      <c r="H118" s="201" t="n">
        <f aca="false">F118/G118*100-100</f>
        <v>0.707660597732726</v>
      </c>
      <c r="I118" s="251" t="n">
        <v>105085</v>
      </c>
      <c r="J118" s="251" t="n">
        <v>94419</v>
      </c>
      <c r="K118" s="201" t="n">
        <v>0</v>
      </c>
      <c r="L118" s="250" t="n">
        <v>0</v>
      </c>
      <c r="M118" s="250" t="n">
        <v>0</v>
      </c>
      <c r="N118" s="201" t="n">
        <v>0</v>
      </c>
      <c r="O118" s="251" t="n">
        <v>36</v>
      </c>
      <c r="P118" s="251" t="n">
        <v>75</v>
      </c>
      <c r="Q118" s="251" t="n">
        <v>39</v>
      </c>
      <c r="R118" s="202" t="n">
        <f aca="false">O118*P118</f>
        <v>2700</v>
      </c>
    </row>
    <row r="119" customFormat="false" ht="15" hidden="false" customHeight="false" outlineLevel="0" collapsed="false">
      <c r="A119" s="249" t="n">
        <v>24</v>
      </c>
      <c r="B119" s="245" t="s">
        <v>117</v>
      </c>
      <c r="C119" s="250" t="n">
        <v>36614</v>
      </c>
      <c r="D119" s="250" t="n">
        <v>23388</v>
      </c>
      <c r="E119" s="201" t="n">
        <f aca="false">C119/D119*100-100</f>
        <v>56.5503677099367</v>
      </c>
      <c r="F119" s="250" t="n">
        <v>0</v>
      </c>
      <c r="G119" s="251" t="n">
        <v>3137</v>
      </c>
      <c r="H119" s="201" t="n">
        <f aca="false">F119/G119*100-100</f>
        <v>-100</v>
      </c>
      <c r="I119" s="250" t="n">
        <v>102941</v>
      </c>
      <c r="J119" s="250" t="n">
        <v>125768</v>
      </c>
      <c r="K119" s="201" t="n">
        <f aca="false">I119/J119*100-100</f>
        <v>-18.1500858724</v>
      </c>
      <c r="L119" s="254" t="n">
        <v>0</v>
      </c>
      <c r="M119" s="250" t="n">
        <v>0</v>
      </c>
      <c r="N119" s="201" t="n">
        <v>0</v>
      </c>
      <c r="O119" s="251" t="n">
        <v>52</v>
      </c>
      <c r="P119" s="251" t="n">
        <v>62</v>
      </c>
      <c r="Q119" s="251" t="n">
        <v>52</v>
      </c>
      <c r="R119" s="202" t="n">
        <f aca="false">O119*P119</f>
        <v>3224</v>
      </c>
    </row>
    <row r="120" customFormat="false" ht="15" hidden="false" customHeight="false" outlineLevel="0" collapsed="false">
      <c r="A120" s="249" t="n">
        <v>25</v>
      </c>
      <c r="B120" s="245" t="s">
        <v>118</v>
      </c>
      <c r="C120" s="250" t="n">
        <v>29750</v>
      </c>
      <c r="D120" s="250" t="n">
        <v>25840</v>
      </c>
      <c r="E120" s="201" t="n">
        <f aca="false">C120/D120*100-100</f>
        <v>15.1315789473684</v>
      </c>
      <c r="F120" s="250" t="n">
        <v>3024</v>
      </c>
      <c r="G120" s="250" t="n">
        <v>1460</v>
      </c>
      <c r="H120" s="201" t="n">
        <f aca="false">F120/G120*100-100</f>
        <v>107.123287671233</v>
      </c>
      <c r="I120" s="250" t="n">
        <v>29851</v>
      </c>
      <c r="J120" s="250" t="n">
        <v>25986</v>
      </c>
      <c r="K120" s="201" t="n">
        <f aca="false">I120/J120*100-100</f>
        <v>14.8733933656584</v>
      </c>
      <c r="L120" s="250" t="n">
        <v>0</v>
      </c>
      <c r="M120" s="250" t="n">
        <v>0</v>
      </c>
      <c r="N120" s="201" t="n">
        <v>0</v>
      </c>
      <c r="O120" s="251" t="n">
        <v>23</v>
      </c>
      <c r="P120" s="251" t="n">
        <v>51</v>
      </c>
      <c r="Q120" s="251" t="n">
        <v>23</v>
      </c>
      <c r="R120" s="202" t="n">
        <f aca="false">O120*P120</f>
        <v>1173</v>
      </c>
    </row>
    <row r="121" customFormat="false" ht="15" hidden="false" customHeight="false" outlineLevel="0" collapsed="false">
      <c r="A121" s="215" t="s">
        <v>119</v>
      </c>
      <c r="B121" s="215" t="s">
        <v>119</v>
      </c>
      <c r="C121" s="216" t="n">
        <f aca="false">SUM(C96:C120)</f>
        <v>2691759</v>
      </c>
      <c r="D121" s="216" t="n">
        <f aca="false">SUM(D96:D120)</f>
        <v>2630231</v>
      </c>
      <c r="E121" s="313" t="n">
        <f aca="false">C121/D121*100-100</f>
        <v>2.33926221689273</v>
      </c>
      <c r="F121" s="216" t="n">
        <f aca="false">SUM(F96:F120)</f>
        <v>313422</v>
      </c>
      <c r="G121" s="216" t="n">
        <f aca="false">SUM(G96:G120)</f>
        <v>367757</v>
      </c>
      <c r="H121" s="313" t="n">
        <f aca="false">F121/G121*100-100</f>
        <v>-14.7747017731817</v>
      </c>
      <c r="I121" s="216" t="n">
        <f aca="false">SUM(I96:I120)</f>
        <v>2727359</v>
      </c>
      <c r="J121" s="216" t="n">
        <f aca="false">SUM(J96:J120)</f>
        <v>2633752</v>
      </c>
      <c r="K121" s="313" t="n">
        <f aca="false">I121/J121*100-100</f>
        <v>3.55413114066927</v>
      </c>
      <c r="L121" s="216" t="n">
        <f aca="false">SUM(L96:L120)</f>
        <v>1184954</v>
      </c>
      <c r="M121" s="216" t="n">
        <f aca="false">SUM(M96:M120)</f>
        <v>1153838</v>
      </c>
      <c r="N121" s="313" t="n">
        <f aca="false">L121/M121*100-100</f>
        <v>2.69673905695601</v>
      </c>
      <c r="O121" s="216" t="n">
        <f aca="false">SUM(O96:O120)</f>
        <v>1824</v>
      </c>
      <c r="P121" s="217" t="n">
        <f aca="false">R121/O121</f>
        <v>77.7434210526316</v>
      </c>
      <c r="Q121" s="216" t="n">
        <f aca="false">SUM(Q96:Q120)</f>
        <v>1970</v>
      </c>
      <c r="R121" s="232" t="n">
        <f aca="false">SUM(R96:R120)</f>
        <v>141804</v>
      </c>
    </row>
    <row r="122" customFormat="false" ht="15" hidden="false" customHeight="false" outlineLevel="0" collapsed="false">
      <c r="A122" s="249"/>
      <c r="B122" s="245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51"/>
      <c r="O122" s="203"/>
      <c r="P122" s="204"/>
      <c r="Q122" s="203"/>
      <c r="R122" s="202"/>
    </row>
    <row r="123" customFormat="false" ht="15" hidden="false" customHeight="false" outlineLevel="0" collapsed="false">
      <c r="A123" s="255"/>
      <c r="B123" s="255"/>
      <c r="C123" s="256"/>
      <c r="D123" s="256"/>
      <c r="E123" s="257"/>
      <c r="F123" s="256"/>
      <c r="G123" s="256"/>
      <c r="H123" s="257"/>
      <c r="I123" s="256"/>
      <c r="J123" s="256"/>
      <c r="K123" s="257"/>
      <c r="L123" s="256"/>
      <c r="M123" s="256"/>
      <c r="N123" s="257"/>
      <c r="O123" s="256"/>
      <c r="P123" s="257"/>
      <c r="Q123" s="256"/>
      <c r="R123" s="202" t="n">
        <f aca="false">O123*P123</f>
        <v>0</v>
      </c>
    </row>
    <row r="124" customFormat="false" ht="15" hidden="false" customHeight="false" outlineLevel="0" collapsed="false">
      <c r="A124" s="195"/>
      <c r="B124" s="195" t="s">
        <v>120</v>
      </c>
      <c r="C124" s="195" t="n">
        <v>3</v>
      </c>
      <c r="D124" s="195" t="n">
        <v>4</v>
      </c>
      <c r="E124" s="196" t="n">
        <v>5</v>
      </c>
      <c r="F124" s="195" t="n">
        <v>6</v>
      </c>
      <c r="G124" s="195" t="n">
        <v>7</v>
      </c>
      <c r="H124" s="195" t="n">
        <v>8</v>
      </c>
      <c r="I124" s="195" t="n">
        <v>9</v>
      </c>
      <c r="J124" s="195" t="n">
        <v>10</v>
      </c>
      <c r="K124" s="195" t="n">
        <v>11</v>
      </c>
      <c r="L124" s="195" t="n">
        <v>12</v>
      </c>
      <c r="M124" s="195" t="n">
        <v>13</v>
      </c>
      <c r="N124" s="195" t="n">
        <v>14</v>
      </c>
      <c r="O124" s="195" t="n">
        <v>15</v>
      </c>
      <c r="P124" s="196" t="n">
        <v>16</v>
      </c>
      <c r="Q124" s="195" t="n">
        <v>15</v>
      </c>
      <c r="R124" s="202" t="n">
        <f aca="false">O124*P124</f>
        <v>240</v>
      </c>
    </row>
    <row r="125" customFormat="false" ht="15" hidden="false" customHeight="false" outlineLevel="0" collapsed="false">
      <c r="A125" s="210"/>
      <c r="B125" s="258"/>
      <c r="C125" s="200"/>
      <c r="D125" s="200"/>
      <c r="E125" s="201"/>
      <c r="F125" s="200"/>
      <c r="G125" s="200"/>
      <c r="H125" s="201" t="n">
        <v>0</v>
      </c>
      <c r="I125" s="200"/>
      <c r="J125" s="200"/>
      <c r="K125" s="201"/>
      <c r="L125" s="200"/>
      <c r="M125" s="200"/>
      <c r="N125" s="201"/>
      <c r="O125" s="203"/>
      <c r="P125" s="204"/>
      <c r="Q125" s="203"/>
      <c r="R125" s="202" t="n">
        <f aca="false">O125*P125</f>
        <v>0</v>
      </c>
    </row>
    <row r="126" customFormat="false" ht="15" hidden="false" customHeight="false" outlineLevel="0" collapsed="false">
      <c r="A126" s="210" t="n">
        <v>1</v>
      </c>
      <c r="B126" s="258" t="s">
        <v>122</v>
      </c>
      <c r="C126" s="203" t="n">
        <v>104638</v>
      </c>
      <c r="D126" s="203" t="n">
        <v>192827</v>
      </c>
      <c r="E126" s="201" t="n">
        <f aca="false">C126/D126*100-100</f>
        <v>-45.7347778060126</v>
      </c>
      <c r="F126" s="203" t="n">
        <v>465</v>
      </c>
      <c r="G126" s="203" t="n">
        <v>6724</v>
      </c>
      <c r="H126" s="201" t="n">
        <f aca="false">F126/G126*100-100</f>
        <v>-93.0844735276621</v>
      </c>
      <c r="I126" s="203" t="n">
        <v>62889</v>
      </c>
      <c r="J126" s="203" t="n">
        <v>225618</v>
      </c>
      <c r="K126" s="201" t="n">
        <f aca="false">I126/J126*100-100</f>
        <v>-72.1258942105683</v>
      </c>
      <c r="L126" s="203" t="n">
        <v>19451</v>
      </c>
      <c r="M126" s="203" t="n">
        <v>0</v>
      </c>
      <c r="N126" s="192" t="n">
        <v>0</v>
      </c>
      <c r="O126" s="219" t="n">
        <v>74</v>
      </c>
      <c r="P126" s="204" t="n">
        <v>80</v>
      </c>
      <c r="Q126" s="219" t="n">
        <v>75</v>
      </c>
      <c r="R126" s="202" t="n">
        <f aca="false">O126*P126</f>
        <v>5920</v>
      </c>
    </row>
    <row r="127" customFormat="false" ht="15" hidden="false" customHeight="false" outlineLevel="0" collapsed="false">
      <c r="A127" s="210" t="n">
        <v>2</v>
      </c>
      <c r="B127" s="258" t="s">
        <v>123</v>
      </c>
      <c r="C127" s="200" t="n">
        <v>0</v>
      </c>
      <c r="D127" s="200" t="n">
        <v>0</v>
      </c>
      <c r="E127" s="201" t="n">
        <v>0</v>
      </c>
      <c r="F127" s="200" t="n">
        <v>0</v>
      </c>
      <c r="G127" s="200" t="n">
        <v>0</v>
      </c>
      <c r="H127" s="201" t="n">
        <v>0</v>
      </c>
      <c r="I127" s="200" t="n">
        <v>0</v>
      </c>
      <c r="J127" s="200" t="n">
        <v>0</v>
      </c>
      <c r="K127" s="201" t="n">
        <v>0</v>
      </c>
      <c r="L127" s="200" t="n">
        <v>0</v>
      </c>
      <c r="M127" s="200" t="n">
        <v>0</v>
      </c>
      <c r="N127" s="201" t="n">
        <v>0</v>
      </c>
      <c r="O127" s="203" t="n">
        <v>0</v>
      </c>
      <c r="P127" s="204" t="n">
        <v>0</v>
      </c>
      <c r="Q127" s="203" t="n">
        <v>0</v>
      </c>
      <c r="R127" s="202" t="n">
        <f aca="false">O127*P127</f>
        <v>0</v>
      </c>
    </row>
    <row r="128" customFormat="false" ht="15" hidden="false" customHeight="false" outlineLevel="0" collapsed="false">
      <c r="A128" s="210" t="n">
        <v>3</v>
      </c>
      <c r="B128" s="258" t="s">
        <v>124</v>
      </c>
      <c r="C128" s="200" t="n">
        <v>0</v>
      </c>
      <c r="D128" s="200" t="n">
        <v>0</v>
      </c>
      <c r="E128" s="201" t="n">
        <v>0</v>
      </c>
      <c r="F128" s="200" t="n">
        <v>0</v>
      </c>
      <c r="G128" s="200" t="n">
        <v>0</v>
      </c>
      <c r="H128" s="201" t="n">
        <v>0</v>
      </c>
      <c r="I128" s="200" t="n">
        <v>0</v>
      </c>
      <c r="J128" s="200" t="n">
        <v>0</v>
      </c>
      <c r="K128" s="201" t="n">
        <v>0</v>
      </c>
      <c r="L128" s="200" t="n">
        <v>0</v>
      </c>
      <c r="M128" s="200" t="n">
        <v>0</v>
      </c>
      <c r="N128" s="201" t="n">
        <v>0</v>
      </c>
      <c r="O128" s="203" t="n">
        <v>0</v>
      </c>
      <c r="P128" s="204" t="n">
        <v>0</v>
      </c>
      <c r="Q128" s="203" t="n">
        <v>0</v>
      </c>
      <c r="R128" s="202" t="n">
        <f aca="false">O128*P128</f>
        <v>0</v>
      </c>
    </row>
    <row r="129" customFormat="false" ht="15" hidden="false" customHeight="false" outlineLevel="0" collapsed="false">
      <c r="A129" s="210" t="n">
        <v>4</v>
      </c>
      <c r="B129" s="259" t="s">
        <v>125</v>
      </c>
      <c r="C129" s="251" t="n">
        <v>1050</v>
      </c>
      <c r="D129" s="251" t="n">
        <v>4620</v>
      </c>
      <c r="E129" s="201" t="n">
        <v>0</v>
      </c>
      <c r="F129" s="251" t="n">
        <v>0</v>
      </c>
      <c r="G129" s="251" t="n">
        <v>840</v>
      </c>
      <c r="H129" s="201" t="n">
        <v>0</v>
      </c>
      <c r="I129" s="251" t="n">
        <v>7513</v>
      </c>
      <c r="J129" s="251" t="n">
        <v>7646</v>
      </c>
      <c r="K129" s="201" t="n">
        <f aca="false">I129/J129*100-100</f>
        <v>-1.73947161914727</v>
      </c>
      <c r="L129" s="251" t="n">
        <v>0</v>
      </c>
      <c r="M129" s="251" t="n">
        <v>0</v>
      </c>
      <c r="N129" s="251" t="n">
        <v>0</v>
      </c>
      <c r="O129" s="219" t="n">
        <v>8</v>
      </c>
      <c r="P129" s="261" t="n">
        <v>70</v>
      </c>
      <c r="Q129" s="219" t="n">
        <v>8</v>
      </c>
      <c r="R129" s="202" t="n">
        <f aca="false">O129*P129</f>
        <v>560</v>
      </c>
    </row>
    <row r="130" customFormat="false" ht="15" hidden="false" customHeight="false" outlineLevel="0" collapsed="false">
      <c r="A130" s="210" t="n">
        <v>5</v>
      </c>
      <c r="B130" s="259" t="s">
        <v>126</v>
      </c>
      <c r="C130" s="200" t="n">
        <v>0</v>
      </c>
      <c r="D130" s="200" t="n">
        <v>0</v>
      </c>
      <c r="E130" s="201" t="n">
        <v>0</v>
      </c>
      <c r="F130" s="200" t="n">
        <v>0</v>
      </c>
      <c r="G130" s="200" t="n">
        <v>0</v>
      </c>
      <c r="H130" s="201" t="n">
        <v>0</v>
      </c>
      <c r="I130" s="200" t="n">
        <v>0</v>
      </c>
      <c r="J130" s="200" t="n">
        <v>0</v>
      </c>
      <c r="K130" s="201" t="n">
        <v>0</v>
      </c>
      <c r="L130" s="200" t="n">
        <v>0</v>
      </c>
      <c r="M130" s="200" t="n">
        <v>0</v>
      </c>
      <c r="N130" s="201" t="n">
        <v>0</v>
      </c>
      <c r="O130" s="203" t="n">
        <v>0</v>
      </c>
      <c r="P130" s="204" t="n">
        <v>0</v>
      </c>
      <c r="Q130" s="203" t="n">
        <v>0</v>
      </c>
      <c r="R130" s="202" t="n">
        <f aca="false">O130*P130</f>
        <v>0</v>
      </c>
    </row>
    <row r="131" customFormat="false" ht="15" hidden="false" customHeight="false" outlineLevel="0" collapsed="false">
      <c r="A131" s="210" t="n">
        <v>6</v>
      </c>
      <c r="B131" s="258" t="s">
        <v>127</v>
      </c>
      <c r="C131" s="208" t="n">
        <v>31482</v>
      </c>
      <c r="D131" s="208" t="n">
        <v>15637</v>
      </c>
      <c r="E131" s="201" t="n">
        <f aca="false">C131/D131*100-100</f>
        <v>101.330178422971</v>
      </c>
      <c r="F131" s="208" t="n">
        <v>4146</v>
      </c>
      <c r="G131" s="208" t="n">
        <v>1573</v>
      </c>
      <c r="H131" s="201" t="n">
        <v>0</v>
      </c>
      <c r="I131" s="208" t="n">
        <v>31482</v>
      </c>
      <c r="J131" s="208" t="n">
        <v>15637</v>
      </c>
      <c r="K131" s="201" t="n">
        <f aca="false">I131/J131*100-100</f>
        <v>101.330178422971</v>
      </c>
      <c r="L131" s="208" t="n">
        <v>0</v>
      </c>
      <c r="M131" s="208" t="n">
        <v>0</v>
      </c>
      <c r="N131" s="192" t="n">
        <v>0</v>
      </c>
      <c r="O131" s="219" t="n">
        <v>24</v>
      </c>
      <c r="P131" s="250" t="n">
        <v>100</v>
      </c>
      <c r="Q131" s="219" t="n">
        <v>24</v>
      </c>
      <c r="R131" s="202" t="n">
        <f aca="false">O131*P131</f>
        <v>2400</v>
      </c>
    </row>
    <row r="132" customFormat="false" ht="15" hidden="false" customHeight="false" outlineLevel="0" collapsed="false">
      <c r="A132" s="215" t="s">
        <v>128</v>
      </c>
      <c r="B132" s="215" t="s">
        <v>128</v>
      </c>
      <c r="C132" s="216" t="n">
        <f aca="false">SUM(C125:C131)</f>
        <v>137170</v>
      </c>
      <c r="D132" s="216" t="n">
        <f aca="false">SUM(D125:D131)</f>
        <v>213084</v>
      </c>
      <c r="E132" s="313" t="n">
        <f aca="false">C132/D132*100-100</f>
        <v>-35.6263257682416</v>
      </c>
      <c r="F132" s="216" t="n">
        <f aca="false">SUM(F125:F131)</f>
        <v>4611</v>
      </c>
      <c r="G132" s="216" t="n">
        <f aca="false">SUM(G125:G131)</f>
        <v>9137</v>
      </c>
      <c r="H132" s="313" t="n">
        <f aca="false">F132/G132*100-100</f>
        <v>-49.5348582685783</v>
      </c>
      <c r="I132" s="216" t="n">
        <f aca="false">SUM(I125:I131)</f>
        <v>101884</v>
      </c>
      <c r="J132" s="216" t="n">
        <f aca="false">SUM(J125:J131)</f>
        <v>248901</v>
      </c>
      <c r="K132" s="313" t="n">
        <f aca="false">I132/J132*100-100</f>
        <v>-59.0664561411967</v>
      </c>
      <c r="L132" s="216" t="n">
        <f aca="false">SUM(L125:L131)</f>
        <v>19451</v>
      </c>
      <c r="M132" s="216" t="n">
        <f aca="false">SUM(M125:M131)</f>
        <v>0</v>
      </c>
      <c r="N132" s="237" t="n">
        <v>0</v>
      </c>
      <c r="O132" s="216" t="n">
        <f aca="false">SUM(O125:O131)</f>
        <v>106</v>
      </c>
      <c r="P132" s="237" t="n">
        <f aca="false">R132/O132</f>
        <v>83.7735849056604</v>
      </c>
      <c r="Q132" s="216" t="n">
        <f aca="false">SUM(Q125:Q131)</f>
        <v>107</v>
      </c>
      <c r="R132" s="232" t="n">
        <f aca="false">SUM(R125:R131)</f>
        <v>8880</v>
      </c>
    </row>
    <row r="133" customFormat="false" ht="15" hidden="false" customHeight="false" outlineLevel="0" collapsed="false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192"/>
      <c r="L133" s="203"/>
      <c r="M133" s="203"/>
      <c r="N133" s="203"/>
      <c r="O133" s="203"/>
      <c r="P133" s="219"/>
      <c r="Q133" s="203"/>
      <c r="R133" s="197"/>
    </row>
    <row r="134" customFormat="false" ht="15" hidden="false" customHeight="false" outlineLevel="0" collapsed="false">
      <c r="A134" s="190" t="s">
        <v>129</v>
      </c>
      <c r="B134" s="190"/>
      <c r="C134" s="195" t="n">
        <v>3</v>
      </c>
      <c r="D134" s="195" t="n">
        <v>4</v>
      </c>
      <c r="E134" s="196" t="n">
        <v>5</v>
      </c>
      <c r="F134" s="195" t="n">
        <v>6</v>
      </c>
      <c r="G134" s="195" t="n">
        <v>7</v>
      </c>
      <c r="H134" s="195" t="n">
        <v>8</v>
      </c>
      <c r="I134" s="195" t="n">
        <v>9</v>
      </c>
      <c r="J134" s="195" t="n">
        <v>10</v>
      </c>
      <c r="K134" s="195" t="n">
        <v>11</v>
      </c>
      <c r="L134" s="195" t="n">
        <v>12</v>
      </c>
      <c r="M134" s="195" t="n">
        <v>13</v>
      </c>
      <c r="N134" s="195" t="n">
        <v>14</v>
      </c>
      <c r="O134" s="195" t="n">
        <v>15</v>
      </c>
      <c r="P134" s="196" t="n">
        <v>16</v>
      </c>
      <c r="Q134" s="195" t="n">
        <v>15</v>
      </c>
      <c r="R134" s="189"/>
    </row>
    <row r="135" customFormat="false" ht="15" hidden="false" customHeight="false" outlineLevel="0" collapsed="false">
      <c r="A135" s="262" t="n">
        <v>1</v>
      </c>
      <c r="B135" s="243" t="s">
        <v>130</v>
      </c>
      <c r="C135" s="219" t="n">
        <v>92725664</v>
      </c>
      <c r="D135" s="219" t="n">
        <v>88046721</v>
      </c>
      <c r="E135" s="201" t="n">
        <f aca="false">C135/D135*100-100</f>
        <v>5.31415928595456</v>
      </c>
      <c r="F135" s="219" t="n">
        <v>9661083</v>
      </c>
      <c r="G135" s="219" t="n">
        <v>9150104</v>
      </c>
      <c r="H135" s="201" t="n">
        <f aca="false">F135/G135*100-100</f>
        <v>5.58440647231988</v>
      </c>
      <c r="I135" s="262" t="n">
        <v>88343469</v>
      </c>
      <c r="J135" s="262" t="n">
        <v>85800515</v>
      </c>
      <c r="K135" s="201" t="n">
        <f aca="false">I135/J135*100-100</f>
        <v>2.96379806111887</v>
      </c>
      <c r="L135" s="262" t="n">
        <v>50234533</v>
      </c>
      <c r="M135" s="262" t="n">
        <v>40562582</v>
      </c>
      <c r="N135" s="201" t="n">
        <f aca="false">L135/M135*100-100</f>
        <v>23.8445151248015</v>
      </c>
      <c r="O135" s="203" t="n">
        <v>2973</v>
      </c>
      <c r="P135" s="219" t="n">
        <v>145</v>
      </c>
      <c r="Q135" s="203" t="n">
        <v>2973</v>
      </c>
      <c r="R135" s="202" t="n">
        <f aca="false">O135*P135</f>
        <v>431085</v>
      </c>
    </row>
    <row r="136" customFormat="false" ht="15" hidden="false" customHeight="false" outlineLevel="0" collapsed="false">
      <c r="A136" s="262" t="n">
        <v>2</v>
      </c>
      <c r="B136" s="243" t="s">
        <v>131</v>
      </c>
      <c r="C136" s="219" t="n">
        <v>19329509</v>
      </c>
      <c r="D136" s="219" t="n">
        <v>19754387</v>
      </c>
      <c r="E136" s="201" t="n">
        <f aca="false">C136/D136*100-100</f>
        <v>-2.15080326208047</v>
      </c>
      <c r="F136" s="219" t="n">
        <v>2327427</v>
      </c>
      <c r="G136" s="219" t="n">
        <v>2287252</v>
      </c>
      <c r="H136" s="201" t="n">
        <f aca="false">F136/G136*100-100</f>
        <v>1.75647458172514</v>
      </c>
      <c r="I136" s="262" t="n">
        <v>15173495</v>
      </c>
      <c r="J136" s="262" t="n">
        <v>16812907</v>
      </c>
      <c r="K136" s="201" t="n">
        <f aca="false">I136/J136*100-100</f>
        <v>-9.75091339052788</v>
      </c>
      <c r="L136" s="262" t="n">
        <v>15173495</v>
      </c>
      <c r="M136" s="262" t="n">
        <v>16812907</v>
      </c>
      <c r="N136" s="201" t="n">
        <f aca="false">L136/M136*100-100</f>
        <v>-9.75091339052788</v>
      </c>
      <c r="O136" s="203" t="n">
        <v>951</v>
      </c>
      <c r="P136" s="219" t="n">
        <v>120</v>
      </c>
      <c r="Q136" s="203" t="n">
        <v>951</v>
      </c>
      <c r="R136" s="202" t="n">
        <f aca="false">O136*P136</f>
        <v>114120</v>
      </c>
    </row>
    <row r="137" customFormat="false" ht="24.75" hidden="false" customHeight="false" outlineLevel="0" collapsed="false">
      <c r="A137" s="262" t="n">
        <v>3</v>
      </c>
      <c r="B137" s="365" t="s">
        <v>226</v>
      </c>
      <c r="C137" s="223" t="n">
        <v>16302871</v>
      </c>
      <c r="D137" s="223" t="n">
        <v>17655065</v>
      </c>
      <c r="E137" s="201" t="n">
        <f aca="false">C137/D137*100-100</f>
        <v>-7.65895792510534</v>
      </c>
      <c r="F137" s="223" t="n">
        <v>268208</v>
      </c>
      <c r="G137" s="223" t="n">
        <v>2001150</v>
      </c>
      <c r="H137" s="201" t="n">
        <f aca="false">F137/G137*100-100</f>
        <v>-86.5973065487345</v>
      </c>
      <c r="I137" s="207" t="n">
        <v>14335479</v>
      </c>
      <c r="J137" s="207" t="n">
        <v>14644427</v>
      </c>
      <c r="K137" s="201" t="n">
        <f aca="false">I137/J137*100-100</f>
        <v>-2.10966260407457</v>
      </c>
      <c r="L137" s="207" t="n">
        <v>14335479</v>
      </c>
      <c r="M137" s="207" t="n">
        <f aca="false">1958616+12685811</f>
        <v>14644427</v>
      </c>
      <c r="N137" s="201" t="n">
        <f aca="false">L137/M137*100-100</f>
        <v>-2.10966260407457</v>
      </c>
      <c r="O137" s="200" t="n">
        <v>1087</v>
      </c>
      <c r="P137" s="222" t="n">
        <v>306</v>
      </c>
      <c r="Q137" s="200" t="n">
        <v>1087</v>
      </c>
      <c r="R137" s="202" t="n">
        <f aca="false">O137*P137</f>
        <v>332622</v>
      </c>
    </row>
    <row r="138" customFormat="false" ht="15" hidden="false" customHeight="false" outlineLevel="0" collapsed="false">
      <c r="A138" s="262" t="n">
        <v>4</v>
      </c>
      <c r="B138" s="243" t="s">
        <v>133</v>
      </c>
      <c r="C138" s="236" t="n">
        <v>3778919</v>
      </c>
      <c r="D138" s="236" t="n">
        <v>3775126</v>
      </c>
      <c r="E138" s="201" t="n">
        <f aca="false">C138/D138*100-100</f>
        <v>0.100473467640555</v>
      </c>
      <c r="F138" s="203" t="n">
        <v>286703</v>
      </c>
      <c r="G138" s="203" t="n">
        <v>477775</v>
      </c>
      <c r="H138" s="201" t="n">
        <f aca="false">F138/G138*100-100</f>
        <v>-39.9920464653864</v>
      </c>
      <c r="I138" s="203" t="n">
        <v>3739953</v>
      </c>
      <c r="J138" s="203" t="n">
        <v>3590220</v>
      </c>
      <c r="K138" s="201" t="n">
        <f aca="false">I138/J138*100-100</f>
        <v>4.17058007587279</v>
      </c>
      <c r="L138" s="203" t="n">
        <v>3739953</v>
      </c>
      <c r="M138" s="203" t="n">
        <v>3590220</v>
      </c>
      <c r="N138" s="201" t="n">
        <v>0</v>
      </c>
      <c r="O138" s="203" t="n">
        <v>505</v>
      </c>
      <c r="P138" s="219" t="n">
        <v>150</v>
      </c>
      <c r="Q138" s="203" t="n">
        <v>505</v>
      </c>
      <c r="R138" s="202" t="n">
        <f aca="false">O138*P138</f>
        <v>75750</v>
      </c>
    </row>
    <row r="139" customFormat="false" ht="15" hidden="false" customHeight="false" outlineLevel="0" collapsed="false">
      <c r="A139" s="262" t="n">
        <v>5</v>
      </c>
      <c r="B139" s="243" t="s">
        <v>134</v>
      </c>
      <c r="C139" s="203" t="n">
        <v>2499273</v>
      </c>
      <c r="D139" s="203" t="n">
        <v>3369734</v>
      </c>
      <c r="E139" s="201" t="n">
        <f aca="false">C139/D139*100-100</f>
        <v>-25.8317422087322</v>
      </c>
      <c r="F139" s="203" t="n">
        <v>398328</v>
      </c>
      <c r="G139" s="203" t="n">
        <v>504977</v>
      </c>
      <c r="H139" s="201" t="n">
        <f aca="false">F139/G139*100-100</f>
        <v>-21.1195757430536</v>
      </c>
      <c r="I139" s="203" t="n">
        <v>773167</v>
      </c>
      <c r="J139" s="203" t="n">
        <v>2996072</v>
      </c>
      <c r="K139" s="201" t="n">
        <f aca="false">I139/J139*100-100</f>
        <v>-74.1939779818375</v>
      </c>
      <c r="L139" s="203" t="n">
        <v>773167</v>
      </c>
      <c r="M139" s="203" t="n">
        <v>2996072</v>
      </c>
      <c r="N139" s="201" t="n">
        <f aca="false">L139/M139*100-100</f>
        <v>-74.1939779818375</v>
      </c>
      <c r="O139" s="203" t="n">
        <v>419</v>
      </c>
      <c r="P139" s="204" t="n">
        <v>221</v>
      </c>
      <c r="Q139" s="203" t="n">
        <v>418</v>
      </c>
      <c r="R139" s="202" t="n">
        <f aca="false">O139*P139</f>
        <v>92599</v>
      </c>
    </row>
    <row r="140" customFormat="false" ht="15" hidden="false" customHeight="false" outlineLevel="0" collapsed="false">
      <c r="A140" s="215" t="s">
        <v>135</v>
      </c>
      <c r="B140" s="215" t="s">
        <v>136</v>
      </c>
      <c r="C140" s="237" t="n">
        <f aca="false">SUM(C135:C139)</f>
        <v>134636236</v>
      </c>
      <c r="D140" s="237" t="n">
        <f aca="false">SUM(D135:D139)</f>
        <v>132601033</v>
      </c>
      <c r="E140" s="313" t="n">
        <f aca="false">C140/D140*100-100</f>
        <v>1.53483193452951</v>
      </c>
      <c r="F140" s="237" t="n">
        <f aca="false">SUM(F135:F139)</f>
        <v>12941749</v>
      </c>
      <c r="G140" s="237" t="n">
        <f aca="false">SUM(G135:G139)</f>
        <v>14421258</v>
      </c>
      <c r="H140" s="313" t="n">
        <f aca="false">F140/G140*100-100</f>
        <v>-10.2592228777822</v>
      </c>
      <c r="I140" s="237" t="n">
        <f aca="false">SUM(I135:I139)</f>
        <v>122365563</v>
      </c>
      <c r="J140" s="237" t="n">
        <f aca="false">SUM(J135:J139)</f>
        <v>123844141</v>
      </c>
      <c r="K140" s="313" t="n">
        <f aca="false">I140/J140*100-100</f>
        <v>-1.1939022613916</v>
      </c>
      <c r="L140" s="237" t="n">
        <f aca="false">SUM(L135:L139)</f>
        <v>84256627</v>
      </c>
      <c r="M140" s="237" t="n">
        <f aca="false">SUM(M135:M139)</f>
        <v>78606208</v>
      </c>
      <c r="N140" s="313" t="n">
        <f aca="false">L140/M140*100-100</f>
        <v>7.18826049973052</v>
      </c>
      <c r="O140" s="237" t="n">
        <f aca="false">SUM(O135:O139)</f>
        <v>5935</v>
      </c>
      <c r="P140" s="237" t="n">
        <f aca="false">R140/O140</f>
        <v>176.272283066554</v>
      </c>
      <c r="Q140" s="237" t="n">
        <f aca="false">SUM(Q135:Q139)</f>
        <v>5934</v>
      </c>
      <c r="R140" s="237" t="n">
        <f aca="false">SUM(R135:R139)</f>
        <v>1046176</v>
      </c>
    </row>
    <row r="141" customFormat="false" ht="15" hidden="false" customHeight="false" outlineLevel="0" collapsed="false">
      <c r="A141" s="263"/>
      <c r="B141" s="263"/>
      <c r="C141" s="264"/>
      <c r="D141" s="264"/>
      <c r="E141" s="265"/>
      <c r="F141" s="266"/>
      <c r="G141" s="266"/>
      <c r="H141" s="265"/>
      <c r="I141" s="266"/>
      <c r="J141" s="266"/>
      <c r="K141" s="265"/>
      <c r="L141" s="266"/>
      <c r="M141" s="266"/>
      <c r="N141" s="265"/>
      <c r="O141" s="266"/>
      <c r="P141" s="264"/>
      <c r="Q141" s="266"/>
      <c r="R141" s="267"/>
    </row>
    <row r="142" customFormat="false" ht="15" hidden="false" customHeight="false" outlineLevel="0" collapsed="false">
      <c r="A142" s="263"/>
      <c r="B142" s="263" t="s">
        <v>137</v>
      </c>
      <c r="C142" s="195" t="n">
        <v>3</v>
      </c>
      <c r="D142" s="195" t="n">
        <v>4</v>
      </c>
      <c r="E142" s="196" t="n">
        <v>5</v>
      </c>
      <c r="F142" s="195" t="n">
        <v>6</v>
      </c>
      <c r="G142" s="195" t="n">
        <v>7</v>
      </c>
      <c r="H142" s="195" t="n">
        <v>8</v>
      </c>
      <c r="I142" s="195" t="n">
        <v>9</v>
      </c>
      <c r="J142" s="195" t="n">
        <v>10</v>
      </c>
      <c r="K142" s="195" t="n">
        <v>11</v>
      </c>
      <c r="L142" s="195" t="n">
        <v>12</v>
      </c>
      <c r="M142" s="195" t="n">
        <v>13</v>
      </c>
      <c r="N142" s="195" t="n">
        <v>14</v>
      </c>
      <c r="O142" s="195" t="n">
        <v>15</v>
      </c>
      <c r="P142" s="196" t="n">
        <v>16</v>
      </c>
      <c r="Q142" s="195" t="n">
        <v>15</v>
      </c>
      <c r="R142" s="267"/>
    </row>
    <row r="143" customFormat="false" ht="15" hidden="false" customHeight="false" outlineLevel="0" collapsed="false">
      <c r="A143" s="262" t="n">
        <v>1</v>
      </c>
      <c r="B143" s="243" t="s">
        <v>138</v>
      </c>
      <c r="C143" s="219" t="n">
        <v>14988047</v>
      </c>
      <c r="D143" s="219" t="n">
        <v>15547025</v>
      </c>
      <c r="E143" s="201" t="n">
        <f aca="false">C143/D143*100-100</f>
        <v>-3.59540169260678</v>
      </c>
      <c r="F143" s="219" t="n">
        <v>1363177</v>
      </c>
      <c r="G143" s="219" t="n">
        <v>1887121</v>
      </c>
      <c r="H143" s="201" t="n">
        <f aca="false">F143/G143*100-100</f>
        <v>-27.7641974203032</v>
      </c>
      <c r="I143" s="262" t="n">
        <v>14476235</v>
      </c>
      <c r="J143" s="262" t="n">
        <v>15152467</v>
      </c>
      <c r="K143" s="201" t="n">
        <f aca="false">I143/J143*100-100</f>
        <v>-4.46285083478486</v>
      </c>
      <c r="L143" s="262" t="n">
        <v>14476235</v>
      </c>
      <c r="M143" s="262" t="n">
        <v>15152467</v>
      </c>
      <c r="N143" s="201" t="n">
        <f aca="false">L143/M143*100-100</f>
        <v>-4.46285083478486</v>
      </c>
      <c r="O143" s="203" t="n">
        <v>494</v>
      </c>
      <c r="P143" s="236" t="n">
        <v>150</v>
      </c>
      <c r="Q143" s="203" t="n">
        <v>490</v>
      </c>
      <c r="R143" s="202" t="n">
        <f aca="false">O143*P143</f>
        <v>74100</v>
      </c>
    </row>
    <row r="144" customFormat="false" ht="15" hidden="false" customHeight="false" outlineLevel="0" collapsed="false">
      <c r="A144" s="262" t="n">
        <v>2</v>
      </c>
      <c r="B144" s="243" t="s">
        <v>139</v>
      </c>
      <c r="C144" s="219" t="n">
        <v>28311982</v>
      </c>
      <c r="D144" s="219" t="n">
        <v>31725512</v>
      </c>
      <c r="E144" s="201" t="n">
        <f aca="false">C144/D144*100-100</f>
        <v>-10.7595741874867</v>
      </c>
      <c r="F144" s="236" t="n">
        <v>2591880</v>
      </c>
      <c r="G144" s="236" t="n">
        <v>3584525</v>
      </c>
      <c r="H144" s="201" t="n">
        <f aca="false">F144/G144*100-100</f>
        <v>-27.6925115601091</v>
      </c>
      <c r="I144" s="203" t="n">
        <v>27029914</v>
      </c>
      <c r="J144" s="203" t="n">
        <v>30841989</v>
      </c>
      <c r="K144" s="201" t="n">
        <f aca="false">I144/J144*100-100</f>
        <v>-12.3600167291416</v>
      </c>
      <c r="L144" s="203" t="n">
        <v>26938541</v>
      </c>
      <c r="M144" s="203" t="n">
        <v>30738550</v>
      </c>
      <c r="N144" s="201" t="n">
        <f aca="false">L144/M144*100-100</f>
        <v>-12.3623560642906</v>
      </c>
      <c r="O144" s="203" t="n">
        <v>657</v>
      </c>
      <c r="P144" s="219" t="n">
        <v>165</v>
      </c>
      <c r="Q144" s="203" t="n">
        <v>660</v>
      </c>
      <c r="R144" s="202" t="n">
        <f aca="false">O144*P144</f>
        <v>108405</v>
      </c>
    </row>
    <row r="145" customFormat="false" ht="15" hidden="false" customHeight="false" outlineLevel="0" collapsed="false">
      <c r="A145" s="262" t="n">
        <v>3</v>
      </c>
      <c r="B145" s="243" t="s">
        <v>140</v>
      </c>
      <c r="C145" s="219" t="n">
        <v>26431526</v>
      </c>
      <c r="D145" s="219" t="n">
        <v>22674718</v>
      </c>
      <c r="E145" s="201" t="n">
        <f aca="false">C145/D145*100-100</f>
        <v>16.5682677949953</v>
      </c>
      <c r="F145" s="203" t="n">
        <v>292237</v>
      </c>
      <c r="G145" s="203" t="n">
        <v>2405689</v>
      </c>
      <c r="H145" s="201" t="n">
        <f aca="false">F145/G145*100-100</f>
        <v>-87.8522535539714</v>
      </c>
      <c r="I145" s="203" t="n">
        <v>21298330</v>
      </c>
      <c r="J145" s="203" t="n">
        <v>22284430</v>
      </c>
      <c r="K145" s="201" t="n">
        <f aca="false">I145/J145*100-100</f>
        <v>-4.42506270072872</v>
      </c>
      <c r="L145" s="203" t="n">
        <v>21298330</v>
      </c>
      <c r="M145" s="203" t="n">
        <v>22284430</v>
      </c>
      <c r="N145" s="201" t="n">
        <f aca="false">L145/M145*100-100</f>
        <v>-4.42506270072872</v>
      </c>
      <c r="O145" s="203" t="n">
        <v>559</v>
      </c>
      <c r="P145" s="219" t="n">
        <v>180</v>
      </c>
      <c r="Q145" s="203" t="n">
        <v>558</v>
      </c>
      <c r="R145" s="202" t="n">
        <f aca="false">O145*P145</f>
        <v>100620</v>
      </c>
    </row>
    <row r="146" customFormat="false" ht="15" hidden="false" customHeight="false" outlineLevel="0" collapsed="false">
      <c r="A146" s="262" t="n">
        <v>4</v>
      </c>
      <c r="B146" s="243" t="s">
        <v>141</v>
      </c>
      <c r="C146" s="236" t="n">
        <v>3649608</v>
      </c>
      <c r="D146" s="236" t="n">
        <v>3025298</v>
      </c>
      <c r="E146" s="201" t="n">
        <f aca="false">C146/D146*100-100</f>
        <v>20.6363141746697</v>
      </c>
      <c r="F146" s="262" t="n">
        <v>472620</v>
      </c>
      <c r="G146" s="262" t="n">
        <v>316588</v>
      </c>
      <c r="H146" s="201" t="n">
        <f aca="false">F146/G146*100-100</f>
        <v>49.2855067153525</v>
      </c>
      <c r="I146" s="262" t="n">
        <v>3940156</v>
      </c>
      <c r="J146" s="262" t="n">
        <v>3021409</v>
      </c>
      <c r="K146" s="201" t="n">
        <f aca="false">I146/J146*100-100</f>
        <v>30.407899096084</v>
      </c>
      <c r="L146" s="262" t="n">
        <v>0</v>
      </c>
      <c r="M146" s="262" t="n">
        <v>0</v>
      </c>
      <c r="N146" s="201" t="e">
        <f aca="false">L146/M146*100-100</f>
        <v>#DIV/0!</v>
      </c>
      <c r="O146" s="203" t="n">
        <v>355</v>
      </c>
      <c r="P146" s="236" t="n">
        <v>58</v>
      </c>
      <c r="Q146" s="203" t="n">
        <v>332</v>
      </c>
      <c r="R146" s="202" t="n">
        <f aca="false">O146*P146</f>
        <v>20590</v>
      </c>
    </row>
    <row r="147" customFormat="false" ht="15" hidden="false" customHeight="false" outlineLevel="0" collapsed="false">
      <c r="A147" s="262" t="n">
        <v>5</v>
      </c>
      <c r="B147" s="243" t="s">
        <v>142</v>
      </c>
      <c r="C147" s="236" t="n">
        <v>24026606</v>
      </c>
      <c r="D147" s="236" t="n">
        <v>22650104</v>
      </c>
      <c r="E147" s="201" t="n">
        <f aca="false">C147/D147*100-100</f>
        <v>6.07724361883723</v>
      </c>
      <c r="F147" s="236" t="n">
        <v>3637962</v>
      </c>
      <c r="G147" s="236" t="n">
        <v>3047925</v>
      </c>
      <c r="H147" s="201" t="n">
        <f aca="false">F147/G147*100-100</f>
        <v>19.3586456359655</v>
      </c>
      <c r="I147" s="203" t="n">
        <v>22227941</v>
      </c>
      <c r="J147" s="203" t="n">
        <v>22227941</v>
      </c>
      <c r="K147" s="201" t="n">
        <f aca="false">I147/J147*100-100</f>
        <v>0</v>
      </c>
      <c r="L147" s="203" t="n">
        <v>22227941</v>
      </c>
      <c r="M147" s="203" t="n">
        <v>22227941</v>
      </c>
      <c r="N147" s="201" t="n">
        <f aca="false">L147/M147*100-100</f>
        <v>0</v>
      </c>
      <c r="O147" s="203" t="n">
        <v>969</v>
      </c>
      <c r="P147" s="219" t="n">
        <v>100</v>
      </c>
      <c r="Q147" s="203" t="n">
        <v>969</v>
      </c>
      <c r="R147" s="202" t="n">
        <f aca="false">O147*P147</f>
        <v>96900</v>
      </c>
    </row>
    <row r="148" customFormat="false" ht="15" hidden="false" customHeight="false" outlineLevel="0" collapsed="false">
      <c r="A148" s="262" t="n">
        <v>6</v>
      </c>
      <c r="B148" s="243" t="s">
        <v>143</v>
      </c>
      <c r="C148" s="219" t="n">
        <v>25209055</v>
      </c>
      <c r="D148" s="219" t="n">
        <v>24214202</v>
      </c>
      <c r="E148" s="201" t="n">
        <f aca="false">C148/D148*100-100</f>
        <v>4.10855166732318</v>
      </c>
      <c r="F148" s="219" t="n">
        <v>2854655</v>
      </c>
      <c r="G148" s="219" t="n">
        <v>2760513</v>
      </c>
      <c r="H148" s="201" t="n">
        <f aca="false">F148/G148*100-100</f>
        <v>3.4103081564912</v>
      </c>
      <c r="I148" s="203" t="n">
        <v>25505445</v>
      </c>
      <c r="J148" s="219" t="n">
        <v>23785886</v>
      </c>
      <c r="K148" s="201" t="n">
        <f aca="false">I148/J148*100-100</f>
        <v>7.2293249870953</v>
      </c>
      <c r="L148" s="203" t="n">
        <v>25467809</v>
      </c>
      <c r="M148" s="203" t="n">
        <v>23705777</v>
      </c>
      <c r="N148" s="201" t="n">
        <f aca="false">L148/M148*100-100</f>
        <v>7.43292236318598</v>
      </c>
      <c r="O148" s="203" t="n">
        <v>641</v>
      </c>
      <c r="P148" s="219" t="n">
        <v>130</v>
      </c>
      <c r="Q148" s="203" t="n">
        <v>641</v>
      </c>
      <c r="R148" s="202" t="n">
        <f aca="false">O148*P148</f>
        <v>83330</v>
      </c>
    </row>
    <row r="149" customFormat="false" ht="15" hidden="false" customHeight="false" outlineLevel="0" collapsed="false">
      <c r="A149" s="262" t="n">
        <v>7</v>
      </c>
      <c r="B149" s="243" t="s">
        <v>235</v>
      </c>
      <c r="C149" s="219" t="n">
        <v>2563273</v>
      </c>
      <c r="D149" s="219" t="n">
        <v>1832834</v>
      </c>
      <c r="E149" s="201" t="n">
        <f aca="false">C149/D149*100-100</f>
        <v>39.8529817757637</v>
      </c>
      <c r="F149" s="219" t="n">
        <v>269242</v>
      </c>
      <c r="G149" s="219" t="n">
        <v>262091</v>
      </c>
      <c r="H149" s="201" t="n">
        <f aca="false">F149/G149*100-100</f>
        <v>2.72844164812984</v>
      </c>
      <c r="I149" s="203" t="n">
        <v>2285369</v>
      </c>
      <c r="J149" s="219" t="n">
        <v>1920534</v>
      </c>
      <c r="K149" s="201" t="n">
        <f aca="false">I149/J149*100-100</f>
        <v>18.9965395041171</v>
      </c>
      <c r="L149" s="203" t="n">
        <v>0</v>
      </c>
      <c r="M149" s="203" t="n">
        <v>0</v>
      </c>
      <c r="N149" s="201" t="n">
        <v>0</v>
      </c>
      <c r="O149" s="203" t="n">
        <v>35</v>
      </c>
      <c r="P149" s="219"/>
      <c r="Q149" s="203" t="n">
        <v>35</v>
      </c>
      <c r="R149" s="202"/>
    </row>
    <row r="150" customFormat="false" ht="15" hidden="false" customHeight="false" outlineLevel="0" collapsed="false">
      <c r="A150" s="262" t="n">
        <v>8</v>
      </c>
      <c r="B150" s="243" t="s">
        <v>144</v>
      </c>
      <c r="C150" s="200" t="n">
        <v>0</v>
      </c>
      <c r="D150" s="200" t="n">
        <v>0</v>
      </c>
      <c r="E150" s="201" t="n">
        <v>0</v>
      </c>
      <c r="F150" s="200" t="n">
        <v>0</v>
      </c>
      <c r="G150" s="200" t="n">
        <v>0</v>
      </c>
      <c r="H150" s="201" t="n">
        <v>0</v>
      </c>
      <c r="I150" s="200" t="n">
        <v>0</v>
      </c>
      <c r="J150" s="200" t="n">
        <v>0</v>
      </c>
      <c r="K150" s="201" t="n">
        <v>0</v>
      </c>
      <c r="L150" s="200" t="n">
        <v>0</v>
      </c>
      <c r="M150" s="200" t="n">
        <v>0</v>
      </c>
      <c r="N150" s="201" t="n">
        <v>0</v>
      </c>
      <c r="O150" s="203" t="n">
        <v>0</v>
      </c>
      <c r="P150" s="204" t="n">
        <v>0</v>
      </c>
      <c r="Q150" s="203" t="n">
        <v>0</v>
      </c>
      <c r="R150" s="202" t="n">
        <v>0</v>
      </c>
    </row>
    <row r="151" customFormat="false" ht="15" hidden="false" customHeight="false" outlineLevel="0" collapsed="false">
      <c r="A151" s="215" t="s">
        <v>145</v>
      </c>
      <c r="B151" s="215" t="s">
        <v>136</v>
      </c>
      <c r="C151" s="237" t="n">
        <f aca="false">SUM(C143:C150)</f>
        <v>125180097</v>
      </c>
      <c r="D151" s="237" t="n">
        <f aca="false">SUM(D143:D150)</f>
        <v>121669693</v>
      </c>
      <c r="E151" s="313" t="n">
        <f aca="false">C151/D151*100-100</f>
        <v>2.88519179546216</v>
      </c>
      <c r="F151" s="237" t="n">
        <f aca="false">SUM(F143:F150)</f>
        <v>11481773</v>
      </c>
      <c r="G151" s="237" t="n">
        <f aca="false">SUM(G143:G150)</f>
        <v>14264452</v>
      </c>
      <c r="H151" s="313" t="n">
        <f aca="false">F151/G151*100-100</f>
        <v>-19.5077876107684</v>
      </c>
      <c r="I151" s="237" t="n">
        <f aca="false">SUM(I143:I150)</f>
        <v>116763390</v>
      </c>
      <c r="J151" s="237" t="n">
        <f aca="false">SUM(J143:J150)</f>
        <v>119234656</v>
      </c>
      <c r="K151" s="313" t="n">
        <f aca="false">I151/J151*100-100</f>
        <v>-2.07260714535882</v>
      </c>
      <c r="L151" s="237" t="n">
        <f aca="false">SUM(L143:L150)</f>
        <v>110408856</v>
      </c>
      <c r="M151" s="237" t="n">
        <f aca="false">SUM(M143:M150)</f>
        <v>114109165</v>
      </c>
      <c r="N151" s="313" t="n">
        <f aca="false">L151/M151*100-100</f>
        <v>-3.24277984156663</v>
      </c>
      <c r="O151" s="216" t="n">
        <f aca="false">SUM(O143:O150)</f>
        <v>3710</v>
      </c>
      <c r="P151" s="237" t="n">
        <f aca="false">R151/O151</f>
        <v>130.443396226415</v>
      </c>
      <c r="Q151" s="216" t="n">
        <f aca="false">SUM(Q143:Q150)</f>
        <v>3685</v>
      </c>
      <c r="R151" s="232" t="n">
        <f aca="false">SUM(R143:R150)</f>
        <v>483945</v>
      </c>
    </row>
    <row r="152" customFormat="false" ht="15" hidden="false" customHeight="false" outlineLevel="0" collapsed="false">
      <c r="A152" s="319" t="s">
        <v>146</v>
      </c>
      <c r="B152" s="319" t="s">
        <v>78</v>
      </c>
      <c r="C152" s="320" t="n">
        <f aca="false">C140+C151</f>
        <v>259816333</v>
      </c>
      <c r="D152" s="320" t="n">
        <f aca="false">D140+D151</f>
        <v>254270726</v>
      </c>
      <c r="E152" s="310" t="n">
        <f aca="false">C152/D152*100-100</f>
        <v>2.18098523854454</v>
      </c>
      <c r="F152" s="320" t="n">
        <f aca="false">F140+F151</f>
        <v>24423522</v>
      </c>
      <c r="G152" s="320" t="n">
        <f aca="false">G140+G151</f>
        <v>28685710</v>
      </c>
      <c r="H152" s="310" t="n">
        <f aca="false">F152/G152*100-100</f>
        <v>-14.8582273194563</v>
      </c>
      <c r="I152" s="320" t="n">
        <f aca="false">I140+I151</f>
        <v>239128953</v>
      </c>
      <c r="J152" s="320" t="n">
        <f aca="false">J140+J151</f>
        <v>243078797</v>
      </c>
      <c r="K152" s="310" t="n">
        <f aca="false">I152/J152*100-100</f>
        <v>-1.62492329596317</v>
      </c>
      <c r="L152" s="320" t="n">
        <f aca="false">L140+L151</f>
        <v>194665483</v>
      </c>
      <c r="M152" s="320" t="n">
        <f aca="false">M140+M151</f>
        <v>192715373</v>
      </c>
      <c r="N152" s="310" t="n">
        <f aca="false">L152/M152*100-100</f>
        <v>1.01191200766324</v>
      </c>
      <c r="O152" s="320" t="n">
        <f aca="false">O140+O151</f>
        <v>9645</v>
      </c>
      <c r="P152" s="321" t="n">
        <f aca="false">R152/O152</f>
        <v>158.643960601348</v>
      </c>
      <c r="Q152" s="320" t="n">
        <f aca="false">Q140+Q151</f>
        <v>9619</v>
      </c>
      <c r="R152" s="320" t="n">
        <f aca="false">R140+R151</f>
        <v>1530121</v>
      </c>
    </row>
    <row r="153" customFormat="false" ht="15" hidden="false" customHeight="false" outlineLevel="0" collapsed="false">
      <c r="A153" s="263"/>
      <c r="B153" s="263"/>
      <c r="C153" s="264"/>
      <c r="D153" s="264"/>
      <c r="E153" s="265"/>
      <c r="F153" s="266"/>
      <c r="G153" s="266"/>
      <c r="H153" s="265"/>
      <c r="I153" s="266"/>
      <c r="J153" s="266"/>
      <c r="K153" s="265"/>
      <c r="L153" s="266"/>
      <c r="M153" s="266"/>
      <c r="N153" s="265"/>
      <c r="O153" s="266"/>
      <c r="P153" s="264"/>
      <c r="Q153" s="266"/>
      <c r="R153" s="267"/>
    </row>
    <row r="154" customFormat="false" ht="15" hidden="false" customHeight="false" outlineLevel="0" collapsed="false">
      <c r="A154" s="179"/>
      <c r="B154" s="270" t="s">
        <v>147</v>
      </c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189"/>
    </row>
    <row r="155" customFormat="false" ht="15" hidden="false" customHeight="false" outlineLevel="0" collapsed="false">
      <c r="A155" s="270"/>
      <c r="B155" s="270"/>
      <c r="C155" s="195" t="n">
        <v>3</v>
      </c>
      <c r="D155" s="195" t="n">
        <v>4</v>
      </c>
      <c r="E155" s="196" t="n">
        <v>5</v>
      </c>
      <c r="F155" s="195" t="n">
        <v>6</v>
      </c>
      <c r="G155" s="195" t="n">
        <v>7</v>
      </c>
      <c r="H155" s="195" t="n">
        <v>8</v>
      </c>
      <c r="I155" s="195" t="n">
        <v>9</v>
      </c>
      <c r="J155" s="195" t="n">
        <v>10</v>
      </c>
      <c r="K155" s="195" t="n">
        <v>11</v>
      </c>
      <c r="L155" s="195" t="n">
        <v>12</v>
      </c>
      <c r="M155" s="195" t="n">
        <v>13</v>
      </c>
      <c r="N155" s="195" t="n">
        <v>14</v>
      </c>
      <c r="O155" s="195" t="n">
        <v>15</v>
      </c>
      <c r="P155" s="196" t="n">
        <v>16</v>
      </c>
      <c r="Q155" s="195" t="n">
        <v>15</v>
      </c>
      <c r="R155" s="271"/>
    </row>
    <row r="156" customFormat="false" ht="15" hidden="false" customHeight="false" outlineLevel="0" collapsed="false">
      <c r="A156" s="262" t="n">
        <v>1</v>
      </c>
      <c r="B156" s="272" t="s">
        <v>148</v>
      </c>
      <c r="C156" s="262" t="n">
        <v>26562</v>
      </c>
      <c r="D156" s="262" t="n">
        <v>52394</v>
      </c>
      <c r="E156" s="201" t="n">
        <f aca="false">C156/D156*100-100</f>
        <v>-49.303355346032</v>
      </c>
      <c r="F156" s="192" t="n">
        <v>4652</v>
      </c>
      <c r="G156" s="262" t="n">
        <v>4047</v>
      </c>
      <c r="H156" s="201" t="n">
        <f aca="false">F156/G156*100-100</f>
        <v>14.9493451939708</v>
      </c>
      <c r="I156" s="262" t="n">
        <v>26562</v>
      </c>
      <c r="J156" s="262" t="n">
        <v>52394</v>
      </c>
      <c r="K156" s="201" t="n">
        <f aca="false">I156/J156*100-100</f>
        <v>-49.303355346032</v>
      </c>
      <c r="L156" s="262" t="n">
        <v>0</v>
      </c>
      <c r="M156" s="262" t="n">
        <v>0</v>
      </c>
      <c r="N156" s="201" t="n">
        <v>0</v>
      </c>
      <c r="O156" s="262" t="n">
        <v>46</v>
      </c>
      <c r="P156" s="236" t="n">
        <v>91</v>
      </c>
      <c r="Q156" s="262" t="n">
        <v>54</v>
      </c>
      <c r="R156" s="202" t="n">
        <f aca="false">O156*P156</f>
        <v>4186</v>
      </c>
    </row>
    <row r="157" customFormat="false" ht="15" hidden="false" customHeight="false" outlineLevel="0" collapsed="false">
      <c r="A157" s="262" t="n">
        <v>2</v>
      </c>
      <c r="B157" s="272" t="s">
        <v>149</v>
      </c>
      <c r="C157" s="208" t="n">
        <v>7453016</v>
      </c>
      <c r="D157" s="208" t="n">
        <v>4018244</v>
      </c>
      <c r="E157" s="201" t="n">
        <f aca="false">C157/D157*100-100</f>
        <v>85.4794283273987</v>
      </c>
      <c r="F157" s="208" t="n">
        <v>830395</v>
      </c>
      <c r="G157" s="208" t="n">
        <v>671753</v>
      </c>
      <c r="H157" s="201" t="n">
        <f aca="false">F157/G157*100-100</f>
        <v>23.6161208063083</v>
      </c>
      <c r="I157" s="208" t="n">
        <v>6939154</v>
      </c>
      <c r="J157" s="208" t="n">
        <v>4106310</v>
      </c>
      <c r="K157" s="201" t="n">
        <f aca="false">I157/J157*100-100</f>
        <v>68.9875825254304</v>
      </c>
      <c r="L157" s="208" t="n">
        <v>3299917</v>
      </c>
      <c r="M157" s="208" t="n">
        <v>1216419</v>
      </c>
      <c r="N157" s="201" t="n">
        <f aca="false">L157/M157*100-100</f>
        <v>171.281277257261</v>
      </c>
      <c r="O157" s="262" t="n">
        <v>593</v>
      </c>
      <c r="P157" s="236" t="n">
        <v>110</v>
      </c>
      <c r="Q157" s="262" t="n">
        <v>561</v>
      </c>
      <c r="R157" s="202" t="n">
        <f aca="false">O157*P157</f>
        <v>65230</v>
      </c>
    </row>
    <row r="158" customFormat="false" ht="15" hidden="false" customHeight="false" outlineLevel="0" collapsed="false">
      <c r="A158" s="262" t="n">
        <v>3</v>
      </c>
      <c r="B158" s="272" t="s">
        <v>150</v>
      </c>
      <c r="C158" s="200" t="n">
        <v>0</v>
      </c>
      <c r="D158" s="200" t="n">
        <v>0</v>
      </c>
      <c r="E158" s="201" t="n">
        <v>0</v>
      </c>
      <c r="F158" s="200" t="n">
        <v>0</v>
      </c>
      <c r="G158" s="200" t="n">
        <v>0</v>
      </c>
      <c r="H158" s="201" t="n">
        <v>0</v>
      </c>
      <c r="I158" s="200" t="n">
        <v>0</v>
      </c>
      <c r="J158" s="200" t="n">
        <v>0</v>
      </c>
      <c r="K158" s="201" t="n">
        <v>0</v>
      </c>
      <c r="L158" s="200" t="n">
        <v>0</v>
      </c>
      <c r="M158" s="200" t="n">
        <v>0</v>
      </c>
      <c r="N158" s="201" t="n">
        <v>0</v>
      </c>
      <c r="O158" s="203" t="n">
        <v>0</v>
      </c>
      <c r="P158" s="204" t="n">
        <v>0</v>
      </c>
      <c r="Q158" s="203" t="n">
        <v>0</v>
      </c>
      <c r="R158" s="202" t="n">
        <v>0</v>
      </c>
    </row>
    <row r="159" customFormat="false" ht="15" hidden="false" customHeight="false" outlineLevel="0" collapsed="false">
      <c r="A159" s="262" t="n">
        <v>4</v>
      </c>
      <c r="B159" s="272" t="s">
        <v>151</v>
      </c>
      <c r="C159" s="262" t="n">
        <v>244649</v>
      </c>
      <c r="D159" s="262" t="n">
        <v>2379063</v>
      </c>
      <c r="E159" s="201" t="n">
        <f aca="false">C159/D159*100-100</f>
        <v>-89.7165816962392</v>
      </c>
      <c r="F159" s="262" t="n">
        <v>278751</v>
      </c>
      <c r="G159" s="273" t="n">
        <v>165902</v>
      </c>
      <c r="H159" s="201" t="n">
        <v>0</v>
      </c>
      <c r="I159" s="273" t="n">
        <v>1881299</v>
      </c>
      <c r="J159" s="273" t="n">
        <v>2720407</v>
      </c>
      <c r="K159" s="201" t="n">
        <f aca="false">I159/J159*100-100</f>
        <v>-30.8449434220688</v>
      </c>
      <c r="L159" s="273" t="n">
        <v>1539943</v>
      </c>
      <c r="M159" s="273" t="n">
        <v>1622987</v>
      </c>
      <c r="N159" s="201" t="n">
        <f aca="false">L159/M159*100-100</f>
        <v>-5.11673845816387</v>
      </c>
      <c r="O159" s="262" t="n">
        <v>296</v>
      </c>
      <c r="P159" s="236" t="n">
        <v>100</v>
      </c>
      <c r="Q159" s="262" t="n">
        <v>296</v>
      </c>
      <c r="R159" s="202" t="n">
        <f aca="false">O159*P159</f>
        <v>29600</v>
      </c>
    </row>
    <row r="160" customFormat="false" ht="15" hidden="false" customHeight="false" outlineLevel="0" collapsed="false">
      <c r="A160" s="262" t="n">
        <v>5</v>
      </c>
      <c r="B160" s="245" t="s">
        <v>88</v>
      </c>
      <c r="C160" s="208" t="n">
        <v>1540729</v>
      </c>
      <c r="D160" s="208" t="n">
        <v>1564668</v>
      </c>
      <c r="E160" s="201" t="n">
        <f aca="false">C160/D160*100-100</f>
        <v>-1.52997313168032</v>
      </c>
      <c r="F160" s="208" t="n">
        <v>199604</v>
      </c>
      <c r="G160" s="208" t="n">
        <v>190474</v>
      </c>
      <c r="H160" s="201" t="n">
        <f aca="false">F160/G160*100-100</f>
        <v>4.79330512300891</v>
      </c>
      <c r="I160" s="208" t="n">
        <v>1608926</v>
      </c>
      <c r="J160" s="208" t="n">
        <v>1481782</v>
      </c>
      <c r="K160" s="201" t="n">
        <f aca="false">I160/J160*100-100</f>
        <v>8.58047944974362</v>
      </c>
      <c r="L160" s="203" t="n">
        <v>8685</v>
      </c>
      <c r="M160" s="208" t="n">
        <v>0</v>
      </c>
      <c r="N160" s="201" t="n">
        <v>0</v>
      </c>
      <c r="O160" s="203" t="n">
        <v>127</v>
      </c>
      <c r="P160" s="208" t="n">
        <v>145</v>
      </c>
      <c r="Q160" s="203" t="n">
        <v>127</v>
      </c>
      <c r="R160" s="202" t="n">
        <f aca="false">O160*P160</f>
        <v>18415</v>
      </c>
    </row>
    <row r="161" customFormat="false" ht="15" hidden="false" customHeight="false" outlineLevel="0" collapsed="false">
      <c r="A161" s="262" t="n">
        <v>6</v>
      </c>
      <c r="B161" s="272" t="s">
        <v>152</v>
      </c>
      <c r="C161" s="200" t="n">
        <v>1055279</v>
      </c>
      <c r="D161" s="200" t="n">
        <v>2308944</v>
      </c>
      <c r="E161" s="201" t="n">
        <f aca="false">C161/D161*100-100</f>
        <v>-54.2960331649447</v>
      </c>
      <c r="F161" s="200" t="n">
        <v>265564</v>
      </c>
      <c r="G161" s="200" t="n">
        <v>397220</v>
      </c>
      <c r="H161" s="201" t="n">
        <v>0</v>
      </c>
      <c r="I161" s="200" t="n">
        <v>517466</v>
      </c>
      <c r="J161" s="200" t="n">
        <v>2185808</v>
      </c>
      <c r="K161" s="201" t="n">
        <v>0</v>
      </c>
      <c r="L161" s="200" t="n">
        <v>0</v>
      </c>
      <c r="M161" s="200" t="n">
        <v>0</v>
      </c>
      <c r="N161" s="201" t="n">
        <v>0</v>
      </c>
      <c r="O161" s="203" t="n">
        <v>436</v>
      </c>
      <c r="P161" s="204" t="n">
        <v>65</v>
      </c>
      <c r="Q161" s="203" t="n">
        <v>230</v>
      </c>
      <c r="R161" s="202" t="n">
        <f aca="false">O161*P161</f>
        <v>28340</v>
      </c>
    </row>
    <row r="162" customFormat="false" ht="15" hidden="false" customHeight="false" outlineLevel="0" collapsed="false">
      <c r="A162" s="215" t="s">
        <v>153</v>
      </c>
      <c r="B162" s="215" t="s">
        <v>154</v>
      </c>
      <c r="C162" s="216" t="n">
        <f aca="false">SUM(C156:C161)</f>
        <v>10320235</v>
      </c>
      <c r="D162" s="216" t="n">
        <f aca="false">SUM(D156:D161)</f>
        <v>10323313</v>
      </c>
      <c r="E162" s="313" t="n">
        <f aca="false">C162/D162*100-100</f>
        <v>-0.0298160096472913</v>
      </c>
      <c r="F162" s="216" t="n">
        <f aca="false">SUM(F156:F161)</f>
        <v>1578966</v>
      </c>
      <c r="G162" s="216" t="n">
        <f aca="false">SUM(G156:G161)</f>
        <v>1429396</v>
      </c>
      <c r="H162" s="313" t="n">
        <f aca="false">F162/G162*100-100</f>
        <v>10.463860259858</v>
      </c>
      <c r="I162" s="216" t="n">
        <f aca="false">SUM(I156:I161)</f>
        <v>10973407</v>
      </c>
      <c r="J162" s="216" t="n">
        <f aca="false">SUM(J156:J161)</f>
        <v>10546701</v>
      </c>
      <c r="K162" s="313" t="n">
        <f aca="false">I162/J162*100-100</f>
        <v>4.04587178493065</v>
      </c>
      <c r="L162" s="216" t="n">
        <f aca="false">SUM(L156:L161)</f>
        <v>4848545</v>
      </c>
      <c r="M162" s="216" t="n">
        <f aca="false">SUM(M156:M161)</f>
        <v>2839406</v>
      </c>
      <c r="N162" s="313" t="n">
        <f aca="false">L162/M162*100-100</f>
        <v>70.7591306068945</v>
      </c>
      <c r="O162" s="216" t="n">
        <f aca="false">SUM(O156:O161)</f>
        <v>1498</v>
      </c>
      <c r="P162" s="217" t="n">
        <f aca="false">R162/O162</f>
        <v>97.3104138851802</v>
      </c>
      <c r="Q162" s="216" t="n">
        <f aca="false">SUM(Q156:Q161)</f>
        <v>1268</v>
      </c>
      <c r="R162" s="232" t="n">
        <f aca="false">SUM(R156:R161)</f>
        <v>145771</v>
      </c>
    </row>
    <row r="163" customFormat="false" ht="15" hidden="false" customHeight="false" outlineLevel="0" collapsed="false">
      <c r="A163" s="274"/>
      <c r="B163" s="256"/>
      <c r="C163" s="275"/>
      <c r="D163" s="275"/>
      <c r="E163" s="276"/>
      <c r="F163" s="275"/>
      <c r="G163" s="275"/>
      <c r="H163" s="276"/>
      <c r="I163" s="275"/>
      <c r="J163" s="275"/>
      <c r="K163" s="276"/>
      <c r="L163" s="275"/>
      <c r="M163" s="277"/>
      <c r="N163" s="278"/>
      <c r="O163" s="277"/>
      <c r="P163" s="275"/>
      <c r="Q163" s="277"/>
      <c r="R163" s="279"/>
    </row>
    <row r="164" customFormat="false" ht="15" hidden="false" customHeight="false" outlineLevel="0" collapsed="false">
      <c r="A164" s="274"/>
      <c r="B164" s="322" t="s">
        <v>194</v>
      </c>
      <c r="C164" s="322"/>
      <c r="D164" s="275"/>
      <c r="E164" s="276"/>
      <c r="F164" s="275"/>
      <c r="G164" s="275"/>
      <c r="H164" s="276"/>
      <c r="I164" s="275"/>
      <c r="J164" s="275"/>
      <c r="K164" s="276"/>
      <c r="L164" s="275"/>
      <c r="M164" s="277"/>
      <c r="N164" s="278"/>
      <c r="O164" s="277"/>
      <c r="P164" s="275"/>
      <c r="Q164" s="277"/>
      <c r="R164" s="279"/>
    </row>
    <row r="165" customFormat="false" ht="15" hidden="false" customHeight="false" outlineLevel="0" collapsed="false">
      <c r="A165" s="323" t="s">
        <v>195</v>
      </c>
      <c r="B165" s="323"/>
      <c r="C165" s="195" t="n">
        <v>3</v>
      </c>
      <c r="D165" s="195" t="n">
        <v>4</v>
      </c>
      <c r="E165" s="196" t="n">
        <v>5</v>
      </c>
      <c r="F165" s="195" t="n">
        <v>6</v>
      </c>
      <c r="G165" s="195" t="n">
        <v>7</v>
      </c>
      <c r="H165" s="195" t="n">
        <v>8</v>
      </c>
      <c r="I165" s="195" t="n">
        <v>9</v>
      </c>
      <c r="J165" s="195" t="n">
        <v>10</v>
      </c>
      <c r="K165" s="195" t="n">
        <v>11</v>
      </c>
      <c r="L165" s="195" t="n">
        <v>12</v>
      </c>
      <c r="M165" s="195" t="n">
        <v>13</v>
      </c>
      <c r="N165" s="195" t="n">
        <v>14</v>
      </c>
      <c r="O165" s="195" t="n">
        <v>15</v>
      </c>
      <c r="P165" s="196" t="n">
        <v>16</v>
      </c>
      <c r="Q165" s="195" t="n">
        <v>15</v>
      </c>
      <c r="R165" s="202"/>
    </row>
    <row r="166" customFormat="false" ht="15" hidden="false" customHeight="false" outlineLevel="0" collapsed="false">
      <c r="A166" s="366" t="n">
        <v>1</v>
      </c>
      <c r="B166" s="388" t="s">
        <v>249</v>
      </c>
      <c r="C166" s="203" t="n">
        <v>18507528</v>
      </c>
      <c r="D166" s="203" t="n">
        <v>14824015</v>
      </c>
      <c r="E166" s="201" t="n">
        <f aca="false">C166/D166*100-100</f>
        <v>24.8482816564878</v>
      </c>
      <c r="F166" s="203" t="n">
        <v>3053944</v>
      </c>
      <c r="G166" s="203" t="n">
        <v>2795923</v>
      </c>
      <c r="H166" s="201" t="n">
        <f aca="false">F166/G166*100-100</f>
        <v>9.22847303019432</v>
      </c>
      <c r="I166" s="203" t="n">
        <v>17446259</v>
      </c>
      <c r="J166" s="203" t="n">
        <v>13222909</v>
      </c>
      <c r="K166" s="201" t="n">
        <f aca="false">I166/J166*100-100</f>
        <v>31.939643538347</v>
      </c>
      <c r="L166" s="203" t="n">
        <f aca="false">14583055+791605</f>
        <v>15374660</v>
      </c>
      <c r="M166" s="203" t="n">
        <f aca="false">10874486+623947</f>
        <v>11498433</v>
      </c>
      <c r="N166" s="201" t="n">
        <f aca="false">L166/M166*100-100</f>
        <v>33.7109152177518</v>
      </c>
      <c r="O166" s="203" t="n">
        <v>343</v>
      </c>
      <c r="P166" s="203"/>
      <c r="Q166" s="203" t="n">
        <v>345</v>
      </c>
      <c r="R166" s="202" t="n">
        <f aca="false">O166*P166</f>
        <v>0</v>
      </c>
    </row>
    <row r="167" customFormat="false" ht="15" hidden="false" customHeight="false" outlineLevel="0" collapsed="false">
      <c r="A167" s="366" t="n">
        <v>2</v>
      </c>
      <c r="B167" s="388" t="s">
        <v>250</v>
      </c>
      <c r="C167" s="203" t="n">
        <v>2871522</v>
      </c>
      <c r="D167" s="203" t="n">
        <v>749938</v>
      </c>
      <c r="E167" s="201" t="n">
        <f aca="false">C167/D167*100-100</f>
        <v>282.901253170262</v>
      </c>
      <c r="F167" s="203" t="n">
        <v>180871</v>
      </c>
      <c r="G167" s="203" t="n">
        <v>130638</v>
      </c>
      <c r="H167" s="223" t="n">
        <f aca="false">F167/G167*100-100</f>
        <v>38.4520583597422</v>
      </c>
      <c r="I167" s="203" t="n">
        <v>2885189</v>
      </c>
      <c r="J167" s="203" t="n">
        <v>796049</v>
      </c>
      <c r="K167" s="201" t="n">
        <f aca="false">I167/J167*100-100</f>
        <v>262.438618728244</v>
      </c>
      <c r="L167" s="203" t="n">
        <f aca="false">2158149+187376</f>
        <v>2345525</v>
      </c>
      <c r="M167" s="203" t="n">
        <f aca="false">141970+16347</f>
        <v>158317</v>
      </c>
      <c r="N167" s="223" t="n">
        <f aca="false">L167/M167*100-100</f>
        <v>1381.53704276862</v>
      </c>
      <c r="O167" s="203" t="n">
        <v>132</v>
      </c>
      <c r="P167" s="203" t="n">
        <v>105</v>
      </c>
      <c r="Q167" s="203" t="n">
        <v>130</v>
      </c>
      <c r="R167" s="202" t="n">
        <f aca="false">O167*P167</f>
        <v>13860</v>
      </c>
    </row>
    <row r="168" customFormat="false" ht="15" hidden="false" customHeight="false" outlineLevel="0" collapsed="false">
      <c r="A168" s="366" t="n">
        <v>3</v>
      </c>
      <c r="B168" s="388" t="s">
        <v>251</v>
      </c>
      <c r="C168" s="203" t="n">
        <v>741228</v>
      </c>
      <c r="D168" s="203" t="n">
        <v>469111</v>
      </c>
      <c r="E168" s="201" t="n">
        <f aca="false">C168/D168*100-100</f>
        <v>58.006953578151</v>
      </c>
      <c r="F168" s="203" t="n">
        <v>81944</v>
      </c>
      <c r="G168" s="203" t="n">
        <v>21168</v>
      </c>
      <c r="H168" s="223" t="n">
        <f aca="false">F168/G168*100-100</f>
        <v>287.112622826909</v>
      </c>
      <c r="I168" s="203" t="n">
        <v>753014</v>
      </c>
      <c r="J168" s="203" t="n">
        <v>121969</v>
      </c>
      <c r="K168" s="223" t="n">
        <f aca="false">I168/J168*100-100</f>
        <v>517.381465782289</v>
      </c>
      <c r="L168" s="203" t="n">
        <f aca="false">150300+531875</f>
        <v>682175</v>
      </c>
      <c r="M168" s="203" t="n">
        <v>93512</v>
      </c>
      <c r="N168" s="223" t="n">
        <f aca="false">L168/M168*100-100</f>
        <v>629.50530413209</v>
      </c>
      <c r="O168" s="203" t="n">
        <v>53</v>
      </c>
      <c r="P168" s="203" t="n">
        <v>125</v>
      </c>
      <c r="Q168" s="203" t="n">
        <v>64</v>
      </c>
      <c r="R168" s="202" t="n">
        <f aca="false">O168*P168</f>
        <v>6625</v>
      </c>
    </row>
    <row r="169" customFormat="false" ht="14.25" hidden="false" customHeight="true" outlineLevel="0" collapsed="false">
      <c r="A169" s="366" t="n">
        <v>4</v>
      </c>
      <c r="B169" s="388" t="s">
        <v>252</v>
      </c>
      <c r="C169" s="208" t="n">
        <v>934444</v>
      </c>
      <c r="D169" s="208" t="n">
        <v>910701</v>
      </c>
      <c r="E169" s="201" t="n">
        <f aca="false">C169/D169*100-100</f>
        <v>2.60711254297514</v>
      </c>
      <c r="F169" s="208" t="n">
        <v>174637</v>
      </c>
      <c r="G169" s="208" t="n">
        <v>272829</v>
      </c>
      <c r="H169" s="201" t="n">
        <f aca="false">F169/G169*100-100</f>
        <v>-35.9903089480957</v>
      </c>
      <c r="I169" s="208" t="n">
        <v>1463166</v>
      </c>
      <c r="J169" s="208" t="n">
        <v>1864889</v>
      </c>
      <c r="K169" s="201" t="n">
        <f aca="false">I169/J169*100-100</f>
        <v>-21.541389326657</v>
      </c>
      <c r="L169" s="208" t="n">
        <v>899452</v>
      </c>
      <c r="M169" s="208" t="n">
        <v>748347</v>
      </c>
      <c r="N169" s="223" t="n">
        <f aca="false">L169/M169*100-100</f>
        <v>20.1918361401863</v>
      </c>
      <c r="O169" s="250" t="n">
        <v>177</v>
      </c>
      <c r="P169" s="203" t="n">
        <v>147</v>
      </c>
      <c r="Q169" s="250" t="n">
        <v>177</v>
      </c>
      <c r="R169" s="202" t="n">
        <f aca="false">O169*P169</f>
        <v>26019</v>
      </c>
    </row>
    <row r="170" customFormat="false" ht="27.75" hidden="false" customHeight="true" outlineLevel="0" collapsed="false">
      <c r="A170" s="367" t="n">
        <v>5</v>
      </c>
      <c r="B170" s="389" t="s">
        <v>253</v>
      </c>
      <c r="C170" s="206" t="n">
        <v>7985073</v>
      </c>
      <c r="D170" s="206" t="n">
        <v>7601358</v>
      </c>
      <c r="E170" s="201" t="n">
        <f aca="false">C170/D170*100-100</f>
        <v>5.04797958470051</v>
      </c>
      <c r="F170" s="206" t="n">
        <v>1031389</v>
      </c>
      <c r="G170" s="206" t="n">
        <v>668104</v>
      </c>
      <c r="H170" s="201" t="n">
        <f aca="false">F170/G170*100-100</f>
        <v>54.3755163866703</v>
      </c>
      <c r="I170" s="206" t="n">
        <v>7380823</v>
      </c>
      <c r="J170" s="206" t="n">
        <v>7958298</v>
      </c>
      <c r="K170" s="201" t="n">
        <f aca="false">I170/J170*100-100</f>
        <v>-7.25626258277839</v>
      </c>
      <c r="L170" s="206" t="n">
        <f aca="false">7293013+87810</f>
        <v>7380823</v>
      </c>
      <c r="M170" s="206" t="n">
        <f aca="false">7504749+162567</f>
        <v>7667316</v>
      </c>
      <c r="N170" s="223" t="n">
        <f aca="false">L170/M170*100-100</f>
        <v>-3.73654874795821</v>
      </c>
      <c r="O170" s="369" t="n">
        <v>254</v>
      </c>
      <c r="P170" s="200"/>
      <c r="Q170" s="369" t="n">
        <v>254</v>
      </c>
      <c r="R170" s="370"/>
    </row>
    <row r="171" s="371" customFormat="true" ht="15" hidden="false" customHeight="false" outlineLevel="0" collapsed="false">
      <c r="A171" s="367" t="n">
        <v>6</v>
      </c>
      <c r="B171" s="389" t="s">
        <v>254</v>
      </c>
      <c r="C171" s="206" t="n">
        <v>4877991</v>
      </c>
      <c r="D171" s="206" t="n">
        <v>5318606</v>
      </c>
      <c r="E171" s="201" t="n">
        <f aca="false">C171/D171*100-100</f>
        <v>-8.28440760605317</v>
      </c>
      <c r="F171" s="206" t="n">
        <v>675544</v>
      </c>
      <c r="G171" s="206" t="n">
        <v>568942</v>
      </c>
      <c r="H171" s="201" t="n">
        <f aca="false">F171/G171*100-100</f>
        <v>18.7368835487624</v>
      </c>
      <c r="I171" s="206" t="n">
        <v>4877991</v>
      </c>
      <c r="J171" s="206" t="n">
        <v>5318606</v>
      </c>
      <c r="K171" s="201" t="n">
        <f aca="false">I171/J171*100-100</f>
        <v>-8.28440760605317</v>
      </c>
      <c r="L171" s="206" t="n">
        <f aca="false">1659713+1456185</f>
        <v>3115898</v>
      </c>
      <c r="M171" s="206" t="n">
        <f aca="false">2771061+1276899</f>
        <v>4047960</v>
      </c>
      <c r="N171" s="201" t="n">
        <f aca="false">L171/M171*100-100</f>
        <v>-23.0254745600253</v>
      </c>
      <c r="O171" s="369" t="n">
        <v>249</v>
      </c>
      <c r="P171" s="200"/>
      <c r="Q171" s="369" t="n">
        <v>249</v>
      </c>
      <c r="R171" s="370"/>
    </row>
    <row r="172" s="371" customFormat="true" ht="15" hidden="false" customHeight="false" outlineLevel="0" collapsed="false">
      <c r="A172" s="367"/>
      <c r="B172" s="243" t="s">
        <v>255</v>
      </c>
      <c r="C172" s="206" t="n">
        <v>555689</v>
      </c>
      <c r="D172" s="206" t="n">
        <v>0</v>
      </c>
      <c r="E172" s="201" t="n">
        <v>0</v>
      </c>
      <c r="F172" s="206" t="n">
        <v>258740</v>
      </c>
      <c r="G172" s="206" t="n">
        <v>0</v>
      </c>
      <c r="H172" s="201" t="n">
        <v>0</v>
      </c>
      <c r="I172" s="206" t="n">
        <v>978919</v>
      </c>
      <c r="J172" s="206" t="n">
        <v>0</v>
      </c>
      <c r="K172" s="201" t="n">
        <v>0</v>
      </c>
      <c r="L172" s="206" t="n">
        <v>876117</v>
      </c>
      <c r="M172" s="206" t="n">
        <v>0</v>
      </c>
      <c r="N172" s="201" t="n">
        <v>0</v>
      </c>
      <c r="O172" s="369" t="n">
        <v>127</v>
      </c>
      <c r="P172" s="200" t="n">
        <v>93</v>
      </c>
      <c r="Q172" s="369" t="n">
        <v>127</v>
      </c>
      <c r="R172" s="370"/>
    </row>
    <row r="173" customFormat="false" ht="15" hidden="false" customHeight="false" outlineLevel="0" collapsed="false">
      <c r="A173" s="203" t="n">
        <v>7</v>
      </c>
      <c r="B173" s="388" t="s">
        <v>256</v>
      </c>
      <c r="C173" s="203"/>
      <c r="D173" s="203"/>
      <c r="E173" s="201"/>
      <c r="F173" s="203"/>
      <c r="G173" s="203"/>
      <c r="H173" s="201"/>
      <c r="I173" s="203"/>
      <c r="J173" s="203"/>
      <c r="K173" s="201"/>
      <c r="L173" s="203"/>
      <c r="M173" s="203"/>
      <c r="N173" s="201"/>
      <c r="O173" s="203"/>
      <c r="P173" s="203"/>
      <c r="Q173" s="203"/>
      <c r="R173" s="202" t="n">
        <f aca="false">O173*P173</f>
        <v>0</v>
      </c>
    </row>
    <row r="174" customFormat="false" ht="15" hidden="false" customHeight="false" outlineLevel="0" collapsed="false">
      <c r="A174" s="203" t="n">
        <v>8</v>
      </c>
      <c r="B174" s="388" t="s">
        <v>257</v>
      </c>
      <c r="C174" s="203" t="n">
        <v>1267017</v>
      </c>
      <c r="D174" s="203" t="n">
        <v>986544</v>
      </c>
      <c r="E174" s="201" t="n">
        <f aca="false">C174/D174*100-100</f>
        <v>28.4298520897193</v>
      </c>
      <c r="F174" s="203" t="n">
        <v>124896</v>
      </c>
      <c r="G174" s="203" t="n">
        <v>129071</v>
      </c>
      <c r="H174" s="201" t="n">
        <f aca="false">F174/G174*100-100</f>
        <v>-3.234653795198</v>
      </c>
      <c r="I174" s="203" t="n">
        <v>1237430</v>
      </c>
      <c r="J174" s="203" t="n">
        <v>1039675</v>
      </c>
      <c r="K174" s="201" t="n">
        <f aca="false">I174/J174*100-100</f>
        <v>19.0208478611104</v>
      </c>
      <c r="L174" s="203" t="n">
        <v>7217</v>
      </c>
      <c r="M174" s="203" t="n">
        <v>17776</v>
      </c>
      <c r="N174" s="201" t="n">
        <f aca="false">L174/M174*100-100</f>
        <v>-59.4003150315031</v>
      </c>
      <c r="O174" s="203" t="n">
        <v>34</v>
      </c>
      <c r="P174" s="203" t="n">
        <v>85</v>
      </c>
      <c r="Q174" s="203" t="n">
        <v>33</v>
      </c>
      <c r="R174" s="202" t="n">
        <f aca="false">O174*P174</f>
        <v>2890</v>
      </c>
    </row>
    <row r="175" customFormat="false" ht="15" hidden="false" customHeight="false" outlineLevel="0" collapsed="false">
      <c r="A175" s="215" t="s">
        <v>201</v>
      </c>
      <c r="B175" s="215" t="s">
        <v>119</v>
      </c>
      <c r="C175" s="229" t="n">
        <f aca="false">SUM(C166:C174)</f>
        <v>37740492</v>
      </c>
      <c r="D175" s="229" t="n">
        <f aca="false">SUM(D166:D174)</f>
        <v>30860273</v>
      </c>
      <c r="E175" s="313" t="n">
        <f aca="false">C175/D175*100-100</f>
        <v>22.2947444437708</v>
      </c>
      <c r="F175" s="229" t="n">
        <f aca="false">SUM(F166:F174)</f>
        <v>5581965</v>
      </c>
      <c r="G175" s="229" t="n">
        <f aca="false">SUM(G166:G174)</f>
        <v>4586675</v>
      </c>
      <c r="H175" s="313" t="n">
        <f aca="false">F175/G175*100-100</f>
        <v>21.6995972027667</v>
      </c>
      <c r="I175" s="229" t="n">
        <f aca="false">SUM(I166:I174)</f>
        <v>37022791</v>
      </c>
      <c r="J175" s="229" t="n">
        <f aca="false">SUM(J166:J174)</f>
        <v>30322395</v>
      </c>
      <c r="K175" s="313" t="n">
        <f aca="false">I175/J175*100-100</f>
        <v>22.0971859247926</v>
      </c>
      <c r="L175" s="229" t="n">
        <f aca="false">SUM(L166:L174)</f>
        <v>30681867</v>
      </c>
      <c r="M175" s="229" t="n">
        <f aca="false">SUM(M166:M174)</f>
        <v>24231661</v>
      </c>
      <c r="N175" s="313" t="n">
        <f aca="false">L175/M175*100-100</f>
        <v>26.6189181170866</v>
      </c>
      <c r="O175" s="229" t="n">
        <f aca="false">SUM(O166:O174)</f>
        <v>1369</v>
      </c>
      <c r="P175" s="231" t="n">
        <f aca="false">R175/O175</f>
        <v>36.0803506208912</v>
      </c>
      <c r="Q175" s="229" t="n">
        <f aca="false">SUM(Q166:Q174)</f>
        <v>1379</v>
      </c>
      <c r="R175" s="229" t="n">
        <f aca="false">SUM(R166:R174)</f>
        <v>49394</v>
      </c>
    </row>
    <row r="176" customFormat="false" ht="15" hidden="false" customHeight="false" outlineLevel="0" collapsed="false">
      <c r="A176" s="203"/>
      <c r="B176" s="281"/>
      <c r="C176" s="203"/>
      <c r="D176" s="203"/>
      <c r="E176" s="201"/>
      <c r="F176" s="203"/>
      <c r="G176" s="203"/>
      <c r="H176" s="201"/>
      <c r="I176" s="203"/>
      <c r="J176" s="203"/>
      <c r="K176" s="201"/>
      <c r="L176" s="203"/>
      <c r="M176" s="203"/>
      <c r="N176" s="201"/>
      <c r="O176" s="203"/>
      <c r="P176" s="203"/>
      <c r="Q176" s="203"/>
      <c r="R176" s="202"/>
    </row>
    <row r="177" customFormat="false" ht="15" hidden="false" customHeight="false" outlineLevel="0" collapsed="false">
      <c r="A177" s="203"/>
      <c r="B177" s="324" t="s">
        <v>202</v>
      </c>
      <c r="C177" s="203"/>
      <c r="D177" s="203"/>
      <c r="E177" s="201"/>
      <c r="F177" s="203"/>
      <c r="G177" s="203"/>
      <c r="H177" s="201"/>
      <c r="I177" s="203"/>
      <c r="J177" s="203"/>
      <c r="K177" s="201"/>
      <c r="L177" s="203"/>
      <c r="M177" s="203"/>
      <c r="N177" s="201"/>
      <c r="O177" s="203"/>
      <c r="P177" s="203"/>
      <c r="Q177" s="203"/>
      <c r="R177" s="202"/>
    </row>
    <row r="178" customFormat="false" ht="15" hidden="false" customHeight="false" outlineLevel="0" collapsed="false">
      <c r="A178" s="203" t="n">
        <v>1</v>
      </c>
      <c r="B178" s="281" t="s">
        <v>227</v>
      </c>
      <c r="C178" s="203" t="n">
        <v>78241</v>
      </c>
      <c r="D178" s="203" t="n">
        <v>99072</v>
      </c>
      <c r="E178" s="201" t="n">
        <f aca="false">C178/D178*100-100</f>
        <v>-21.0261224160207</v>
      </c>
      <c r="F178" s="203" t="n">
        <v>6855</v>
      </c>
      <c r="G178" s="203" t="n">
        <v>7741</v>
      </c>
      <c r="H178" s="201" t="n">
        <f aca="false">F178/G178*100-100</f>
        <v>-11.4455496705852</v>
      </c>
      <c r="I178" s="203" t="n">
        <v>73532</v>
      </c>
      <c r="J178" s="203" t="n">
        <v>127311</v>
      </c>
      <c r="K178" s="201" t="n">
        <f aca="false">I178/J178*100-100</f>
        <v>-42.242225730691</v>
      </c>
      <c r="L178" s="203" t="n">
        <f aca="false">68722+519</f>
        <v>69241</v>
      </c>
      <c r="M178" s="203" t="n">
        <v>123844</v>
      </c>
      <c r="N178" s="201" t="n">
        <f aca="false">L178/M178*100-100</f>
        <v>-44.0901456671296</v>
      </c>
      <c r="O178" s="203" t="n">
        <v>61</v>
      </c>
      <c r="P178" s="203" t="n">
        <v>82</v>
      </c>
      <c r="Q178" s="203" t="n">
        <v>61</v>
      </c>
      <c r="R178" s="202" t="n">
        <f aca="false">O178*P178</f>
        <v>5002</v>
      </c>
    </row>
    <row r="179" customFormat="false" ht="15" hidden="false" customHeight="false" outlineLevel="0" collapsed="false">
      <c r="A179" s="203" t="n">
        <v>2</v>
      </c>
      <c r="B179" s="243" t="s">
        <v>238</v>
      </c>
      <c r="C179" s="203" t="n">
        <v>1055828</v>
      </c>
      <c r="D179" s="203" t="n">
        <v>899766</v>
      </c>
      <c r="E179" s="223" t="n">
        <f aca="false">C179/D179*100-100</f>
        <v>17.3447318525039</v>
      </c>
      <c r="F179" s="203" t="n">
        <v>106061</v>
      </c>
      <c r="G179" s="203" t="n">
        <v>156622</v>
      </c>
      <c r="H179" s="201" t="n">
        <f aca="false">F179/G179*100-100</f>
        <v>-32.2821825797142</v>
      </c>
      <c r="I179" s="203" t="n">
        <v>973861</v>
      </c>
      <c r="J179" s="203" t="n">
        <v>829834</v>
      </c>
      <c r="K179" s="201" t="n">
        <f aca="false">I179/J179*100-100</f>
        <v>17.356121826775</v>
      </c>
      <c r="L179" s="203" t="n">
        <v>446211</v>
      </c>
      <c r="M179" s="203" t="n">
        <v>246885</v>
      </c>
      <c r="N179" s="201" t="n">
        <f aca="false">L179/M179*100-100</f>
        <v>80.7363752354335</v>
      </c>
      <c r="O179" s="203" t="n">
        <v>78</v>
      </c>
      <c r="P179" s="203" t="n">
        <v>71</v>
      </c>
      <c r="Q179" s="203" t="n">
        <v>78</v>
      </c>
      <c r="R179" s="202" t="n">
        <f aca="false">O179*P179</f>
        <v>5538</v>
      </c>
    </row>
    <row r="180" customFormat="false" ht="15" hidden="false" customHeight="false" outlineLevel="0" collapsed="false">
      <c r="A180" s="203" t="n">
        <v>3</v>
      </c>
      <c r="B180" s="243" t="s">
        <v>239</v>
      </c>
      <c r="C180" s="203" t="n">
        <v>290722</v>
      </c>
      <c r="D180" s="203" t="n">
        <v>210786</v>
      </c>
      <c r="E180" s="223" t="n">
        <f aca="false">C180/D180*100-100</f>
        <v>37.9228221988178</v>
      </c>
      <c r="F180" s="203" t="n">
        <v>76335</v>
      </c>
      <c r="G180" s="203" t="n">
        <v>57404</v>
      </c>
      <c r="H180" s="201" t="n">
        <f aca="false">F180/G180*100-100</f>
        <v>32.97853808097</v>
      </c>
      <c r="I180" s="203" t="n">
        <v>406568</v>
      </c>
      <c r="J180" s="203" t="n">
        <v>352542</v>
      </c>
      <c r="K180" s="201" t="n">
        <f aca="false">I180/J180*100-100</f>
        <v>15.3246989011238</v>
      </c>
      <c r="L180" s="203" t="n">
        <f aca="false">259002+71940</f>
        <v>330942</v>
      </c>
      <c r="M180" s="203" t="n">
        <f aca="false">243360+53025</f>
        <v>296385</v>
      </c>
      <c r="N180" s="201" t="n">
        <f aca="false">L180/M180*100-100</f>
        <v>11.6594969381042</v>
      </c>
      <c r="O180" s="203" t="n">
        <v>184</v>
      </c>
      <c r="P180" s="203" t="n">
        <v>100</v>
      </c>
      <c r="Q180" s="203" t="n">
        <v>191</v>
      </c>
      <c r="R180" s="202"/>
    </row>
    <row r="181" customFormat="false" ht="15" hidden="false" customHeight="false" outlineLevel="0" collapsed="false">
      <c r="A181" s="203"/>
      <c r="B181" s="243" t="s">
        <v>240</v>
      </c>
      <c r="C181" s="203" t="n">
        <v>2359057</v>
      </c>
      <c r="D181" s="203" t="n">
        <v>1831318</v>
      </c>
      <c r="E181" s="223" t="n">
        <f aca="false">C181/D181*100-100</f>
        <v>28.8174418642748</v>
      </c>
      <c r="F181" s="203" t="n">
        <v>241465</v>
      </c>
      <c r="G181" s="203" t="n">
        <v>172950</v>
      </c>
      <c r="H181" s="201" t="n">
        <f aca="false">F181/G181*100-100</f>
        <v>39.615495808037</v>
      </c>
      <c r="I181" s="203" t="n">
        <v>2290305</v>
      </c>
      <c r="J181" s="203" t="n">
        <v>1831918</v>
      </c>
      <c r="K181" s="201" t="n">
        <f aca="false">I181/J181*100-100</f>
        <v>25.0222444454391</v>
      </c>
      <c r="L181" s="203" t="n">
        <f aca="false">965100+188775</f>
        <v>1153875</v>
      </c>
      <c r="M181" s="203" t="n">
        <f aca="false">977270+225250</f>
        <v>1202520</v>
      </c>
      <c r="N181" s="201" t="n">
        <f aca="false">L181/M181*100-100</f>
        <v>-4.0452549645744</v>
      </c>
      <c r="O181" s="203" t="n">
        <v>240</v>
      </c>
      <c r="P181" s="203" t="n">
        <v>130</v>
      </c>
      <c r="Q181" s="203" t="n">
        <v>240</v>
      </c>
      <c r="R181" s="202"/>
    </row>
    <row r="182" customFormat="false" ht="15" hidden="false" customHeight="false" outlineLevel="0" collapsed="false">
      <c r="A182" s="203" t="n">
        <v>4</v>
      </c>
      <c r="B182" s="243" t="s">
        <v>241</v>
      </c>
      <c r="C182" s="203" t="n">
        <v>33048160</v>
      </c>
      <c r="D182" s="203" t="n">
        <v>33274020</v>
      </c>
      <c r="E182" s="201" t="n">
        <f aca="false">C182/D182*100-100</f>
        <v>-0.678787835073734</v>
      </c>
      <c r="F182" s="203" t="n">
        <v>3449064</v>
      </c>
      <c r="G182" s="203" t="n">
        <v>3037676</v>
      </c>
      <c r="H182" s="201" t="n">
        <f aca="false">F182/G182*100-100</f>
        <v>13.542853154846</v>
      </c>
      <c r="I182" s="203" t="n">
        <v>26245303</v>
      </c>
      <c r="J182" s="203" t="n">
        <v>26293213</v>
      </c>
      <c r="K182" s="201" t="n">
        <f aca="false">I182/J182*100-100</f>
        <v>-0.182214322760785</v>
      </c>
      <c r="L182" s="203" t="n">
        <v>1868676</v>
      </c>
      <c r="M182" s="203" t="n">
        <v>1165487</v>
      </c>
      <c r="N182" s="201" t="n">
        <f aca="false">L182/M182*100-100</f>
        <v>60.3343495036839</v>
      </c>
      <c r="O182" s="203" t="n">
        <v>513</v>
      </c>
      <c r="P182" s="203" t="n">
        <v>47</v>
      </c>
      <c r="Q182" s="203" t="n">
        <v>479</v>
      </c>
      <c r="R182" s="202"/>
    </row>
    <row r="183" customFormat="false" ht="15" hidden="false" customHeight="false" outlineLevel="0" collapsed="false">
      <c r="A183" s="203" t="n">
        <v>5</v>
      </c>
      <c r="B183" s="243" t="s">
        <v>204</v>
      </c>
      <c r="C183" s="203" t="n">
        <v>4072003</v>
      </c>
      <c r="D183" s="203" t="n">
        <v>3618959</v>
      </c>
      <c r="E183" s="201" t="n">
        <f aca="false">C183/D183*100-100</f>
        <v>12.5186275942889</v>
      </c>
      <c r="F183" s="203" t="n">
        <v>685950</v>
      </c>
      <c r="G183" s="203" t="n">
        <v>314645</v>
      </c>
      <c r="H183" s="201" t="n">
        <f aca="false">F183/G183*100-100</f>
        <v>118.007595862003</v>
      </c>
      <c r="I183" s="203" t="n">
        <v>3692195</v>
      </c>
      <c r="J183" s="203" t="n">
        <v>2991031</v>
      </c>
      <c r="K183" s="201" t="n">
        <f aca="false">I183/J183*100-100</f>
        <v>23.4422177503343</v>
      </c>
      <c r="L183" s="203" t="n">
        <v>915718</v>
      </c>
      <c r="M183" s="203" t="n">
        <v>141800</v>
      </c>
      <c r="N183" s="201" t="n">
        <f aca="false">L183/M183*100-100</f>
        <v>545.781382228491</v>
      </c>
      <c r="O183" s="203" t="n">
        <v>494</v>
      </c>
      <c r="P183" s="203" t="n">
        <v>123</v>
      </c>
      <c r="Q183" s="203" t="n">
        <v>518</v>
      </c>
      <c r="R183" s="202" t="n">
        <f aca="false">O183*P183</f>
        <v>60762</v>
      </c>
    </row>
    <row r="184" customFormat="false" ht="15" hidden="false" customHeight="false" outlineLevel="0" collapsed="false">
      <c r="A184" s="203" t="n">
        <v>6</v>
      </c>
      <c r="B184" s="243" t="s">
        <v>205</v>
      </c>
      <c r="C184" s="203" t="n">
        <v>1460119</v>
      </c>
      <c r="D184" s="203" t="n">
        <v>985270</v>
      </c>
      <c r="E184" s="201" t="n">
        <f aca="false">C184/D184*100-100</f>
        <v>48.1948095445918</v>
      </c>
      <c r="F184" s="203" t="n">
        <v>160585</v>
      </c>
      <c r="G184" s="203" t="n">
        <v>116140</v>
      </c>
      <c r="H184" s="201" t="n">
        <f aca="false">F184/G184*100-100</f>
        <v>38.2684690890305</v>
      </c>
      <c r="I184" s="203" t="n">
        <v>1318793</v>
      </c>
      <c r="J184" s="203" t="n">
        <v>963713</v>
      </c>
      <c r="K184" s="201" t="n">
        <f aca="false">I184/J184*100-100</f>
        <v>36.8449943084715</v>
      </c>
      <c r="L184" s="203" t="n">
        <v>53709</v>
      </c>
      <c r="M184" s="203" t="n">
        <v>0</v>
      </c>
      <c r="N184" s="201" t="n">
        <v>0</v>
      </c>
      <c r="O184" s="203" t="n">
        <v>162</v>
      </c>
      <c r="P184" s="203" t="n">
        <v>113</v>
      </c>
      <c r="Q184" s="203" t="n">
        <v>166</v>
      </c>
      <c r="R184" s="202" t="n">
        <f aca="false">O184*P184</f>
        <v>18306</v>
      </c>
    </row>
    <row r="185" customFormat="false" ht="15" hidden="false" customHeight="false" outlineLevel="0" collapsed="false">
      <c r="A185" s="203"/>
      <c r="B185" s="243" t="s">
        <v>242</v>
      </c>
      <c r="C185" s="203" t="n">
        <v>296467</v>
      </c>
      <c r="D185" s="203" t="n">
        <v>215687</v>
      </c>
      <c r="E185" s="201" t="n">
        <f aca="false">C185/D185*100-100</f>
        <v>37.4524194782254</v>
      </c>
      <c r="F185" s="203" t="n">
        <v>13753</v>
      </c>
      <c r="G185" s="203" t="n">
        <v>22586</v>
      </c>
      <c r="H185" s="201" t="n">
        <f aca="false">F185/G185*100-100</f>
        <v>-39.1082971752413</v>
      </c>
      <c r="I185" s="203" t="n">
        <v>444232</v>
      </c>
      <c r="J185" s="203" t="n">
        <v>256117</v>
      </c>
      <c r="K185" s="201" t="n">
        <f aca="false">I185/J185*100-100</f>
        <v>73.448853453695</v>
      </c>
      <c r="L185" s="203" t="n">
        <v>57409</v>
      </c>
      <c r="M185" s="203" t="n">
        <v>29549</v>
      </c>
      <c r="N185" s="201" t="n">
        <f aca="false">L185/M185*100-100</f>
        <v>94.2840705269214</v>
      </c>
      <c r="O185" s="203" t="n">
        <v>27</v>
      </c>
      <c r="P185" s="203" t="n">
        <v>80</v>
      </c>
      <c r="Q185" s="203" t="n">
        <v>27</v>
      </c>
      <c r="R185" s="202"/>
    </row>
    <row r="186" customFormat="false" ht="15" hidden="false" customHeight="false" outlineLevel="0" collapsed="false">
      <c r="A186" s="203"/>
      <c r="B186" s="243" t="s">
        <v>243</v>
      </c>
      <c r="C186" s="203" t="n">
        <v>1324785</v>
      </c>
      <c r="D186" s="203" t="n">
        <v>1020371</v>
      </c>
      <c r="E186" s="201" t="n">
        <f aca="false">C186/D186*100-100</f>
        <v>29.8336585418441</v>
      </c>
      <c r="F186" s="203" t="n">
        <v>200523</v>
      </c>
      <c r="G186" s="203" t="n">
        <v>151695</v>
      </c>
      <c r="H186" s="201" t="n">
        <f aca="false">F186/G186*100-100</f>
        <v>32.1882725205182</v>
      </c>
      <c r="I186" s="203" t="n">
        <v>1321432</v>
      </c>
      <c r="J186" s="203" t="n">
        <f aca="false">1020371+20025</f>
        <v>1040396</v>
      </c>
      <c r="K186" s="201" t="n">
        <f aca="false">I186/J186*100-100</f>
        <v>27.0124068143284</v>
      </c>
      <c r="L186" s="203" t="n">
        <v>0</v>
      </c>
      <c r="M186" s="203" t="n">
        <v>0</v>
      </c>
      <c r="N186" s="201" t="n">
        <v>0</v>
      </c>
      <c r="O186" s="203" t="n">
        <v>154</v>
      </c>
      <c r="P186" s="203" t="n">
        <v>114</v>
      </c>
      <c r="Q186" s="203" t="n">
        <v>152</v>
      </c>
      <c r="R186" s="202"/>
    </row>
    <row r="187" customFormat="false" ht="15" hidden="false" customHeight="false" outlineLevel="0" collapsed="false">
      <c r="A187" s="203"/>
      <c r="B187" s="243" t="s">
        <v>258</v>
      </c>
      <c r="C187" s="203" t="n">
        <v>234917</v>
      </c>
      <c r="D187" s="203" t="n">
        <v>350986</v>
      </c>
      <c r="E187" s="201" t="n">
        <f aca="false">C187/D187*100-100</f>
        <v>-33.0694101759045</v>
      </c>
      <c r="F187" s="203" t="n">
        <v>49751</v>
      </c>
      <c r="G187" s="203" t="n">
        <v>32701</v>
      </c>
      <c r="H187" s="201" t="n">
        <f aca="false">F187/G187*100-100</f>
        <v>52.1390783156478</v>
      </c>
      <c r="I187" s="203" t="n">
        <v>233626</v>
      </c>
      <c r="J187" s="203" t="n">
        <v>351215</v>
      </c>
      <c r="K187" s="201"/>
      <c r="L187" s="203" t="n">
        <v>2016517</v>
      </c>
      <c r="M187" s="203" t="n">
        <v>21216</v>
      </c>
      <c r="N187" s="201" t="n">
        <f aca="false">L187/M187*100-100</f>
        <v>9404.69928355958</v>
      </c>
      <c r="O187" s="203" t="n">
        <v>111</v>
      </c>
      <c r="P187" s="203" t="n">
        <v>66</v>
      </c>
      <c r="Q187" s="203" t="n">
        <v>30</v>
      </c>
      <c r="R187" s="202"/>
    </row>
    <row r="188" customFormat="false" ht="15" hidden="false" customHeight="false" outlineLevel="0" collapsed="false">
      <c r="A188" s="203" t="n">
        <v>7</v>
      </c>
      <c r="B188" s="243" t="s">
        <v>157</v>
      </c>
      <c r="C188" s="203" t="n">
        <v>2622510</v>
      </c>
      <c r="D188" s="203" t="n">
        <v>1675529</v>
      </c>
      <c r="E188" s="201" t="n">
        <f aca="false">C188/D188*100-100</f>
        <v>56.518329435062</v>
      </c>
      <c r="F188" s="203" t="n">
        <v>195428</v>
      </c>
      <c r="G188" s="203" t="n">
        <v>295528</v>
      </c>
      <c r="H188" s="201" t="n">
        <f aca="false">F188/G188*100-100</f>
        <v>-33.8715790043583</v>
      </c>
      <c r="I188" s="203" t="n">
        <v>1864577</v>
      </c>
      <c r="J188" s="203" t="n">
        <v>1382200</v>
      </c>
      <c r="K188" s="201" t="n">
        <f aca="false">I188/J188*100-100</f>
        <v>34.8992186369556</v>
      </c>
      <c r="L188" s="203" t="n">
        <v>0</v>
      </c>
      <c r="M188" s="203" t="n">
        <v>0</v>
      </c>
      <c r="N188" s="201" t="n">
        <v>0</v>
      </c>
      <c r="O188" s="203" t="n">
        <v>446</v>
      </c>
      <c r="P188" s="203" t="n">
        <v>100</v>
      </c>
      <c r="Q188" s="203" t="n">
        <v>452</v>
      </c>
      <c r="R188" s="202" t="n">
        <f aca="false">O188*P188</f>
        <v>44600</v>
      </c>
    </row>
    <row r="189" customFormat="false" ht="15" hidden="false" customHeight="false" outlineLevel="0" collapsed="false">
      <c r="A189" s="215" t="s">
        <v>206</v>
      </c>
      <c r="B189" s="215" t="s">
        <v>119</v>
      </c>
      <c r="C189" s="216" t="n">
        <f aca="false">SUM(C178:C188)</f>
        <v>46842809</v>
      </c>
      <c r="D189" s="216" t="n">
        <f aca="false">SUM(D178:D188)</f>
        <v>44181764</v>
      </c>
      <c r="E189" s="313" t="n">
        <f aca="false">C189/D189*100-100</f>
        <v>6.02294874419229</v>
      </c>
      <c r="F189" s="216" t="n">
        <f aca="false">SUM(F178:F188)</f>
        <v>5185770</v>
      </c>
      <c r="G189" s="216" t="n">
        <f aca="false">SUM(G178:G188)</f>
        <v>4365688</v>
      </c>
      <c r="H189" s="313" t="n">
        <f aca="false">F189/G189*100-100</f>
        <v>18.7847138870208</v>
      </c>
      <c r="I189" s="216" t="n">
        <f aca="false">SUM(I178:I188)</f>
        <v>38864424</v>
      </c>
      <c r="J189" s="216" t="n">
        <f aca="false">SUM(J178:J188)</f>
        <v>36419490</v>
      </c>
      <c r="K189" s="313" t="n">
        <f aca="false">I189/J189*100-100</f>
        <v>6.71325710491828</v>
      </c>
      <c r="L189" s="216" t="n">
        <f aca="false">SUM(L178:L188)</f>
        <v>6912298</v>
      </c>
      <c r="M189" s="216" t="n">
        <f aca="false">SUM(M178:M188)</f>
        <v>3227686</v>
      </c>
      <c r="N189" s="313" t="n">
        <f aca="false">L189/M189*100-100</f>
        <v>114.156457598416</v>
      </c>
      <c r="O189" s="216" t="n">
        <f aca="false">SUM(O173:O188)</f>
        <v>3873</v>
      </c>
      <c r="P189" s="237" t="n">
        <f aca="false">R189/O189</f>
        <v>48.1518202943455</v>
      </c>
      <c r="Q189" s="216" t="n">
        <f aca="false">SUM(Q173:Q188)</f>
        <v>3806</v>
      </c>
      <c r="R189" s="232" t="n">
        <f aca="false">SUM(R173:R188)</f>
        <v>186492</v>
      </c>
    </row>
    <row r="190" customFormat="false" ht="15" hidden="false" customHeight="false" outlineLevel="0" collapsed="false">
      <c r="A190" s="325"/>
      <c r="B190" s="325" t="s">
        <v>158</v>
      </c>
      <c r="C190" s="326" t="n">
        <f aca="false">C175+C189</f>
        <v>84583301</v>
      </c>
      <c r="D190" s="326" t="n">
        <f aca="false">D175+D189</f>
        <v>75042037</v>
      </c>
      <c r="E190" s="310" t="n">
        <f aca="false">C190/D190*100-100</f>
        <v>12.7145589078292</v>
      </c>
      <c r="F190" s="326" t="n">
        <f aca="false">F175+F189</f>
        <v>10767735</v>
      </c>
      <c r="G190" s="326" t="n">
        <f aca="false">G175+G189</f>
        <v>8952363</v>
      </c>
      <c r="H190" s="310" t="n">
        <f aca="false">F190/G190*100-100</f>
        <v>20.2781321534884</v>
      </c>
      <c r="I190" s="326" t="n">
        <f aca="false">I175+I189</f>
        <v>75887215</v>
      </c>
      <c r="J190" s="326" t="n">
        <f aca="false">J175+J189</f>
        <v>66741885</v>
      </c>
      <c r="K190" s="310" t="n">
        <f aca="false">I190/J190*100-100</f>
        <v>13.7025347725795</v>
      </c>
      <c r="L190" s="326" t="n">
        <f aca="false">L175+L189</f>
        <v>37594165</v>
      </c>
      <c r="M190" s="326" t="n">
        <f aca="false">M175+M189</f>
        <v>27459347</v>
      </c>
      <c r="N190" s="310" t="n">
        <f aca="false">L190/M190*100-100</f>
        <v>36.9084450551574</v>
      </c>
      <c r="O190" s="326" t="n">
        <f aca="false">O175+O189</f>
        <v>5242</v>
      </c>
      <c r="P190" s="321" t="n">
        <f aca="false">R190/O190</f>
        <v>44.9992369324685</v>
      </c>
      <c r="Q190" s="326" t="n">
        <f aca="false">Q175+Q189</f>
        <v>5185</v>
      </c>
      <c r="R190" s="326" t="n">
        <f aca="false">R175+R189</f>
        <v>235886</v>
      </c>
    </row>
    <row r="191" customFormat="false" ht="15" hidden="false" customHeight="false" outlineLevel="0" collapsed="false">
      <c r="A191" s="274"/>
      <c r="B191" s="256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275"/>
      <c r="Q191" s="275"/>
      <c r="R191" s="279"/>
    </row>
    <row r="192" customFormat="false" ht="15" hidden="false" customHeight="false" outlineLevel="0" collapsed="false">
      <c r="A192" s="327"/>
      <c r="B192" s="328" t="s">
        <v>207</v>
      </c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329"/>
      <c r="N192" s="329"/>
      <c r="O192" s="329"/>
      <c r="P192" s="275"/>
      <c r="Q192" s="329"/>
      <c r="R192" s="279"/>
    </row>
    <row r="193" customFormat="false" ht="15" hidden="false" customHeight="false" outlineLevel="0" collapsed="false">
      <c r="A193" s="195" t="s">
        <v>208</v>
      </c>
      <c r="B193" s="195"/>
      <c r="C193" s="195" t="n">
        <v>3</v>
      </c>
      <c r="D193" s="195" t="n">
        <v>4</v>
      </c>
      <c r="E193" s="196" t="n">
        <v>5</v>
      </c>
      <c r="F193" s="195" t="n">
        <v>6</v>
      </c>
      <c r="G193" s="195" t="n">
        <v>7</v>
      </c>
      <c r="H193" s="195" t="n">
        <v>8</v>
      </c>
      <c r="I193" s="195" t="n">
        <v>9</v>
      </c>
      <c r="J193" s="195" t="n">
        <v>10</v>
      </c>
      <c r="K193" s="195" t="n">
        <v>11</v>
      </c>
      <c r="L193" s="195" t="n">
        <v>12</v>
      </c>
      <c r="M193" s="184" t="n">
        <v>13</v>
      </c>
      <c r="N193" s="184" t="n">
        <v>14</v>
      </c>
      <c r="O193" s="184" t="n">
        <v>15</v>
      </c>
      <c r="P193" s="196" t="n">
        <v>16</v>
      </c>
      <c r="Q193" s="184" t="n">
        <v>15</v>
      </c>
      <c r="R193" s="179"/>
    </row>
    <row r="194" customFormat="false" ht="15" hidden="false" customHeight="false" outlineLevel="0" collapsed="false">
      <c r="A194" s="372" t="n">
        <v>1</v>
      </c>
      <c r="B194" s="282" t="s">
        <v>161</v>
      </c>
      <c r="C194" s="262" t="n">
        <v>938338</v>
      </c>
      <c r="D194" s="262" t="n">
        <v>473978</v>
      </c>
      <c r="E194" s="201" t="n">
        <f aca="false">C194/D194*100-100</f>
        <v>97.9707918932946</v>
      </c>
      <c r="F194" s="262" t="n">
        <v>28550</v>
      </c>
      <c r="G194" s="262" t="n">
        <v>26497</v>
      </c>
      <c r="H194" s="201" t="n">
        <f aca="false">F194/G194*100-100</f>
        <v>7.74804694871119</v>
      </c>
      <c r="I194" s="262" t="n">
        <v>1108518</v>
      </c>
      <c r="J194" s="262" t="n">
        <v>783978</v>
      </c>
      <c r="K194" s="201" t="n">
        <f aca="false">I194/J194*100-100</f>
        <v>41.3965698017036</v>
      </c>
      <c r="L194" s="262" t="n">
        <f aca="false">827138+281380</f>
        <v>1108518</v>
      </c>
      <c r="M194" s="262" t="n">
        <f aca="false">373697+410281</f>
        <v>783978</v>
      </c>
      <c r="N194" s="201" t="n">
        <f aca="false">L194/M194*100-100</f>
        <v>41.3965698017036</v>
      </c>
      <c r="O194" s="262" t="n">
        <v>130</v>
      </c>
      <c r="P194" s="262" t="n">
        <v>185</v>
      </c>
      <c r="Q194" s="262" t="n">
        <v>127</v>
      </c>
      <c r="R194" s="202" t="n">
        <f aca="false">O194*P194</f>
        <v>24050</v>
      </c>
    </row>
    <row r="195" customFormat="false" ht="15" hidden="false" customHeight="false" outlineLevel="0" collapsed="false">
      <c r="A195" s="372" t="n">
        <v>2</v>
      </c>
      <c r="B195" s="282" t="s">
        <v>162</v>
      </c>
      <c r="C195" s="200" t="n">
        <v>0</v>
      </c>
      <c r="D195" s="200" t="n">
        <v>0</v>
      </c>
      <c r="E195" s="201" t="n">
        <v>0</v>
      </c>
      <c r="F195" s="200" t="n">
        <v>0</v>
      </c>
      <c r="G195" s="200" t="n">
        <v>0</v>
      </c>
      <c r="H195" s="201" t="n">
        <v>0</v>
      </c>
      <c r="I195" s="200" t="n">
        <v>0</v>
      </c>
      <c r="J195" s="200" t="n">
        <v>0</v>
      </c>
      <c r="K195" s="201" t="n">
        <v>0</v>
      </c>
      <c r="L195" s="200" t="n">
        <v>0</v>
      </c>
      <c r="M195" s="200" t="n">
        <v>0</v>
      </c>
      <c r="N195" s="201" t="n">
        <v>0</v>
      </c>
      <c r="O195" s="203" t="n">
        <v>0</v>
      </c>
      <c r="P195" s="204" t="n">
        <v>0</v>
      </c>
      <c r="Q195" s="203" t="n">
        <v>0</v>
      </c>
      <c r="R195" s="202" t="n">
        <f aca="false">O195*P195</f>
        <v>0</v>
      </c>
    </row>
    <row r="196" customFormat="false" ht="15" hidden="false" customHeight="false" outlineLevel="0" collapsed="false">
      <c r="A196" s="372" t="n">
        <v>3</v>
      </c>
      <c r="B196" s="282" t="s">
        <v>163</v>
      </c>
      <c r="C196" s="262" t="n">
        <v>4587632</v>
      </c>
      <c r="D196" s="262" t="n">
        <v>4082491</v>
      </c>
      <c r="E196" s="262" t="n">
        <f aca="false">C196/D196*100-100</f>
        <v>12.3733524458474</v>
      </c>
      <c r="F196" s="262" t="n">
        <v>502447</v>
      </c>
      <c r="G196" s="262" t="n">
        <v>519965</v>
      </c>
      <c r="H196" s="262" t="n">
        <f aca="false">F196/G196*100-100</f>
        <v>-3.36907291836951</v>
      </c>
      <c r="I196" s="262" t="n">
        <v>4587632</v>
      </c>
      <c r="J196" s="262" t="n">
        <v>4082491</v>
      </c>
      <c r="K196" s="262" t="n">
        <f aca="false">I196/J196*100-100</f>
        <v>12.3733524458474</v>
      </c>
      <c r="L196" s="262" t="n">
        <v>502447</v>
      </c>
      <c r="M196" s="262" t="n">
        <v>519965</v>
      </c>
      <c r="N196" s="201" t="n">
        <f aca="false">L196/M196*100-100</f>
        <v>-3.36907291836951</v>
      </c>
      <c r="O196" s="262" t="n">
        <v>109</v>
      </c>
      <c r="P196" s="286" t="n">
        <v>195</v>
      </c>
      <c r="Q196" s="262" t="n">
        <v>111</v>
      </c>
      <c r="R196" s="202" t="n">
        <f aca="false">O196*P196</f>
        <v>21255</v>
      </c>
    </row>
    <row r="197" customFormat="false" ht="15" hidden="false" customHeight="false" outlineLevel="0" collapsed="false">
      <c r="A197" s="372" t="n">
        <v>4</v>
      </c>
      <c r="B197" s="282" t="s">
        <v>164</v>
      </c>
      <c r="C197" s="262" t="n">
        <v>678102</v>
      </c>
      <c r="D197" s="262" t="n">
        <v>565773</v>
      </c>
      <c r="E197" s="201" t="n">
        <f aca="false">C197/D197*100-100</f>
        <v>19.8540757512288</v>
      </c>
      <c r="F197" s="349" t="n">
        <v>22093</v>
      </c>
      <c r="G197" s="349" t="n">
        <v>34343</v>
      </c>
      <c r="H197" s="201" t="n">
        <f aca="false">F197/G197*100-100</f>
        <v>-35.6695687621932</v>
      </c>
      <c r="I197" s="262" t="n">
        <v>695539</v>
      </c>
      <c r="J197" s="262" t="n">
        <v>84041</v>
      </c>
      <c r="K197" s="201" t="n">
        <f aca="false">I197/J197*100-100</f>
        <v>727.618662319582</v>
      </c>
      <c r="L197" s="262" t="n">
        <v>733581</v>
      </c>
      <c r="M197" s="262" t="n">
        <v>811125</v>
      </c>
      <c r="N197" s="201" t="n">
        <f aca="false">L197/M197*100-100</f>
        <v>-9.56005547850208</v>
      </c>
      <c r="O197" s="262" t="n">
        <v>36</v>
      </c>
      <c r="P197" s="262" t="n">
        <v>53</v>
      </c>
      <c r="Q197" s="262" t="n">
        <v>35</v>
      </c>
      <c r="R197" s="202" t="n">
        <f aca="false">O197*P197</f>
        <v>1908</v>
      </c>
    </row>
    <row r="198" customFormat="false" ht="15" hidden="false" customHeight="false" outlineLevel="0" collapsed="false">
      <c r="A198" s="372" t="n">
        <v>5</v>
      </c>
      <c r="B198" s="282" t="s">
        <v>166</v>
      </c>
      <c r="C198" s="262" t="n">
        <v>2651998</v>
      </c>
      <c r="D198" s="262" t="n">
        <v>1822515</v>
      </c>
      <c r="E198" s="201" t="n">
        <f aca="false">C198/D198*100-100</f>
        <v>45.5130959141626</v>
      </c>
      <c r="F198" s="262" t="n">
        <v>257659</v>
      </c>
      <c r="G198" s="262" t="n">
        <v>29334</v>
      </c>
      <c r="H198" s="201" t="n">
        <f aca="false">F198/G198*100-100</f>
        <v>778.362991750188</v>
      </c>
      <c r="I198" s="262" t="n">
        <v>2651998</v>
      </c>
      <c r="J198" s="262" t="n">
        <v>1822515</v>
      </c>
      <c r="K198" s="201" t="n">
        <f aca="false">I198/J198*100-100</f>
        <v>45.5130959141626</v>
      </c>
      <c r="L198" s="262" t="n">
        <v>2651998</v>
      </c>
      <c r="M198" s="262" t="n">
        <v>1822515</v>
      </c>
      <c r="N198" s="201" t="n">
        <f aca="false">L198/M198*100-100</f>
        <v>45.5130959141626</v>
      </c>
      <c r="O198" s="262" t="n">
        <v>40</v>
      </c>
      <c r="P198" s="262" t="n">
        <v>119</v>
      </c>
      <c r="Q198" s="262" t="n">
        <v>40</v>
      </c>
      <c r="R198" s="202" t="n">
        <f aca="false">O198*P198</f>
        <v>4760</v>
      </c>
    </row>
    <row r="199" customFormat="false" ht="15" hidden="false" customHeight="false" outlineLevel="0" collapsed="false">
      <c r="A199" s="372" t="n">
        <v>6</v>
      </c>
      <c r="B199" s="282" t="s">
        <v>167</v>
      </c>
      <c r="C199" s="262" t="n">
        <v>35395</v>
      </c>
      <c r="D199" s="262" t="n">
        <v>690826</v>
      </c>
      <c r="E199" s="262" t="n">
        <f aca="false">C199/D199*100-100</f>
        <v>-94.8764232961701</v>
      </c>
      <c r="F199" s="262" t="n">
        <v>8915</v>
      </c>
      <c r="G199" s="262" t="n">
        <v>115956</v>
      </c>
      <c r="H199" s="262" t="n">
        <f aca="false">F199/G199*100-100</f>
        <v>-92.3117389354583</v>
      </c>
      <c r="I199" s="262" t="n">
        <v>35395</v>
      </c>
      <c r="J199" s="262" t="n">
        <v>690826</v>
      </c>
      <c r="K199" s="262" t="n">
        <f aca="false">I199/J199*100-100</f>
        <v>-94.8764232961701</v>
      </c>
      <c r="L199" s="262" t="n">
        <f aca="false">8915+8915</f>
        <v>17830</v>
      </c>
      <c r="M199" s="262" t="n">
        <f aca="false">115956+115956</f>
        <v>231912</v>
      </c>
      <c r="N199" s="262" t="n">
        <f aca="false">L199/M199*100-100</f>
        <v>-92.3117389354583</v>
      </c>
      <c r="O199" s="262" t="n">
        <v>3</v>
      </c>
      <c r="P199" s="262" t="n">
        <v>143</v>
      </c>
      <c r="Q199" s="262" t="n">
        <v>3</v>
      </c>
      <c r="R199" s="202" t="n">
        <f aca="false">O199*P199</f>
        <v>429</v>
      </c>
    </row>
    <row r="200" customFormat="false" ht="15" hidden="false" customHeight="false" outlineLevel="0" collapsed="false">
      <c r="A200" s="372" t="n">
        <v>7</v>
      </c>
      <c r="B200" s="282" t="s">
        <v>168</v>
      </c>
      <c r="C200" s="262" t="n">
        <v>0</v>
      </c>
      <c r="D200" s="236" t="n">
        <v>0</v>
      </c>
      <c r="E200" s="201" t="n">
        <v>0</v>
      </c>
      <c r="F200" s="262" t="n">
        <v>0</v>
      </c>
      <c r="G200" s="236" t="n">
        <v>0</v>
      </c>
      <c r="H200" s="201" t="n">
        <v>0</v>
      </c>
      <c r="I200" s="262" t="n">
        <v>0</v>
      </c>
      <c r="J200" s="236" t="n">
        <v>0</v>
      </c>
      <c r="K200" s="201" t="n">
        <v>0</v>
      </c>
      <c r="L200" s="262" t="n">
        <v>0</v>
      </c>
      <c r="M200" s="236" t="n">
        <v>0</v>
      </c>
      <c r="N200" s="201" t="n">
        <v>0</v>
      </c>
      <c r="O200" s="262" t="n">
        <v>0</v>
      </c>
      <c r="P200" s="262" t="n">
        <v>0</v>
      </c>
      <c r="Q200" s="262" t="n">
        <v>0</v>
      </c>
      <c r="R200" s="202" t="n">
        <f aca="false">O200*P200</f>
        <v>0</v>
      </c>
    </row>
    <row r="201" customFormat="false" ht="15" hidden="false" customHeight="false" outlineLevel="0" collapsed="false">
      <c r="A201" s="215" t="s">
        <v>209</v>
      </c>
      <c r="B201" s="215" t="s">
        <v>154</v>
      </c>
      <c r="C201" s="237" t="n">
        <f aca="false">SUM(C194:C200)</f>
        <v>8891465</v>
      </c>
      <c r="D201" s="237" t="n">
        <f aca="false">SUM(D194:D200)</f>
        <v>7635583</v>
      </c>
      <c r="E201" s="313" t="n">
        <f aca="false">C201/D201*100-100</f>
        <v>16.4477552008799</v>
      </c>
      <c r="F201" s="237" t="n">
        <f aca="false">SUM(F194:F200)</f>
        <v>819664</v>
      </c>
      <c r="G201" s="237" t="n">
        <f aca="false">SUM(G194:G200)</f>
        <v>726095</v>
      </c>
      <c r="H201" s="313" t="n">
        <f aca="false">F201/G201*100-100</f>
        <v>12.8866057471818</v>
      </c>
      <c r="I201" s="237" t="n">
        <f aca="false">SUM(I194:I200)</f>
        <v>9079082</v>
      </c>
      <c r="J201" s="237" t="n">
        <f aca="false">SUM(J194:J200)</f>
        <v>7463851</v>
      </c>
      <c r="K201" s="313" t="n">
        <f aca="false">I201/J201*100-100</f>
        <v>21.6407187120965</v>
      </c>
      <c r="L201" s="237" t="n">
        <f aca="false">SUM(L194:L200)</f>
        <v>5014374</v>
      </c>
      <c r="M201" s="216" t="n">
        <f aca="false">SUM(M194:M200)</f>
        <v>4169495</v>
      </c>
      <c r="N201" s="313" t="n">
        <f aca="false">L201/M201*100-100</f>
        <v>20.2633412439636</v>
      </c>
      <c r="O201" s="237" t="n">
        <f aca="false">SUM(O194:O200)</f>
        <v>318</v>
      </c>
      <c r="P201" s="217" t="n">
        <f aca="false">R201/O201</f>
        <v>164.786163522013</v>
      </c>
      <c r="Q201" s="237" t="n">
        <f aca="false">SUM(Q194:Q200)</f>
        <v>316</v>
      </c>
      <c r="R201" s="232" t="n">
        <f aca="false">SUM(R194:R200)</f>
        <v>52402</v>
      </c>
    </row>
    <row r="202" customFormat="false" ht="15" hidden="false" customHeight="false" outlineLevel="0" collapsed="false">
      <c r="A202" s="330"/>
      <c r="B202" s="282"/>
      <c r="C202" s="262"/>
      <c r="D202" s="236"/>
      <c r="E202" s="201"/>
      <c r="F202" s="262"/>
      <c r="G202" s="236"/>
      <c r="H202" s="201"/>
      <c r="I202" s="262"/>
      <c r="J202" s="236"/>
      <c r="K202" s="201"/>
      <c r="L202" s="262"/>
      <c r="M202" s="236"/>
      <c r="N202" s="201"/>
      <c r="O202" s="262"/>
      <c r="P202" s="262"/>
      <c r="Q202" s="262"/>
      <c r="R202" s="202"/>
    </row>
    <row r="203" customFormat="false" ht="15" hidden="false" customHeight="false" outlineLevel="0" collapsed="false">
      <c r="A203" s="274"/>
      <c r="B203" s="331" t="s">
        <v>210</v>
      </c>
      <c r="C203" s="262"/>
      <c r="D203" s="262"/>
      <c r="E203" s="201"/>
      <c r="F203" s="262"/>
      <c r="G203" s="262"/>
      <c r="H203" s="201"/>
      <c r="I203" s="262"/>
      <c r="J203" s="262"/>
      <c r="K203" s="201"/>
      <c r="L203" s="262"/>
      <c r="M203" s="262"/>
      <c r="N203" s="201"/>
      <c r="O203" s="262"/>
      <c r="P203" s="262"/>
      <c r="Q203" s="262"/>
      <c r="R203" s="202"/>
    </row>
    <row r="204" customFormat="false" ht="15" hidden="false" customHeight="false" outlineLevel="0" collapsed="false">
      <c r="A204" s="274" t="n">
        <v>1</v>
      </c>
      <c r="B204" s="373" t="s">
        <v>244</v>
      </c>
      <c r="C204" s="262" t="n">
        <v>1453789</v>
      </c>
      <c r="D204" s="262" t="n">
        <v>1866818</v>
      </c>
      <c r="E204" s="201" t="n">
        <f aca="false">C204/D204*100-100</f>
        <v>-22.1247598855378</v>
      </c>
      <c r="F204" s="262" t="n">
        <v>183885</v>
      </c>
      <c r="G204" s="262" t="n">
        <v>212862</v>
      </c>
      <c r="H204" s="201" t="n">
        <f aca="false">F204/G204*100-100</f>
        <v>-13.6130450714548</v>
      </c>
      <c r="I204" s="262" t="n">
        <v>1226243</v>
      </c>
      <c r="J204" s="262" t="n">
        <v>1236104</v>
      </c>
      <c r="K204" s="201" t="n">
        <f aca="false">I204/J204*100-100</f>
        <v>-0.797748409518945</v>
      </c>
      <c r="L204" s="262" t="n">
        <f aca="false">346102+589369</f>
        <v>935471</v>
      </c>
      <c r="M204" s="262" t="n">
        <f aca="false">193104+748574</f>
        <v>941678</v>
      </c>
      <c r="N204" s="201" t="n">
        <f aca="false">L204/M204*100-100</f>
        <v>-0.659142509435284</v>
      </c>
      <c r="O204" s="262" t="n">
        <v>143</v>
      </c>
      <c r="P204" s="262"/>
      <c r="Q204" s="262" t="n">
        <v>145</v>
      </c>
      <c r="R204" s="202"/>
    </row>
    <row r="205" customFormat="false" ht="15" hidden="false" customHeight="false" outlineLevel="0" collapsed="false">
      <c r="A205" s="274" t="n">
        <v>2</v>
      </c>
      <c r="B205" s="282" t="s">
        <v>160</v>
      </c>
      <c r="C205" s="262" t="n">
        <v>2234</v>
      </c>
      <c r="D205" s="262" t="n">
        <v>278</v>
      </c>
      <c r="E205" s="201" t="n">
        <v>0</v>
      </c>
      <c r="F205" s="262" t="n">
        <v>149</v>
      </c>
      <c r="G205" s="262" t="n">
        <v>0</v>
      </c>
      <c r="H205" s="201" t="n">
        <v>0</v>
      </c>
      <c r="I205" s="262" t="n">
        <v>40</v>
      </c>
      <c r="J205" s="262" t="n">
        <v>186</v>
      </c>
      <c r="K205" s="201" t="n">
        <f aca="false">I205/J205*100-100</f>
        <v>-78.494623655914</v>
      </c>
      <c r="L205" s="262" t="n">
        <v>27</v>
      </c>
      <c r="M205" s="262" t="n">
        <v>362</v>
      </c>
      <c r="N205" s="201" t="n">
        <v>0</v>
      </c>
      <c r="O205" s="262" t="n">
        <v>74</v>
      </c>
      <c r="P205" s="262" t="n">
        <v>124</v>
      </c>
      <c r="Q205" s="262" t="n">
        <v>84</v>
      </c>
      <c r="R205" s="202" t="n">
        <f aca="false">O205*P205</f>
        <v>9176</v>
      </c>
    </row>
    <row r="206" customFormat="false" ht="15" hidden="false" customHeight="false" outlineLevel="0" collapsed="false">
      <c r="A206" s="284" t="n">
        <v>3</v>
      </c>
      <c r="B206" s="282" t="s">
        <v>245</v>
      </c>
      <c r="C206" s="200" t="n">
        <v>0</v>
      </c>
      <c r="D206" s="200" t="n">
        <v>0</v>
      </c>
      <c r="E206" s="201" t="n">
        <v>0</v>
      </c>
      <c r="F206" s="200" t="n">
        <v>0</v>
      </c>
      <c r="G206" s="200" t="n">
        <v>0</v>
      </c>
      <c r="H206" s="201" t="n">
        <v>0</v>
      </c>
      <c r="I206" s="200" t="n">
        <v>0</v>
      </c>
      <c r="J206" s="200" t="n">
        <v>0</v>
      </c>
      <c r="K206" s="201" t="n">
        <v>0</v>
      </c>
      <c r="L206" s="200" t="n">
        <v>0</v>
      </c>
      <c r="M206" s="200" t="n">
        <v>0</v>
      </c>
      <c r="N206" s="201" t="n">
        <v>0</v>
      </c>
      <c r="O206" s="203" t="n">
        <v>0</v>
      </c>
      <c r="P206" s="204" t="n">
        <v>0</v>
      </c>
      <c r="Q206" s="203" t="n">
        <v>0</v>
      </c>
      <c r="R206" s="202" t="n">
        <f aca="false">O206*P206</f>
        <v>0</v>
      </c>
    </row>
    <row r="207" customFormat="false" ht="15" hidden="false" customHeight="false" outlineLevel="0" collapsed="false">
      <c r="A207" s="284" t="n">
        <v>4</v>
      </c>
      <c r="B207" s="282" t="s">
        <v>169</v>
      </c>
      <c r="C207" s="262" t="n">
        <v>611117</v>
      </c>
      <c r="D207" s="262" t="n">
        <v>245802</v>
      </c>
      <c r="E207" s="223" t="n">
        <f aca="false">C207/D207*100-100</f>
        <v>148.62165482787</v>
      </c>
      <c r="F207" s="262" t="n">
        <v>0</v>
      </c>
      <c r="G207" s="262" t="n">
        <v>96540</v>
      </c>
      <c r="H207" s="223" t="n">
        <v>0</v>
      </c>
      <c r="I207" s="262" t="n">
        <v>611117</v>
      </c>
      <c r="J207" s="262" t="n">
        <v>245802</v>
      </c>
      <c r="K207" s="201" t="n">
        <f aca="false">I207/J207*100-100</f>
        <v>148.62165482787</v>
      </c>
      <c r="L207" s="262" t="n">
        <f aca="false">524599+86518</f>
        <v>611117</v>
      </c>
      <c r="M207" s="262" t="n">
        <f aca="false">147574+98228</f>
        <v>245802</v>
      </c>
      <c r="N207" s="201" t="n">
        <f aca="false">L207/M207*100-100</f>
        <v>148.62165482787</v>
      </c>
      <c r="O207" s="262" t="n">
        <v>30</v>
      </c>
      <c r="P207" s="262" t="n">
        <v>50</v>
      </c>
      <c r="Q207" s="262" t="n">
        <v>30</v>
      </c>
      <c r="R207" s="202" t="n">
        <f aca="false">O207*P207</f>
        <v>1500</v>
      </c>
    </row>
    <row r="208" customFormat="false" ht="15" hidden="false" customHeight="false" outlineLevel="0" collapsed="false">
      <c r="A208" s="215" t="s">
        <v>170</v>
      </c>
      <c r="B208" s="215" t="s">
        <v>154</v>
      </c>
      <c r="C208" s="237" t="n">
        <f aca="false">SUM(C203:C207)</f>
        <v>2067140</v>
      </c>
      <c r="D208" s="237" t="n">
        <f aca="false">SUM(D203:D207)</f>
        <v>2112898</v>
      </c>
      <c r="E208" s="313" t="n">
        <f aca="false">C208/D208*100-100</f>
        <v>-2.1656511577937</v>
      </c>
      <c r="F208" s="237" t="n">
        <f aca="false">SUM(F203:F207)</f>
        <v>184034</v>
      </c>
      <c r="G208" s="237" t="n">
        <f aca="false">SUM(G203:G207)</f>
        <v>309402</v>
      </c>
      <c r="H208" s="313" t="n">
        <v>0</v>
      </c>
      <c r="I208" s="237" t="n">
        <f aca="false">SUM(I203:I207)</f>
        <v>1837400</v>
      </c>
      <c r="J208" s="237" t="n">
        <f aca="false">SUM(J203:J207)</f>
        <v>1482092</v>
      </c>
      <c r="K208" s="313" t="n">
        <f aca="false">I208/J208*100-100</f>
        <v>23.9734105575093</v>
      </c>
      <c r="L208" s="237" t="n">
        <f aca="false">SUM(L203:L207)</f>
        <v>1546615</v>
      </c>
      <c r="M208" s="216" t="n">
        <f aca="false">SUM(M203:M207)</f>
        <v>1187842</v>
      </c>
      <c r="N208" s="313" t="n">
        <f aca="false">L208/M208*100-100</f>
        <v>30.2037644737263</v>
      </c>
      <c r="O208" s="237" t="n">
        <f aca="false">SUM(O203:O207)</f>
        <v>247</v>
      </c>
      <c r="P208" s="217" t="n">
        <f aca="false">R208/O208</f>
        <v>43.2226720647773</v>
      </c>
      <c r="Q208" s="237" t="n">
        <f aca="false">SUM(Q203:Q207)</f>
        <v>259</v>
      </c>
      <c r="R208" s="232" t="n">
        <f aca="false">SUM(R203:R207)</f>
        <v>10676</v>
      </c>
    </row>
    <row r="209" customFormat="false" ht="15" hidden="false" customHeight="false" outlineLevel="0" collapsed="false">
      <c r="A209" s="325"/>
      <c r="B209" s="325" t="s">
        <v>211</v>
      </c>
      <c r="C209" s="320" t="n">
        <f aca="false">C201+C208</f>
        <v>10958605</v>
      </c>
      <c r="D209" s="320" t="n">
        <f aca="false">D201+D208</f>
        <v>9748481</v>
      </c>
      <c r="E209" s="310" t="n">
        <f aca="false">C209/D209*100-100</f>
        <v>12.4134621588738</v>
      </c>
      <c r="F209" s="320" t="n">
        <f aca="false">F201+F208</f>
        <v>1003698</v>
      </c>
      <c r="G209" s="320" t="n">
        <f aca="false">G201+G208</f>
        <v>1035497</v>
      </c>
      <c r="H209" s="310" t="n">
        <f aca="false">F209/G209*100-100</f>
        <v>-3.07089252793587</v>
      </c>
      <c r="I209" s="320" t="n">
        <f aca="false">I201+I208</f>
        <v>10916482</v>
      </c>
      <c r="J209" s="320" t="n">
        <f aca="false">J201+J208</f>
        <v>8945943</v>
      </c>
      <c r="K209" s="310" t="n">
        <f aca="false">I209/J209*100-100</f>
        <v>22.0271803654461</v>
      </c>
      <c r="L209" s="320" t="n">
        <f aca="false">L201+L208</f>
        <v>6560989</v>
      </c>
      <c r="M209" s="320" t="n">
        <f aca="false">M201+M208</f>
        <v>5357337</v>
      </c>
      <c r="N209" s="310" t="n">
        <f aca="false">L209/M209*100-100</f>
        <v>22.4673564496689</v>
      </c>
      <c r="O209" s="320" t="n">
        <f aca="false">O201+O208</f>
        <v>565</v>
      </c>
      <c r="P209" s="321" t="n">
        <f aca="false">R209/O209</f>
        <v>111.642477876106</v>
      </c>
      <c r="Q209" s="320" t="n">
        <f aca="false">Q201+Q208</f>
        <v>575</v>
      </c>
      <c r="R209" s="320" t="n">
        <f aca="false">R201+R208</f>
        <v>63078</v>
      </c>
    </row>
    <row r="210" customFormat="false" ht="15" hidden="false" customHeight="false" outlineLevel="0" collapsed="false">
      <c r="A210" s="333"/>
      <c r="B210" s="334"/>
      <c r="C210" s="287"/>
      <c r="D210" s="287"/>
      <c r="E210" s="283"/>
      <c r="F210" s="288"/>
      <c r="G210" s="288"/>
      <c r="H210" s="283"/>
      <c r="I210" s="203"/>
      <c r="J210" s="203"/>
      <c r="K210" s="289"/>
      <c r="L210" s="203"/>
      <c r="M210" s="203"/>
      <c r="N210" s="203"/>
      <c r="O210" s="203"/>
      <c r="P210" s="219"/>
      <c r="Q210" s="203"/>
      <c r="R210" s="189"/>
    </row>
    <row r="211" customFormat="false" ht="15" hidden="false" customHeight="false" outlineLevel="0" collapsed="false">
      <c r="A211" s="333"/>
      <c r="B211" s="270" t="s">
        <v>171</v>
      </c>
      <c r="C211" s="270"/>
      <c r="D211" s="287"/>
      <c r="E211" s="283"/>
      <c r="F211" s="288"/>
      <c r="G211" s="288"/>
      <c r="H211" s="283"/>
      <c r="I211" s="203"/>
      <c r="J211" s="203"/>
      <c r="K211" s="289"/>
      <c r="L211" s="203"/>
      <c r="M211" s="203"/>
      <c r="N211" s="203"/>
      <c r="O211" s="203"/>
      <c r="P211" s="219"/>
      <c r="Q211" s="203"/>
      <c r="R211" s="189"/>
    </row>
    <row r="212" customFormat="false" ht="15" hidden="false" customHeight="false" outlineLevel="0" collapsed="false">
      <c r="A212" s="270"/>
      <c r="B212" s="270"/>
      <c r="C212" s="195" t="n">
        <v>3</v>
      </c>
      <c r="D212" s="195" t="n">
        <v>4</v>
      </c>
      <c r="E212" s="196" t="n">
        <v>5</v>
      </c>
      <c r="F212" s="195" t="n">
        <v>6</v>
      </c>
      <c r="G212" s="195" t="n">
        <v>7</v>
      </c>
      <c r="H212" s="195" t="n">
        <v>8</v>
      </c>
      <c r="I212" s="195" t="n">
        <v>9</v>
      </c>
      <c r="J212" s="195" t="n">
        <v>10</v>
      </c>
      <c r="K212" s="195" t="n">
        <v>11</v>
      </c>
      <c r="L212" s="195" t="n">
        <v>12</v>
      </c>
      <c r="M212" s="195" t="n">
        <v>13</v>
      </c>
      <c r="N212" s="195" t="n">
        <v>14</v>
      </c>
      <c r="O212" s="195" t="n">
        <v>15</v>
      </c>
      <c r="P212" s="196" t="n">
        <v>16</v>
      </c>
      <c r="Q212" s="195" t="n">
        <v>15</v>
      </c>
      <c r="R212" s="189"/>
    </row>
    <row r="213" customFormat="false" ht="15" hidden="false" customHeight="false" outlineLevel="0" collapsed="false">
      <c r="A213" s="288" t="n">
        <v>1</v>
      </c>
      <c r="B213" s="290" t="s">
        <v>172</v>
      </c>
      <c r="C213" s="390" t="n">
        <v>584008.3</v>
      </c>
      <c r="D213" s="391" t="n">
        <v>630771.7</v>
      </c>
      <c r="E213" s="353" t="n">
        <f aca="false">C213/D213*100-100</f>
        <v>-7.41368073424979</v>
      </c>
      <c r="F213" s="390" t="n">
        <v>69312.9</v>
      </c>
      <c r="G213" s="391" t="n">
        <v>60677</v>
      </c>
      <c r="H213" s="353" t="n">
        <f aca="false">F213/G213*100-100</f>
        <v>14.2325757700611</v>
      </c>
      <c r="I213" s="391" t="n">
        <v>356442.1</v>
      </c>
      <c r="J213" s="391" t="n">
        <v>459415.1</v>
      </c>
      <c r="K213" s="353" t="n">
        <f aca="false">I213/J213*100-100</f>
        <v>-22.4139345876964</v>
      </c>
      <c r="L213" s="390" t="n">
        <v>0</v>
      </c>
      <c r="M213" s="390" t="n">
        <v>0</v>
      </c>
      <c r="N213" s="354" t="n">
        <v>0</v>
      </c>
      <c r="O213" s="390" t="n">
        <v>299</v>
      </c>
      <c r="P213" s="391" t="n">
        <v>223.7</v>
      </c>
      <c r="Q213" s="390" t="n">
        <v>297</v>
      </c>
      <c r="R213" s="378" t="n">
        <f aca="false">O213*P213</f>
        <v>66886.3</v>
      </c>
    </row>
    <row r="214" customFormat="false" ht="15" hidden="false" customHeight="false" outlineLevel="0" collapsed="false">
      <c r="A214" s="288" t="n">
        <v>2</v>
      </c>
      <c r="B214" s="290" t="s">
        <v>173</v>
      </c>
      <c r="C214" s="392" t="n">
        <v>97983</v>
      </c>
      <c r="D214" s="392" t="n">
        <v>100084</v>
      </c>
      <c r="E214" s="353" t="n">
        <f aca="false">C214/D214*100-100</f>
        <v>-2.09923664122137</v>
      </c>
      <c r="F214" s="392" t="n">
        <v>11131</v>
      </c>
      <c r="G214" s="392" t="n">
        <v>11653</v>
      </c>
      <c r="H214" s="353" t="n">
        <f aca="false">F214/G214*100-100</f>
        <v>-4.47953316742471</v>
      </c>
      <c r="I214" s="393" t="n">
        <v>0</v>
      </c>
      <c r="J214" s="393" t="n">
        <v>0</v>
      </c>
      <c r="K214" s="353" t="n">
        <v>0</v>
      </c>
      <c r="L214" s="393" t="n">
        <v>0</v>
      </c>
      <c r="M214" s="393" t="n">
        <v>0</v>
      </c>
      <c r="N214" s="354" t="n">
        <f aca="false">IF(OR(L214=0,M214=0),0,L214/M214*100)</f>
        <v>0</v>
      </c>
      <c r="O214" s="393" t="n">
        <v>86</v>
      </c>
      <c r="P214" s="394" t="n">
        <v>105</v>
      </c>
      <c r="Q214" s="393" t="n">
        <v>86</v>
      </c>
      <c r="R214" s="378" t="n">
        <f aca="false">O214*P214</f>
        <v>9030</v>
      </c>
    </row>
    <row r="215" customFormat="false" ht="24" hidden="false" customHeight="false" outlineLevel="0" collapsed="false">
      <c r="A215" s="291" t="n">
        <v>3</v>
      </c>
      <c r="B215" s="292" t="s">
        <v>174</v>
      </c>
      <c r="C215" s="395" t="n">
        <v>990</v>
      </c>
      <c r="D215" s="396" t="n">
        <v>1039</v>
      </c>
      <c r="E215" s="353" t="n">
        <f aca="false">C215/D215*100-100</f>
        <v>-4.71607314725698</v>
      </c>
      <c r="F215" s="393" t="n">
        <v>75</v>
      </c>
      <c r="G215" s="393" t="n">
        <v>150</v>
      </c>
      <c r="H215" s="353" t="n">
        <f aca="false">F215/G215*100-100</f>
        <v>-50</v>
      </c>
      <c r="I215" s="397" t="n">
        <v>990</v>
      </c>
      <c r="J215" s="396" t="n">
        <v>1039</v>
      </c>
      <c r="K215" s="353" t="n">
        <f aca="false">I215/J215*100-100</f>
        <v>-4.71607314725698</v>
      </c>
      <c r="L215" s="393" t="n">
        <v>0</v>
      </c>
      <c r="M215" s="393" t="n">
        <v>0</v>
      </c>
      <c r="N215" s="354" t="n">
        <f aca="false">IF(OR(L215=0,M215=0),0,L215/M215*100)</f>
        <v>0</v>
      </c>
      <c r="O215" s="393" t="n">
        <v>29</v>
      </c>
      <c r="P215" s="394" t="n">
        <v>28.7</v>
      </c>
      <c r="Q215" s="393" t="n">
        <v>30</v>
      </c>
      <c r="R215" s="385" t="n">
        <f aca="false">O215*P215</f>
        <v>832.3</v>
      </c>
    </row>
    <row r="216" customFormat="false" ht="15" hidden="false" customHeight="false" outlineLevel="0" collapsed="false">
      <c r="A216" s="288" t="n">
        <v>4</v>
      </c>
      <c r="B216" s="296" t="s">
        <v>175</v>
      </c>
      <c r="C216" s="393" t="n">
        <v>22992</v>
      </c>
      <c r="D216" s="393" t="n">
        <v>13077</v>
      </c>
      <c r="E216" s="353" t="n">
        <f aca="false">C216/D216*100-100</f>
        <v>75.8201422344574</v>
      </c>
      <c r="F216" s="393" t="n">
        <v>520</v>
      </c>
      <c r="G216" s="393" t="n">
        <v>1065</v>
      </c>
      <c r="H216" s="353" t="n">
        <f aca="false">F216/G216*100-100</f>
        <v>-51.1737089201878</v>
      </c>
      <c r="I216" s="393" t="n">
        <v>0</v>
      </c>
      <c r="J216" s="393" t="n">
        <v>0</v>
      </c>
      <c r="K216" s="353" t="n">
        <v>0</v>
      </c>
      <c r="L216" s="393" t="n">
        <v>0</v>
      </c>
      <c r="M216" s="393" t="n">
        <v>0</v>
      </c>
      <c r="N216" s="354" t="n">
        <f aca="false">IF(OR(L216=0,M216=0),0,L216/M216*100)</f>
        <v>0</v>
      </c>
      <c r="O216" s="393" t="n">
        <v>17</v>
      </c>
      <c r="P216" s="394" t="n">
        <v>61</v>
      </c>
      <c r="Q216" s="393" t="n">
        <v>17</v>
      </c>
      <c r="R216" s="386" t="n">
        <f aca="false">O216*P216</f>
        <v>1037</v>
      </c>
    </row>
    <row r="217" customFormat="false" ht="15" hidden="false" customHeight="false" outlineLevel="0" collapsed="false">
      <c r="A217" s="288" t="n">
        <v>5</v>
      </c>
      <c r="B217" s="297" t="s">
        <v>176</v>
      </c>
      <c r="C217" s="394" t="n">
        <v>8930</v>
      </c>
      <c r="D217" s="394" t="n">
        <v>9260</v>
      </c>
      <c r="E217" s="353" t="n">
        <f aca="false">C217/D217*100-100</f>
        <v>-3.56371490280777</v>
      </c>
      <c r="F217" s="394" t="n">
        <v>950</v>
      </c>
      <c r="G217" s="394" t="n">
        <v>1170</v>
      </c>
      <c r="H217" s="353" t="n">
        <f aca="false">F217/G217*100-100</f>
        <v>-18.8034188034188</v>
      </c>
      <c r="I217" s="398" t="n">
        <v>0</v>
      </c>
      <c r="J217" s="398" t="n">
        <v>0</v>
      </c>
      <c r="K217" s="353" t="n">
        <v>0</v>
      </c>
      <c r="L217" s="393" t="n">
        <v>0</v>
      </c>
      <c r="M217" s="393" t="n">
        <v>0</v>
      </c>
      <c r="N217" s="354" t="n">
        <f aca="false">IF(OR(L217=0,M217=0),0,L217/M217*100)</f>
        <v>0</v>
      </c>
      <c r="O217" s="393" t="n">
        <v>12</v>
      </c>
      <c r="P217" s="394" t="n">
        <v>73.4</v>
      </c>
      <c r="Q217" s="393" t="n">
        <v>12</v>
      </c>
      <c r="R217" s="386" t="n">
        <f aca="false">O217*P217</f>
        <v>880.8</v>
      </c>
    </row>
    <row r="218" customFormat="false" ht="15" hidden="false" customHeight="false" outlineLevel="0" collapsed="false">
      <c r="A218" s="288" t="n">
        <v>6</v>
      </c>
      <c r="B218" s="290" t="s">
        <v>177</v>
      </c>
      <c r="C218" s="394" t="n">
        <v>64120</v>
      </c>
      <c r="D218" s="393" t="n">
        <v>43698</v>
      </c>
      <c r="E218" s="353" t="n">
        <f aca="false">C218/D218*100-100</f>
        <v>46.7344043205639</v>
      </c>
      <c r="F218" s="394" t="n">
        <v>13310</v>
      </c>
      <c r="G218" s="394" t="n">
        <v>4000</v>
      </c>
      <c r="H218" s="353" t="n">
        <f aca="false">F218/G218*100-100</f>
        <v>232.75</v>
      </c>
      <c r="I218" s="398" t="n">
        <v>60419</v>
      </c>
      <c r="J218" s="398" t="n">
        <v>28129</v>
      </c>
      <c r="K218" s="353" t="n">
        <f aca="false">I218/J218*100-100</f>
        <v>114.792562835508</v>
      </c>
      <c r="L218" s="393" t="n">
        <v>0</v>
      </c>
      <c r="M218" s="393" t="n">
        <v>0</v>
      </c>
      <c r="N218" s="354" t="n">
        <f aca="false">IF(OR(L218=0,M218=0),0,L218/M218*100)</f>
        <v>0</v>
      </c>
      <c r="O218" s="393" t="n">
        <v>21</v>
      </c>
      <c r="P218" s="394" t="n">
        <v>155.8</v>
      </c>
      <c r="Q218" s="393" t="n">
        <v>24</v>
      </c>
      <c r="R218" s="386" t="n">
        <f aca="false">O218*P218</f>
        <v>3271.8</v>
      </c>
    </row>
    <row r="219" customFormat="false" ht="15" hidden="false" customHeight="false" outlineLevel="0" collapsed="false">
      <c r="A219" s="288" t="n">
        <v>7</v>
      </c>
      <c r="B219" s="290" t="s">
        <v>178</v>
      </c>
      <c r="C219" s="393" t="n">
        <v>3595</v>
      </c>
      <c r="D219" s="393" t="n">
        <v>101151</v>
      </c>
      <c r="E219" s="353" t="n">
        <f aca="false">C219/D219*100-100</f>
        <v>-96.4459076034839</v>
      </c>
      <c r="F219" s="393" t="n">
        <v>0</v>
      </c>
      <c r="G219" s="393" t="n">
        <v>15571</v>
      </c>
      <c r="H219" s="353" t="n">
        <f aca="false">F219/G219*100-100</f>
        <v>-100</v>
      </c>
      <c r="I219" s="393" t="n">
        <v>3595</v>
      </c>
      <c r="J219" s="393" t="n">
        <v>105629</v>
      </c>
      <c r="K219" s="353" t="n">
        <f aca="false">I219/J219*100-100</f>
        <v>-96.5965785911066</v>
      </c>
      <c r="L219" s="393" t="n">
        <v>3595</v>
      </c>
      <c r="M219" s="393" t="n">
        <v>93536</v>
      </c>
      <c r="N219" s="353" t="n">
        <f aca="false">L219/M219*100-100</f>
        <v>-96.1565600410537</v>
      </c>
      <c r="O219" s="393" t="n">
        <v>35</v>
      </c>
      <c r="P219" s="394" t="n">
        <v>45.3</v>
      </c>
      <c r="Q219" s="393" t="n">
        <v>35</v>
      </c>
      <c r="R219" s="386" t="n">
        <f aca="false">O219*P219</f>
        <v>1585.5</v>
      </c>
    </row>
    <row r="220" customFormat="false" ht="15" hidden="false" customHeight="false" outlineLevel="0" collapsed="false">
      <c r="A220" s="288" t="n">
        <v>8</v>
      </c>
      <c r="B220" s="290" t="s">
        <v>179</v>
      </c>
      <c r="C220" s="393" t="n">
        <v>3215</v>
      </c>
      <c r="D220" s="393" t="n">
        <v>5864</v>
      </c>
      <c r="E220" s="353" t="n">
        <f aca="false">C220/D220*100-100</f>
        <v>-45.1739427012278</v>
      </c>
      <c r="F220" s="393" t="n">
        <v>255</v>
      </c>
      <c r="G220" s="393" t="n">
        <v>340</v>
      </c>
      <c r="H220" s="353" t="n">
        <f aca="false">F220/G220*100-100</f>
        <v>-25</v>
      </c>
      <c r="I220" s="393" t="n">
        <v>3417</v>
      </c>
      <c r="J220" s="393" t="n">
        <v>5266</v>
      </c>
      <c r="K220" s="353" t="n">
        <f aca="false">I220/J220*100-100</f>
        <v>-35.1120394986707</v>
      </c>
      <c r="L220" s="393" t="n">
        <v>0</v>
      </c>
      <c r="M220" s="393" t="n">
        <v>0</v>
      </c>
      <c r="N220" s="354" t="n">
        <f aca="false">IF(OR(L220=0,M220=0),0,L220/M220*100)</f>
        <v>0</v>
      </c>
      <c r="O220" s="393" t="n">
        <v>25</v>
      </c>
      <c r="P220" s="394" t="n">
        <v>65.7</v>
      </c>
      <c r="Q220" s="393" t="n">
        <v>27</v>
      </c>
      <c r="R220" s="378" t="n">
        <f aca="false">O220*P220</f>
        <v>1642.5</v>
      </c>
    </row>
    <row r="221" customFormat="false" ht="15" hidden="false" customHeight="false" outlineLevel="0" collapsed="false">
      <c r="A221" s="288" t="n">
        <v>9</v>
      </c>
      <c r="B221" s="301" t="s">
        <v>180</v>
      </c>
      <c r="C221" s="393" t="n">
        <v>12630</v>
      </c>
      <c r="D221" s="393" t="n">
        <v>16863</v>
      </c>
      <c r="E221" s="353" t="n">
        <f aca="false">C221/D221*100-100</f>
        <v>-25.1022949653087</v>
      </c>
      <c r="F221" s="393" t="n">
        <v>1377</v>
      </c>
      <c r="G221" s="393" t="n">
        <v>1763</v>
      </c>
      <c r="H221" s="353" t="n">
        <f aca="false">F221/G221*100-100</f>
        <v>-21.8944980147476</v>
      </c>
      <c r="I221" s="393" t="n">
        <v>12630</v>
      </c>
      <c r="J221" s="393" t="n">
        <v>16863</v>
      </c>
      <c r="K221" s="353" t="n">
        <f aca="false">I221/J221*100-100</f>
        <v>-25.1022949653087</v>
      </c>
      <c r="L221" s="393" t="n">
        <v>0</v>
      </c>
      <c r="M221" s="393" t="n">
        <v>0</v>
      </c>
      <c r="N221" s="354" t="n">
        <f aca="false">IF(OR(L221=0,M221=0),0,L221/M221*100)</f>
        <v>0</v>
      </c>
      <c r="O221" s="393" t="n">
        <v>14</v>
      </c>
      <c r="P221" s="394" t="n">
        <v>66.7</v>
      </c>
      <c r="Q221" s="393" t="n">
        <v>14</v>
      </c>
      <c r="R221" s="386" t="n">
        <f aca="false">O221*P221</f>
        <v>933.8</v>
      </c>
    </row>
    <row r="222" customFormat="false" ht="15" hidden="false" customHeight="false" outlineLevel="0" collapsed="false">
      <c r="A222" s="215" t="s">
        <v>170</v>
      </c>
      <c r="B222" s="215" t="s">
        <v>154</v>
      </c>
      <c r="C222" s="361" t="n">
        <f aca="false">SUM(C213:C221)</f>
        <v>798463.3</v>
      </c>
      <c r="D222" s="361" t="n">
        <f aca="false">SUM(D213:D221)</f>
        <v>921807.7</v>
      </c>
      <c r="E222" s="362" t="n">
        <f aca="false">C222/D222*100-100</f>
        <v>-13.3807083624925</v>
      </c>
      <c r="F222" s="361" t="n">
        <f aca="false">SUM(F213:F221)</f>
        <v>96930.9</v>
      </c>
      <c r="G222" s="361" t="n">
        <f aca="false">SUM(G213:G221)</f>
        <v>96389</v>
      </c>
      <c r="H222" s="362" t="n">
        <f aca="false">F222/G222*100-100</f>
        <v>0.562201081036221</v>
      </c>
      <c r="I222" s="361" t="n">
        <f aca="false">SUM(I213:I221)</f>
        <v>437493.1</v>
      </c>
      <c r="J222" s="361" t="n">
        <f aca="false">SUM(J213:J221)</f>
        <v>616341.1</v>
      </c>
      <c r="K222" s="362" t="n">
        <f aca="false">I222/J222*100-100</f>
        <v>-29.0176981544797</v>
      </c>
      <c r="L222" s="361" t="n">
        <f aca="false">SUM(L213:L221)</f>
        <v>3595</v>
      </c>
      <c r="M222" s="361" t="n">
        <f aca="false">SUM(M213:M221)</f>
        <v>93536</v>
      </c>
      <c r="N222" s="362" t="n">
        <f aca="false">L222/M222*100-100</f>
        <v>-96.1565600410537</v>
      </c>
      <c r="O222" s="363" t="n">
        <f aca="false">SUM(O213:O221)</f>
        <v>538</v>
      </c>
      <c r="P222" s="363" t="n">
        <f aca="false">R222/O222</f>
        <v>160.03717472119</v>
      </c>
      <c r="Q222" s="363" t="n">
        <f aca="false">SUM(Q213:Q221)</f>
        <v>542</v>
      </c>
      <c r="R222" s="232" t="n">
        <f aca="false">SUM(R213:R221)</f>
        <v>86100</v>
      </c>
    </row>
    <row r="223" customFormat="false" ht="15" hidden="false" customHeight="false" outlineLevel="0" collapsed="false">
      <c r="A223" s="303"/>
      <c r="B223" s="195"/>
      <c r="C223" s="303"/>
      <c r="D223" s="303"/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03"/>
      <c r="P223" s="303"/>
      <c r="Q223" s="303"/>
      <c r="R223" s="304"/>
    </row>
    <row r="224" customFormat="false" ht="15" hidden="false" customHeight="false" outlineLevel="0" collapsed="false">
      <c r="A224" s="305" t="s">
        <v>181</v>
      </c>
      <c r="B224" s="305"/>
      <c r="C224" s="195" t="n">
        <v>3</v>
      </c>
      <c r="D224" s="195" t="n">
        <v>4</v>
      </c>
      <c r="E224" s="196" t="n">
        <v>5</v>
      </c>
      <c r="F224" s="195" t="n">
        <v>6</v>
      </c>
      <c r="G224" s="195" t="n">
        <v>7</v>
      </c>
      <c r="H224" s="195" t="n">
        <v>8</v>
      </c>
      <c r="I224" s="195" t="n">
        <v>9</v>
      </c>
      <c r="J224" s="195" t="n">
        <v>10</v>
      </c>
      <c r="K224" s="195" t="n">
        <v>11</v>
      </c>
      <c r="L224" s="195" t="n">
        <v>12</v>
      </c>
      <c r="M224" s="195" t="n">
        <v>13</v>
      </c>
      <c r="N224" s="195" t="n">
        <v>14</v>
      </c>
      <c r="O224" s="195" t="n">
        <v>15</v>
      </c>
      <c r="P224" s="196" t="n">
        <v>16</v>
      </c>
      <c r="Q224" s="195" t="n">
        <v>15</v>
      </c>
      <c r="R224" s="179"/>
    </row>
    <row r="225" customFormat="false" ht="15" hidden="false" customHeight="false" outlineLevel="0" collapsed="false">
      <c r="A225" s="262" t="n">
        <v>1</v>
      </c>
      <c r="B225" s="306" t="s">
        <v>182</v>
      </c>
      <c r="C225" s="207" t="n">
        <v>56612</v>
      </c>
      <c r="D225" s="207" t="n">
        <v>83244</v>
      </c>
      <c r="E225" s="201" t="n">
        <f aca="false">C225/D225*100-100</f>
        <v>-31.9926961702946</v>
      </c>
      <c r="F225" s="207" t="n">
        <v>0</v>
      </c>
      <c r="G225" s="207" t="n">
        <v>7465</v>
      </c>
      <c r="H225" s="201" t="n">
        <f aca="false">F225/G225*100-100</f>
        <v>-100</v>
      </c>
      <c r="I225" s="207" t="n">
        <v>56612</v>
      </c>
      <c r="J225" s="207" t="n">
        <v>83244</v>
      </c>
      <c r="K225" s="201" t="n">
        <f aca="false">I225/J225*100-100</f>
        <v>-31.9926961702946</v>
      </c>
      <c r="L225" s="207" t="n">
        <f aca="false">19229+37383</f>
        <v>56612</v>
      </c>
      <c r="M225" s="207" t="n">
        <v>83244</v>
      </c>
      <c r="N225" s="201" t="n">
        <f aca="false">L225/M225*100-100</f>
        <v>-31.9926961702946</v>
      </c>
      <c r="O225" s="192" t="n">
        <v>45</v>
      </c>
      <c r="P225" s="262" t="n">
        <v>63</v>
      </c>
      <c r="Q225" s="192" t="n">
        <v>42</v>
      </c>
      <c r="R225" s="234" t="n">
        <f aca="false">O225*P225</f>
        <v>2835</v>
      </c>
    </row>
    <row r="226" customFormat="false" ht="15" hidden="false" customHeight="false" outlineLevel="0" collapsed="false">
      <c r="A226" s="262" t="n">
        <v>2</v>
      </c>
      <c r="B226" s="306" t="s">
        <v>183</v>
      </c>
      <c r="C226" s="207" t="n">
        <v>153694</v>
      </c>
      <c r="D226" s="207" t="n">
        <v>187981</v>
      </c>
      <c r="E226" s="201" t="n">
        <f aca="false">C226/D226*100-100</f>
        <v>-18.2396093222187</v>
      </c>
      <c r="F226" s="207" t="n">
        <v>63972</v>
      </c>
      <c r="G226" s="207" t="n">
        <v>66966</v>
      </c>
      <c r="H226" s="201" t="n">
        <f aca="false">F226/G226*100-100</f>
        <v>-4.47092554430607</v>
      </c>
      <c r="I226" s="207" t="n">
        <v>153866</v>
      </c>
      <c r="J226" s="207" t="n">
        <v>165551</v>
      </c>
      <c r="K226" s="201" t="n">
        <f aca="false">I226/J226*100-100</f>
        <v>-7.05824791151971</v>
      </c>
      <c r="L226" s="207" t="n">
        <v>18568</v>
      </c>
      <c r="M226" s="207" t="n">
        <v>0</v>
      </c>
      <c r="N226" s="201" t="n">
        <v>0</v>
      </c>
      <c r="O226" s="192" t="n">
        <v>174</v>
      </c>
      <c r="P226" s="262" t="n">
        <v>82</v>
      </c>
      <c r="Q226" s="192" t="n">
        <v>174</v>
      </c>
      <c r="R226" s="234" t="n">
        <f aca="false">O226*P226</f>
        <v>14268</v>
      </c>
    </row>
    <row r="227" customFormat="false" ht="15" hidden="false" customHeight="false" outlineLevel="0" collapsed="false">
      <c r="A227" s="215" t="s">
        <v>170</v>
      </c>
      <c r="B227" s="215" t="s">
        <v>154</v>
      </c>
      <c r="C227" s="216" t="n">
        <f aca="false">SUM(C225:C226)</f>
        <v>210306</v>
      </c>
      <c r="D227" s="216" t="n">
        <f aca="false">SUM(D225:D226)</f>
        <v>271225</v>
      </c>
      <c r="E227" s="313" t="n">
        <f aca="false">C227/D227*100-100</f>
        <v>-22.4606876209789</v>
      </c>
      <c r="F227" s="216" t="n">
        <f aca="false">SUM(F225:F226)</f>
        <v>63972</v>
      </c>
      <c r="G227" s="216" t="n">
        <f aca="false">SUM(G225:G226)</f>
        <v>74431</v>
      </c>
      <c r="H227" s="313" t="n">
        <f aca="false">F227/G227*100-100</f>
        <v>-14.0519407236232</v>
      </c>
      <c r="I227" s="217" t="n">
        <f aca="false">SUM(I225:I226)</f>
        <v>210478</v>
      </c>
      <c r="J227" s="216" t="n">
        <f aca="false">SUM(J225:J226)</f>
        <v>248795</v>
      </c>
      <c r="K227" s="313" t="n">
        <f aca="false">I227/J227*100-100</f>
        <v>-15.4010329789586</v>
      </c>
      <c r="L227" s="237" t="n">
        <f aca="false">SUM(L225:L226)</f>
        <v>75180</v>
      </c>
      <c r="M227" s="216" t="n">
        <f aca="false">SUM(M225:M226)</f>
        <v>83244</v>
      </c>
      <c r="N227" s="332" t="n">
        <f aca="false">L227/M227*100-100</f>
        <v>-9.68718466195762</v>
      </c>
      <c r="O227" s="237" t="n">
        <f aca="false">SUM(O225:O226)</f>
        <v>219</v>
      </c>
      <c r="P227" s="237" t="n">
        <f aca="false">R227/O227</f>
        <v>78.0958904109589</v>
      </c>
      <c r="Q227" s="237" t="n">
        <f aca="false">SUM(Q225:Q226)</f>
        <v>216</v>
      </c>
      <c r="R227" s="232" t="n">
        <f aca="false">SUM(R225:R226)</f>
        <v>17103</v>
      </c>
    </row>
  </sheetData>
  <mergeCells count="58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30:Q32"/>
    <mergeCell ref="A33:A34"/>
    <mergeCell ref="B33:B34"/>
    <mergeCell ref="C33:G33"/>
    <mergeCell ref="H33:K33"/>
    <mergeCell ref="O33:O34"/>
    <mergeCell ref="P33:P34"/>
    <mergeCell ref="Q33:Q34"/>
    <mergeCell ref="A36:B36"/>
    <mergeCell ref="A55:B55"/>
    <mergeCell ref="A57:B57"/>
    <mergeCell ref="A67:B67"/>
    <mergeCell ref="A69:B69"/>
    <mergeCell ref="A78:B78"/>
    <mergeCell ref="A79:B79"/>
    <mergeCell ref="A81:B81"/>
    <mergeCell ref="A93:B93"/>
    <mergeCell ref="A95:B95"/>
    <mergeCell ref="A121:B121"/>
    <mergeCell ref="A132:B132"/>
    <mergeCell ref="A134:B134"/>
    <mergeCell ref="A140:B140"/>
    <mergeCell ref="A151:B151"/>
    <mergeCell ref="A152:B152"/>
    <mergeCell ref="A162:B162"/>
    <mergeCell ref="B164:C164"/>
    <mergeCell ref="A165:B165"/>
    <mergeCell ref="A175:B175"/>
    <mergeCell ref="A189:B189"/>
    <mergeCell ref="A193:B193"/>
    <mergeCell ref="A201:B201"/>
    <mergeCell ref="A208:B208"/>
    <mergeCell ref="B211:C211"/>
    <mergeCell ref="A212:B212"/>
    <mergeCell ref="A222:B222"/>
    <mergeCell ref="A224:B224"/>
    <mergeCell ref="A227:B2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2019-05-13T13:30:50Z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