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65" windowWidth="14805" windowHeight="7350" firstSheet="6" activeTab="13"/>
  </bookViews>
  <sheets>
    <sheet name="Հունվար" sheetId="1" r:id="rId1"/>
    <sheet name="Փետրվար" sheetId="2" r:id="rId2"/>
    <sheet name="Sheet1" sheetId="4" r:id="rId3"/>
    <sheet name="Մարտ" sheetId="5" r:id="rId4"/>
    <sheet name="Ապրիլ" sheetId="6" r:id="rId5"/>
    <sheet name="Մայիս" sheetId="7" r:id="rId6"/>
    <sheet name="Հունիս" sheetId="9" r:id="rId7"/>
    <sheet name="Հուլիս" sheetId="11" r:id="rId8"/>
    <sheet name="Օգոստոս" sheetId="14" r:id="rId9"/>
    <sheet name="Սեպտեմբեր" sheetId="16" r:id="rId10"/>
    <sheet name="Հոկտեմբեր" sheetId="19" r:id="rId11"/>
    <sheet name="Նոյեմբեր" sheetId="20" r:id="rId12"/>
    <sheet name="Դեկտեմբեր" sheetId="22" r:id="rId13"/>
    <sheet name="2015 Հունվար" sheetId="23" r:id="rId14"/>
    <sheet name="Sheet2 (2)" sheetId="21" r:id="rId15"/>
    <sheet name="Sheet2" sheetId="15" r:id="rId16"/>
  </sheets>
  <calcPr calcId="145621" refMode="R1C1"/>
</workbook>
</file>

<file path=xl/calcChain.xml><?xml version="1.0" encoding="utf-8"?>
<calcChain xmlns="http://schemas.openxmlformats.org/spreadsheetml/2006/main">
  <c r="J279" i="23" l="1"/>
  <c r="I279" i="23"/>
  <c r="J278" i="23"/>
  <c r="I278" i="23"/>
  <c r="J277" i="23"/>
  <c r="I277" i="23"/>
  <c r="I276" i="23"/>
  <c r="F10" i="15" l="1"/>
  <c r="F9" i="15"/>
  <c r="F8" i="15"/>
  <c r="F6" i="15"/>
  <c r="D7" i="15"/>
  <c r="C7" i="15"/>
  <c r="D36" i="23"/>
  <c r="J274" i="23" l="1"/>
  <c r="I274" i="23"/>
  <c r="J273" i="23"/>
  <c r="I273" i="23"/>
  <c r="J272" i="23"/>
  <c r="I272" i="23"/>
  <c r="J271" i="23"/>
  <c r="I271" i="23"/>
  <c r="J270" i="23"/>
  <c r="I270" i="23"/>
  <c r="J269" i="23"/>
  <c r="I269" i="23"/>
  <c r="J268" i="23"/>
  <c r="I268" i="23"/>
  <c r="E256" i="23" l="1"/>
  <c r="E257" i="23"/>
  <c r="E258" i="23"/>
  <c r="E259" i="23"/>
  <c r="E260" i="23"/>
  <c r="E261" i="23"/>
  <c r="E262" i="23"/>
  <c r="E263" i="23"/>
  <c r="E264" i="23"/>
  <c r="C36" i="23" l="1"/>
  <c r="F36" i="23"/>
  <c r="G36" i="23"/>
  <c r="I36" i="23"/>
  <c r="J36" i="23"/>
  <c r="L36" i="23"/>
  <c r="M36" i="23"/>
  <c r="E37" i="23"/>
  <c r="H37" i="23"/>
  <c r="K37" i="23"/>
  <c r="K36" i="23" l="1"/>
  <c r="K18" i="23" s="1"/>
  <c r="H36" i="23"/>
  <c r="E36" i="23"/>
  <c r="C56" i="23"/>
  <c r="C19" i="23" s="1"/>
  <c r="D56" i="23"/>
  <c r="C70" i="23"/>
  <c r="D70" i="23"/>
  <c r="C80" i="23"/>
  <c r="C21" i="23" s="1"/>
  <c r="D80" i="23"/>
  <c r="D21" i="23" s="1"/>
  <c r="K296" i="23"/>
  <c r="H296" i="23"/>
  <c r="E296" i="23"/>
  <c r="M295" i="23"/>
  <c r="L295" i="23"/>
  <c r="J295" i="23"/>
  <c r="J28" i="23" s="1"/>
  <c r="I295" i="23"/>
  <c r="K295" i="23" s="1"/>
  <c r="G295" i="23"/>
  <c r="F295" i="23"/>
  <c r="H295" i="23" s="1"/>
  <c r="D295" i="23"/>
  <c r="D28" i="23" s="1"/>
  <c r="C295" i="23"/>
  <c r="E295" i="23" s="1"/>
  <c r="N292" i="23"/>
  <c r="K292" i="23"/>
  <c r="H292" i="23"/>
  <c r="E292" i="23"/>
  <c r="N291" i="23"/>
  <c r="K291" i="23"/>
  <c r="H291" i="23"/>
  <c r="E291" i="23"/>
  <c r="N290" i="23"/>
  <c r="K290" i="23"/>
  <c r="H290" i="23"/>
  <c r="E290" i="23"/>
  <c r="N289" i="23"/>
  <c r="K289" i="23"/>
  <c r="H289" i="23"/>
  <c r="E289" i="23"/>
  <c r="N288" i="23"/>
  <c r="K288" i="23"/>
  <c r="H288" i="23"/>
  <c r="E288" i="23"/>
  <c r="M287" i="23"/>
  <c r="L287" i="23"/>
  <c r="N287" i="23" s="1"/>
  <c r="J287" i="23"/>
  <c r="J27" i="23" s="1"/>
  <c r="I287" i="23"/>
  <c r="K287" i="23" s="1"/>
  <c r="G287" i="23"/>
  <c r="F287" i="23"/>
  <c r="H287" i="23" s="1"/>
  <c r="D287" i="23"/>
  <c r="D27" i="23" s="1"/>
  <c r="C287" i="23"/>
  <c r="E287" i="23" s="1"/>
  <c r="N284" i="23"/>
  <c r="K284" i="23"/>
  <c r="H284" i="23"/>
  <c r="E284" i="23"/>
  <c r="N283" i="23"/>
  <c r="K283" i="23"/>
  <c r="H283" i="23"/>
  <c r="E283" i="23"/>
  <c r="N282" i="23"/>
  <c r="K282" i="23"/>
  <c r="H282" i="23"/>
  <c r="E282" i="23"/>
  <c r="N281" i="23"/>
  <c r="K281" i="23"/>
  <c r="H281" i="23"/>
  <c r="E281" i="23"/>
  <c r="N280" i="23"/>
  <c r="K280" i="23"/>
  <c r="H280" i="23"/>
  <c r="E280" i="23"/>
  <c r="N279" i="23"/>
  <c r="K279" i="23"/>
  <c r="H279" i="23"/>
  <c r="E279" i="23"/>
  <c r="N278" i="23"/>
  <c r="K278" i="23"/>
  <c r="H278" i="23"/>
  <c r="E278" i="23"/>
  <c r="N277" i="23"/>
  <c r="K277" i="23"/>
  <c r="H277" i="23"/>
  <c r="E277" i="23"/>
  <c r="N276" i="23"/>
  <c r="K276" i="23"/>
  <c r="H276" i="23"/>
  <c r="E276" i="23"/>
  <c r="N275" i="23"/>
  <c r="K275" i="23"/>
  <c r="H275" i="23"/>
  <c r="E275" i="23"/>
  <c r="N274" i="23"/>
  <c r="K274" i="23"/>
  <c r="H274" i="23"/>
  <c r="E274" i="23"/>
  <c r="N273" i="23"/>
  <c r="K273" i="23"/>
  <c r="H273" i="23"/>
  <c r="E273" i="23"/>
  <c r="N272" i="23"/>
  <c r="K272" i="23"/>
  <c r="H272" i="23"/>
  <c r="E272" i="23"/>
  <c r="N271" i="23"/>
  <c r="K271" i="23"/>
  <c r="H271" i="23"/>
  <c r="E271" i="23"/>
  <c r="N270" i="23"/>
  <c r="K270" i="23"/>
  <c r="H270" i="23"/>
  <c r="E270" i="23"/>
  <c r="N269" i="23"/>
  <c r="K269" i="23"/>
  <c r="H269" i="23"/>
  <c r="E269" i="23"/>
  <c r="N268" i="23"/>
  <c r="K268" i="23"/>
  <c r="H268" i="23"/>
  <c r="E268" i="23"/>
  <c r="M267" i="23"/>
  <c r="M26" i="23" s="1"/>
  <c r="L267" i="23"/>
  <c r="J267" i="23"/>
  <c r="I267" i="23"/>
  <c r="K267" i="23" s="1"/>
  <c r="G267" i="23"/>
  <c r="F267" i="23"/>
  <c r="D267" i="23"/>
  <c r="D26" i="23" s="1"/>
  <c r="C267" i="23"/>
  <c r="E267" i="23" s="1"/>
  <c r="N264" i="23"/>
  <c r="K264" i="23"/>
  <c r="H264" i="23"/>
  <c r="N263" i="23"/>
  <c r="K263" i="23"/>
  <c r="H263" i="23"/>
  <c r="N262" i="23"/>
  <c r="K262" i="23"/>
  <c r="H262" i="23"/>
  <c r="N261" i="23"/>
  <c r="K261" i="23"/>
  <c r="H261" i="23"/>
  <c r="N260" i="23"/>
  <c r="K260" i="23"/>
  <c r="H260" i="23"/>
  <c r="N259" i="23"/>
  <c r="K259" i="23"/>
  <c r="H259" i="23"/>
  <c r="N258" i="23"/>
  <c r="K258" i="23"/>
  <c r="H258" i="23"/>
  <c r="N257" i="23"/>
  <c r="K257" i="23"/>
  <c r="H257" i="23"/>
  <c r="N256" i="23"/>
  <c r="K256" i="23"/>
  <c r="H256" i="23"/>
  <c r="M255" i="23"/>
  <c r="M25" i="23" s="1"/>
  <c r="L255" i="23"/>
  <c r="J255" i="23"/>
  <c r="I255" i="23"/>
  <c r="I25" i="23" s="1"/>
  <c r="G255" i="23"/>
  <c r="G25" i="23" s="1"/>
  <c r="F255" i="23"/>
  <c r="F25" i="23" s="1"/>
  <c r="D255" i="23"/>
  <c r="C255" i="23"/>
  <c r="E255" i="23" s="1"/>
  <c r="E25" i="23" s="1"/>
  <c r="N253" i="23"/>
  <c r="K253" i="23"/>
  <c r="H253" i="23"/>
  <c r="E253" i="23"/>
  <c r="N252" i="23"/>
  <c r="K252" i="23"/>
  <c r="H252" i="23"/>
  <c r="E252" i="23"/>
  <c r="N251" i="23"/>
  <c r="K251" i="23"/>
  <c r="H251" i="23"/>
  <c r="E251" i="23"/>
  <c r="N250" i="23"/>
  <c r="K250" i="23"/>
  <c r="H250" i="23"/>
  <c r="E250" i="23"/>
  <c r="N249" i="23"/>
  <c r="K249" i="23"/>
  <c r="H249" i="23"/>
  <c r="E249" i="23"/>
  <c r="M248" i="23"/>
  <c r="L248" i="23"/>
  <c r="J248" i="23"/>
  <c r="I248" i="23"/>
  <c r="G248" i="23"/>
  <c r="F248" i="23"/>
  <c r="D248" i="23"/>
  <c r="C248" i="23"/>
  <c r="N246" i="23"/>
  <c r="K246" i="23"/>
  <c r="H246" i="23"/>
  <c r="E246" i="23"/>
  <c r="N245" i="23"/>
  <c r="K245" i="23"/>
  <c r="H245" i="23"/>
  <c r="E245" i="23"/>
  <c r="N244" i="23"/>
  <c r="K244" i="23"/>
  <c r="H244" i="23"/>
  <c r="N243" i="23"/>
  <c r="K243" i="23"/>
  <c r="H243" i="23"/>
  <c r="E243" i="23"/>
  <c r="N242" i="23"/>
  <c r="K242" i="23"/>
  <c r="H242" i="23"/>
  <c r="E242" i="23"/>
  <c r="N241" i="23"/>
  <c r="K241" i="23"/>
  <c r="H241" i="23"/>
  <c r="E241" i="23"/>
  <c r="N240" i="23"/>
  <c r="K240" i="23"/>
  <c r="H240" i="23"/>
  <c r="E240" i="23"/>
  <c r="N239" i="23"/>
  <c r="K239" i="23"/>
  <c r="H239" i="23"/>
  <c r="E239" i="23"/>
  <c r="M238" i="23"/>
  <c r="L238" i="23"/>
  <c r="J238" i="23"/>
  <c r="I238" i="23"/>
  <c r="G238" i="23"/>
  <c r="F238" i="23"/>
  <c r="H238" i="23" s="1"/>
  <c r="D238" i="23"/>
  <c r="C238" i="23"/>
  <c r="N235" i="23"/>
  <c r="K235" i="23"/>
  <c r="H235" i="23"/>
  <c r="E235" i="23"/>
  <c r="N234" i="23"/>
  <c r="K234" i="23"/>
  <c r="H234" i="23"/>
  <c r="E234" i="23"/>
  <c r="N233" i="23"/>
  <c r="K233" i="23"/>
  <c r="H233" i="23"/>
  <c r="E233" i="23"/>
  <c r="N232" i="23"/>
  <c r="K232" i="23"/>
  <c r="H232" i="23"/>
  <c r="E232" i="23"/>
  <c r="N231" i="23"/>
  <c r="K231" i="23"/>
  <c r="H231" i="23"/>
  <c r="E231" i="23"/>
  <c r="N230" i="23"/>
  <c r="K230" i="23"/>
  <c r="H230" i="23"/>
  <c r="E230" i="23"/>
  <c r="N229" i="23"/>
  <c r="K229" i="23"/>
  <c r="H229" i="23"/>
  <c r="E229" i="23"/>
  <c r="N228" i="23"/>
  <c r="K228" i="23"/>
  <c r="H228" i="23"/>
  <c r="E228" i="23"/>
  <c r="N227" i="23"/>
  <c r="K227" i="23"/>
  <c r="H227" i="23"/>
  <c r="E227" i="23"/>
  <c r="N226" i="23"/>
  <c r="K226" i="23"/>
  <c r="H226" i="23"/>
  <c r="E226" i="23"/>
  <c r="N225" i="23"/>
  <c r="K225" i="23"/>
  <c r="H225" i="23"/>
  <c r="E225" i="23"/>
  <c r="N224" i="23"/>
  <c r="K224" i="23"/>
  <c r="H224" i="23"/>
  <c r="E224" i="23"/>
  <c r="N223" i="23"/>
  <c r="K223" i="23"/>
  <c r="H223" i="23"/>
  <c r="E223" i="23"/>
  <c r="N222" i="23"/>
  <c r="K222" i="23"/>
  <c r="H222" i="23"/>
  <c r="E222" i="23"/>
  <c r="N221" i="23"/>
  <c r="K221" i="23"/>
  <c r="H221" i="23"/>
  <c r="E221" i="23"/>
  <c r="N220" i="23"/>
  <c r="K220" i="23"/>
  <c r="H220" i="23"/>
  <c r="E220" i="23"/>
  <c r="N219" i="23"/>
  <c r="K219" i="23"/>
  <c r="H219" i="23"/>
  <c r="E219" i="23"/>
  <c r="N188" i="23"/>
  <c r="K188" i="23"/>
  <c r="H188" i="23"/>
  <c r="E188" i="23"/>
  <c r="N218" i="23"/>
  <c r="K218" i="23"/>
  <c r="H218" i="23"/>
  <c r="E218" i="23"/>
  <c r="N217" i="23"/>
  <c r="K217" i="23"/>
  <c r="H217" i="23"/>
  <c r="E217" i="23"/>
  <c r="N216" i="23"/>
  <c r="K216" i="23"/>
  <c r="H216" i="23"/>
  <c r="E216" i="23"/>
  <c r="N215" i="23"/>
  <c r="K215" i="23"/>
  <c r="H215" i="23"/>
  <c r="E215" i="23"/>
  <c r="N214" i="23"/>
  <c r="K214" i="23"/>
  <c r="H214" i="23"/>
  <c r="E214" i="23"/>
  <c r="N213" i="23"/>
  <c r="K213" i="23"/>
  <c r="H213" i="23"/>
  <c r="E213" i="23"/>
  <c r="N212" i="23"/>
  <c r="K212" i="23"/>
  <c r="H212" i="23"/>
  <c r="E212" i="23"/>
  <c r="N211" i="23"/>
  <c r="K211" i="23"/>
  <c r="H211" i="23"/>
  <c r="E211" i="23"/>
  <c r="N210" i="23"/>
  <c r="K210" i="23"/>
  <c r="H210" i="23"/>
  <c r="E210" i="23"/>
  <c r="N209" i="23"/>
  <c r="K209" i="23"/>
  <c r="H209" i="23"/>
  <c r="E209" i="23"/>
  <c r="N208" i="23"/>
  <c r="K208" i="23"/>
  <c r="H208" i="23"/>
  <c r="E208" i="23"/>
  <c r="N207" i="23"/>
  <c r="K207" i="23"/>
  <c r="H207" i="23"/>
  <c r="E207" i="23"/>
  <c r="N206" i="23"/>
  <c r="K206" i="23"/>
  <c r="H206" i="23"/>
  <c r="E206" i="23"/>
  <c r="N205" i="23"/>
  <c r="K205" i="23"/>
  <c r="H205" i="23"/>
  <c r="E205" i="23"/>
  <c r="N204" i="23"/>
  <c r="K204" i="23"/>
  <c r="H204" i="23"/>
  <c r="E204" i="23"/>
  <c r="N203" i="23"/>
  <c r="K203" i="23"/>
  <c r="H203" i="23"/>
  <c r="E203" i="23"/>
  <c r="N202" i="23"/>
  <c r="K202" i="23"/>
  <c r="H202" i="23"/>
  <c r="E202" i="23"/>
  <c r="N201" i="23"/>
  <c r="K201" i="23"/>
  <c r="H201" i="23"/>
  <c r="E201" i="23"/>
  <c r="N200" i="23"/>
  <c r="K200" i="23"/>
  <c r="H200" i="23"/>
  <c r="E200" i="23"/>
  <c r="N199" i="23"/>
  <c r="K199" i="23"/>
  <c r="H199" i="23"/>
  <c r="E199" i="23"/>
  <c r="N198" i="23"/>
  <c r="K198" i="23"/>
  <c r="H198" i="23"/>
  <c r="E198" i="23"/>
  <c r="N197" i="23"/>
  <c r="K197" i="23"/>
  <c r="H197" i="23"/>
  <c r="E197" i="23"/>
  <c r="M196" i="23"/>
  <c r="L196" i="23"/>
  <c r="J196" i="23"/>
  <c r="I196" i="23"/>
  <c r="G196" i="23"/>
  <c r="F196" i="23"/>
  <c r="D196" i="23"/>
  <c r="C196" i="23"/>
  <c r="N194" i="23"/>
  <c r="K194" i="23"/>
  <c r="H194" i="23"/>
  <c r="E194" i="23"/>
  <c r="N193" i="23"/>
  <c r="K193" i="23"/>
  <c r="H193" i="23"/>
  <c r="E193" i="23"/>
  <c r="N192" i="23"/>
  <c r="K192" i="23"/>
  <c r="H192" i="23"/>
  <c r="E192" i="23"/>
  <c r="N191" i="23"/>
  <c r="K191" i="23"/>
  <c r="H191" i="23"/>
  <c r="E191" i="23"/>
  <c r="M190" i="23"/>
  <c r="L190" i="23"/>
  <c r="J190" i="23"/>
  <c r="I190" i="23"/>
  <c r="G190" i="23"/>
  <c r="F190" i="23"/>
  <c r="D190" i="23"/>
  <c r="C190" i="23"/>
  <c r="N187" i="23"/>
  <c r="K187" i="23"/>
  <c r="H187" i="23"/>
  <c r="E187" i="23"/>
  <c r="N186" i="23"/>
  <c r="K186" i="23"/>
  <c r="H186" i="23"/>
  <c r="E186" i="23"/>
  <c r="N185" i="23"/>
  <c r="K185" i="23"/>
  <c r="H185" i="23"/>
  <c r="E185" i="23"/>
  <c r="N184" i="23"/>
  <c r="K184" i="23"/>
  <c r="H184" i="23"/>
  <c r="E184" i="23"/>
  <c r="N183" i="23"/>
  <c r="K183" i="23"/>
  <c r="H183" i="23"/>
  <c r="E183" i="23"/>
  <c r="N182" i="23"/>
  <c r="K182" i="23"/>
  <c r="H182" i="23"/>
  <c r="E182" i="23"/>
  <c r="N181" i="23"/>
  <c r="K181" i="23"/>
  <c r="H181" i="23"/>
  <c r="E181" i="23"/>
  <c r="N180" i="23"/>
  <c r="K180" i="23"/>
  <c r="H180" i="23"/>
  <c r="E180" i="23"/>
  <c r="N179" i="23"/>
  <c r="K179" i="23"/>
  <c r="H179" i="23"/>
  <c r="E179" i="23"/>
  <c r="N178" i="23"/>
  <c r="K178" i="23"/>
  <c r="H178" i="23"/>
  <c r="E178" i="23"/>
  <c r="N177" i="23"/>
  <c r="K177" i="23"/>
  <c r="H177" i="23"/>
  <c r="E177" i="23"/>
  <c r="N176" i="23"/>
  <c r="K176" i="23"/>
  <c r="H176" i="23"/>
  <c r="E176" i="23"/>
  <c r="N175" i="23"/>
  <c r="K175" i="23"/>
  <c r="H175" i="23"/>
  <c r="E175" i="23"/>
  <c r="N174" i="23"/>
  <c r="K174" i="23"/>
  <c r="H174" i="23"/>
  <c r="E174" i="23"/>
  <c r="N173" i="23"/>
  <c r="K173" i="23"/>
  <c r="H173" i="23"/>
  <c r="E173" i="23"/>
  <c r="N172" i="23"/>
  <c r="K172" i="23"/>
  <c r="H172" i="23"/>
  <c r="E172" i="23"/>
  <c r="N171" i="23"/>
  <c r="K171" i="23"/>
  <c r="H171" i="23"/>
  <c r="E171" i="23"/>
  <c r="N170" i="23"/>
  <c r="K170" i="23"/>
  <c r="H170" i="23"/>
  <c r="E170" i="23"/>
  <c r="N169" i="23"/>
  <c r="K169" i="23"/>
  <c r="H169" i="23"/>
  <c r="E169" i="23"/>
  <c r="N168" i="23"/>
  <c r="K168" i="23"/>
  <c r="H168" i="23"/>
  <c r="E168" i="23"/>
  <c r="N167" i="23"/>
  <c r="K167" i="23"/>
  <c r="H167" i="23"/>
  <c r="E167" i="23"/>
  <c r="N166" i="23"/>
  <c r="K166" i="23"/>
  <c r="H166" i="23"/>
  <c r="E166" i="23"/>
  <c r="N165" i="23"/>
  <c r="K165" i="23"/>
  <c r="H165" i="23"/>
  <c r="E165" i="23"/>
  <c r="N164" i="23"/>
  <c r="K164" i="23"/>
  <c r="H164" i="23"/>
  <c r="E164" i="23"/>
  <c r="N163" i="23"/>
  <c r="K163" i="23"/>
  <c r="H163" i="23"/>
  <c r="E163" i="23"/>
  <c r="N162" i="23"/>
  <c r="K162" i="23"/>
  <c r="H162" i="23"/>
  <c r="E162" i="23"/>
  <c r="M161" i="23"/>
  <c r="M160" i="23" s="1"/>
  <c r="M22" i="23" s="1"/>
  <c r="L161" i="23"/>
  <c r="J161" i="23"/>
  <c r="I161" i="23"/>
  <c r="G161" i="23"/>
  <c r="F161" i="23"/>
  <c r="D161" i="23"/>
  <c r="C161" i="23"/>
  <c r="N158" i="23"/>
  <c r="K158" i="23"/>
  <c r="H158" i="23"/>
  <c r="E158" i="23"/>
  <c r="N157" i="23"/>
  <c r="K157" i="23"/>
  <c r="H157" i="23"/>
  <c r="E157" i="23"/>
  <c r="N156" i="23"/>
  <c r="K156" i="23"/>
  <c r="H156" i="23"/>
  <c r="E156" i="23"/>
  <c r="M155" i="23"/>
  <c r="M16" i="23" s="1"/>
  <c r="L155" i="23"/>
  <c r="L16" i="23" s="1"/>
  <c r="J155" i="23"/>
  <c r="J16" i="23" s="1"/>
  <c r="I155" i="23"/>
  <c r="G155" i="23"/>
  <c r="G16" i="23" s="1"/>
  <c r="F155" i="23"/>
  <c r="F16" i="23" s="1"/>
  <c r="D155" i="23"/>
  <c r="D16" i="23" s="1"/>
  <c r="C155" i="23"/>
  <c r="C16" i="23" s="1"/>
  <c r="N153" i="23"/>
  <c r="K153" i="23"/>
  <c r="H153" i="23"/>
  <c r="E153" i="23"/>
  <c r="N152" i="23"/>
  <c r="K152" i="23"/>
  <c r="H152" i="23"/>
  <c r="E152" i="23"/>
  <c r="N151" i="23"/>
  <c r="K151" i="23"/>
  <c r="H151" i="23"/>
  <c r="E151" i="23"/>
  <c r="N150" i="23"/>
  <c r="K150" i="23"/>
  <c r="H150" i="23"/>
  <c r="E150" i="23"/>
  <c r="N149" i="23"/>
  <c r="K149" i="23"/>
  <c r="H149" i="23"/>
  <c r="E149" i="23"/>
  <c r="N148" i="23"/>
  <c r="K148" i="23"/>
  <c r="H148" i="23"/>
  <c r="E148" i="23"/>
  <c r="N147" i="23"/>
  <c r="K147" i="23"/>
  <c r="H147" i="23"/>
  <c r="E147" i="23"/>
  <c r="N146" i="23"/>
  <c r="K146" i="23"/>
  <c r="H146" i="23"/>
  <c r="E146" i="23"/>
  <c r="M145" i="23"/>
  <c r="M15" i="23" s="1"/>
  <c r="L145" i="23"/>
  <c r="L15" i="23" s="1"/>
  <c r="J145" i="23"/>
  <c r="J15" i="23" s="1"/>
  <c r="I145" i="23"/>
  <c r="G145" i="23"/>
  <c r="F145" i="23"/>
  <c r="F15" i="23" s="1"/>
  <c r="D145" i="23"/>
  <c r="D15" i="23" s="1"/>
  <c r="C145" i="23"/>
  <c r="C15" i="23" s="1"/>
  <c r="N143" i="23"/>
  <c r="K143" i="23"/>
  <c r="H143" i="23"/>
  <c r="E143" i="23"/>
  <c r="N142" i="23"/>
  <c r="K142" i="23"/>
  <c r="H142" i="23"/>
  <c r="E142" i="23"/>
  <c r="N141" i="23"/>
  <c r="K141" i="23"/>
  <c r="H141" i="23"/>
  <c r="E141" i="23"/>
  <c r="N140" i="23"/>
  <c r="K140" i="23"/>
  <c r="H140" i="23"/>
  <c r="E140" i="23"/>
  <c r="N139" i="23"/>
  <c r="K139" i="23"/>
  <c r="H139" i="23"/>
  <c r="E139" i="23"/>
  <c r="N138" i="23"/>
  <c r="K138" i="23"/>
  <c r="H138" i="23"/>
  <c r="E138" i="23"/>
  <c r="N137" i="23"/>
  <c r="K137" i="23"/>
  <c r="H137" i="23"/>
  <c r="E137" i="23"/>
  <c r="N136" i="23"/>
  <c r="K136" i="23"/>
  <c r="H136" i="23"/>
  <c r="E136" i="23"/>
  <c r="M135" i="23"/>
  <c r="M13" i="23" s="1"/>
  <c r="L135" i="23"/>
  <c r="L13" i="23" s="1"/>
  <c r="J135" i="23"/>
  <c r="J13" i="23" s="1"/>
  <c r="I135" i="23"/>
  <c r="I13" i="23" s="1"/>
  <c r="G135" i="23"/>
  <c r="G13" i="23" s="1"/>
  <c r="F135" i="23"/>
  <c r="D135" i="23"/>
  <c r="D13" i="23" s="1"/>
  <c r="C135" i="23"/>
  <c r="C13" i="23" s="1"/>
  <c r="N132" i="23"/>
  <c r="K132" i="23"/>
  <c r="H132" i="23"/>
  <c r="E132" i="23"/>
  <c r="N131" i="23"/>
  <c r="K131" i="23"/>
  <c r="H131" i="23"/>
  <c r="E131" i="23"/>
  <c r="N130" i="23"/>
  <c r="K130" i="23"/>
  <c r="H130" i="23"/>
  <c r="E130" i="23"/>
  <c r="N129" i="23"/>
  <c r="K129" i="23"/>
  <c r="H129" i="23"/>
  <c r="E129" i="23"/>
  <c r="N128" i="23"/>
  <c r="K128" i="23"/>
  <c r="H128" i="23"/>
  <c r="E128" i="23"/>
  <c r="N127" i="23"/>
  <c r="K127" i="23"/>
  <c r="H127" i="23"/>
  <c r="E127" i="23"/>
  <c r="M126" i="23"/>
  <c r="M24" i="23" s="1"/>
  <c r="L126" i="23"/>
  <c r="L24" i="23" s="1"/>
  <c r="J126" i="23"/>
  <c r="J24" i="23" s="1"/>
  <c r="I126" i="23"/>
  <c r="G126" i="23"/>
  <c r="G24" i="23" s="1"/>
  <c r="F126" i="23"/>
  <c r="F24" i="23" s="1"/>
  <c r="D126" i="23"/>
  <c r="D24" i="23" s="1"/>
  <c r="C126" i="23"/>
  <c r="C24" i="23" s="1"/>
  <c r="N124" i="23"/>
  <c r="K124" i="23"/>
  <c r="H124" i="23"/>
  <c r="E124" i="23"/>
  <c r="N123" i="23"/>
  <c r="K123" i="23"/>
  <c r="H123" i="23"/>
  <c r="E123" i="23"/>
  <c r="N122" i="23"/>
  <c r="K122" i="23"/>
  <c r="H122" i="23"/>
  <c r="E122" i="23"/>
  <c r="N121" i="23"/>
  <c r="K121" i="23"/>
  <c r="H121" i="23"/>
  <c r="E121" i="23"/>
  <c r="N120" i="23"/>
  <c r="K120" i="23"/>
  <c r="H120" i="23"/>
  <c r="E120" i="23"/>
  <c r="N119" i="23"/>
  <c r="K119" i="23"/>
  <c r="H119" i="23"/>
  <c r="E119" i="23"/>
  <c r="N118" i="23"/>
  <c r="K118" i="23"/>
  <c r="H118" i="23"/>
  <c r="E118" i="23"/>
  <c r="N117" i="23"/>
  <c r="K117" i="23"/>
  <c r="H117" i="23"/>
  <c r="E117" i="23"/>
  <c r="N116" i="23"/>
  <c r="K116" i="23"/>
  <c r="H116" i="23"/>
  <c r="E116" i="23"/>
  <c r="N115" i="23"/>
  <c r="K115" i="23"/>
  <c r="H115" i="23"/>
  <c r="E115" i="23"/>
  <c r="N114" i="23"/>
  <c r="K114" i="23"/>
  <c r="H114" i="23"/>
  <c r="E114" i="23"/>
  <c r="N113" i="23"/>
  <c r="K113" i="23"/>
  <c r="H113" i="23"/>
  <c r="E113" i="23"/>
  <c r="N112" i="23"/>
  <c r="K112" i="23"/>
  <c r="H112" i="23"/>
  <c r="E112" i="23"/>
  <c r="N111" i="23"/>
  <c r="K111" i="23"/>
  <c r="H111" i="23"/>
  <c r="E111" i="23"/>
  <c r="N110" i="23"/>
  <c r="K110" i="23"/>
  <c r="H110" i="23"/>
  <c r="E110" i="23"/>
  <c r="N109" i="23"/>
  <c r="K109" i="23"/>
  <c r="H109" i="23"/>
  <c r="E109" i="23"/>
  <c r="N108" i="23"/>
  <c r="K108" i="23"/>
  <c r="H108" i="23"/>
  <c r="E108" i="23"/>
  <c r="N107" i="23"/>
  <c r="K107" i="23"/>
  <c r="H107" i="23"/>
  <c r="E107" i="23"/>
  <c r="N106" i="23"/>
  <c r="K106" i="23"/>
  <c r="H106" i="23"/>
  <c r="E106" i="23"/>
  <c r="N105" i="23"/>
  <c r="K105" i="23"/>
  <c r="H105" i="23"/>
  <c r="E105" i="23"/>
  <c r="N104" i="23"/>
  <c r="K104" i="23"/>
  <c r="H104" i="23"/>
  <c r="E104" i="23"/>
  <c r="N103" i="23"/>
  <c r="K103" i="23"/>
  <c r="H103" i="23"/>
  <c r="E103" i="23"/>
  <c r="N102" i="23"/>
  <c r="K102" i="23"/>
  <c r="H102" i="23"/>
  <c r="E102" i="23"/>
  <c r="N101" i="23"/>
  <c r="K101" i="23"/>
  <c r="H101" i="23"/>
  <c r="E101" i="23"/>
  <c r="N100" i="23"/>
  <c r="K100" i="23"/>
  <c r="H100" i="23"/>
  <c r="E100" i="23"/>
  <c r="N99" i="23"/>
  <c r="K99" i="23"/>
  <c r="H99" i="23"/>
  <c r="E99" i="23"/>
  <c r="N98" i="23"/>
  <c r="K98" i="23"/>
  <c r="H98" i="23"/>
  <c r="E98" i="23"/>
  <c r="N97" i="23"/>
  <c r="K97" i="23"/>
  <c r="H97" i="23"/>
  <c r="E97" i="23"/>
  <c r="M96" i="23"/>
  <c r="M23" i="23" s="1"/>
  <c r="L96" i="23"/>
  <c r="L23" i="23" s="1"/>
  <c r="J96" i="23"/>
  <c r="J23" i="23" s="1"/>
  <c r="I96" i="23"/>
  <c r="I23" i="23" s="1"/>
  <c r="G96" i="23"/>
  <c r="G23" i="23" s="1"/>
  <c r="F96" i="23"/>
  <c r="F23" i="23" s="1"/>
  <c r="D96" i="23"/>
  <c r="D23" i="23" s="1"/>
  <c r="C96" i="23"/>
  <c r="C23" i="23" s="1"/>
  <c r="N94" i="23"/>
  <c r="K94" i="23"/>
  <c r="H94" i="23"/>
  <c r="E94" i="23"/>
  <c r="N93" i="23"/>
  <c r="K93" i="23"/>
  <c r="H93" i="23"/>
  <c r="E93" i="23"/>
  <c r="N92" i="23"/>
  <c r="K92" i="23"/>
  <c r="H92" i="23"/>
  <c r="E92" i="23"/>
  <c r="N91" i="23"/>
  <c r="K91" i="23"/>
  <c r="H91" i="23"/>
  <c r="E91" i="23"/>
  <c r="N90" i="23"/>
  <c r="K90" i="23"/>
  <c r="H90" i="23"/>
  <c r="E90" i="23"/>
  <c r="N89" i="23"/>
  <c r="K89" i="23"/>
  <c r="H89" i="23"/>
  <c r="E89" i="23"/>
  <c r="N88" i="23"/>
  <c r="K88" i="23"/>
  <c r="H88" i="23"/>
  <c r="E88" i="23"/>
  <c r="N87" i="23"/>
  <c r="K87" i="23"/>
  <c r="H87" i="23"/>
  <c r="E87" i="23"/>
  <c r="N86" i="23"/>
  <c r="K86" i="23"/>
  <c r="H86" i="23"/>
  <c r="E86" i="23"/>
  <c r="N85" i="23"/>
  <c r="K85" i="23"/>
  <c r="H85" i="23"/>
  <c r="E85" i="23"/>
  <c r="N84" i="23"/>
  <c r="K84" i="23"/>
  <c r="H84" i="23"/>
  <c r="E84" i="23"/>
  <c r="N83" i="23"/>
  <c r="K83" i="23"/>
  <c r="H83" i="23"/>
  <c r="E83" i="23"/>
  <c r="N82" i="23"/>
  <c r="K82" i="23"/>
  <c r="H82" i="23"/>
  <c r="E82" i="23"/>
  <c r="N81" i="23"/>
  <c r="K81" i="23"/>
  <c r="H81" i="23"/>
  <c r="E81" i="23"/>
  <c r="M80" i="23"/>
  <c r="M21" i="23" s="1"/>
  <c r="L80" i="23"/>
  <c r="L21" i="23" s="1"/>
  <c r="J80" i="23"/>
  <c r="J21" i="23" s="1"/>
  <c r="I80" i="23"/>
  <c r="I21" i="23" s="1"/>
  <c r="G80" i="23"/>
  <c r="G21" i="23" s="1"/>
  <c r="F80" i="23"/>
  <c r="F21" i="23" s="1"/>
  <c r="N78" i="23"/>
  <c r="K78" i="23"/>
  <c r="H78" i="23"/>
  <c r="E78" i="23"/>
  <c r="N77" i="23"/>
  <c r="K77" i="23"/>
  <c r="H77" i="23"/>
  <c r="E77" i="23"/>
  <c r="N76" i="23"/>
  <c r="K76" i="23"/>
  <c r="H76" i="23"/>
  <c r="E76" i="23"/>
  <c r="N75" i="23"/>
  <c r="K75" i="23"/>
  <c r="H75" i="23"/>
  <c r="E75" i="23"/>
  <c r="N74" i="23"/>
  <c r="K74" i="23"/>
  <c r="H74" i="23"/>
  <c r="E74" i="23"/>
  <c r="N73" i="23"/>
  <c r="K73" i="23"/>
  <c r="H73" i="23"/>
  <c r="E73" i="23"/>
  <c r="N72" i="23"/>
  <c r="K72" i="23"/>
  <c r="H72" i="23"/>
  <c r="E72" i="23"/>
  <c r="N71" i="23"/>
  <c r="K71" i="23"/>
  <c r="H71" i="23"/>
  <c r="E71" i="23"/>
  <c r="M70" i="23"/>
  <c r="L70" i="23"/>
  <c r="L20" i="23" s="1"/>
  <c r="J70" i="23"/>
  <c r="I70" i="23"/>
  <c r="G70" i="23"/>
  <c r="F70" i="23"/>
  <c r="D20" i="23"/>
  <c r="N68" i="23"/>
  <c r="K68" i="23"/>
  <c r="H68" i="23"/>
  <c r="E68" i="23"/>
  <c r="N67" i="23"/>
  <c r="K67" i="23"/>
  <c r="H67" i="23"/>
  <c r="E67" i="23"/>
  <c r="N66" i="23"/>
  <c r="K66" i="23"/>
  <c r="H66" i="23"/>
  <c r="E66" i="23"/>
  <c r="N65" i="23"/>
  <c r="K65" i="23"/>
  <c r="H65" i="23"/>
  <c r="E65" i="23"/>
  <c r="N64" i="23"/>
  <c r="K64" i="23"/>
  <c r="H64" i="23"/>
  <c r="E64" i="23"/>
  <c r="N63" i="23"/>
  <c r="K63" i="23"/>
  <c r="H63" i="23"/>
  <c r="E63" i="23"/>
  <c r="N62" i="23"/>
  <c r="K62" i="23"/>
  <c r="H62" i="23"/>
  <c r="E62" i="23"/>
  <c r="N61" i="23"/>
  <c r="K61" i="23"/>
  <c r="H61" i="23"/>
  <c r="E61" i="23"/>
  <c r="N60" i="23"/>
  <c r="K60" i="23"/>
  <c r="H60" i="23"/>
  <c r="E60" i="23"/>
  <c r="N59" i="23"/>
  <c r="K59" i="23"/>
  <c r="H59" i="23"/>
  <c r="E59" i="23"/>
  <c r="N58" i="23"/>
  <c r="K58" i="23"/>
  <c r="H58" i="23"/>
  <c r="E58" i="23"/>
  <c r="N57" i="23"/>
  <c r="K57" i="23"/>
  <c r="H57" i="23"/>
  <c r="E57" i="23"/>
  <c r="M56" i="23"/>
  <c r="M19" i="23" s="1"/>
  <c r="L56" i="23"/>
  <c r="L19" i="23" s="1"/>
  <c r="J56" i="23"/>
  <c r="J19" i="23" s="1"/>
  <c r="I56" i="23"/>
  <c r="G56" i="23"/>
  <c r="G19" i="23" s="1"/>
  <c r="F56" i="23"/>
  <c r="F19" i="23" s="1"/>
  <c r="N54" i="23"/>
  <c r="K54" i="23"/>
  <c r="H54" i="23"/>
  <c r="E54" i="23"/>
  <c r="N53" i="23"/>
  <c r="K53" i="23"/>
  <c r="H53" i="23"/>
  <c r="E53" i="23"/>
  <c r="N52" i="23"/>
  <c r="K52" i="23"/>
  <c r="H52" i="23"/>
  <c r="E52" i="23"/>
  <c r="N51" i="23"/>
  <c r="K51" i="23"/>
  <c r="H51" i="23"/>
  <c r="E51" i="23"/>
  <c r="N50" i="23"/>
  <c r="K50" i="23"/>
  <c r="H50" i="23"/>
  <c r="E50" i="23"/>
  <c r="N49" i="23"/>
  <c r="K49" i="23"/>
  <c r="H49" i="23"/>
  <c r="E49" i="23"/>
  <c r="N48" i="23"/>
  <c r="K48" i="23"/>
  <c r="H48" i="23"/>
  <c r="E48" i="23"/>
  <c r="N47" i="23"/>
  <c r="K47" i="23"/>
  <c r="H47" i="23"/>
  <c r="E47" i="23"/>
  <c r="N46" i="23"/>
  <c r="K46" i="23"/>
  <c r="H46" i="23"/>
  <c r="E46" i="23"/>
  <c r="N45" i="23"/>
  <c r="K45" i="23"/>
  <c r="H45" i="23"/>
  <c r="E45" i="23"/>
  <c r="N44" i="23"/>
  <c r="K44" i="23"/>
  <c r="H44" i="23"/>
  <c r="E44" i="23"/>
  <c r="N43" i="23"/>
  <c r="K43" i="23"/>
  <c r="H43" i="23"/>
  <c r="E43" i="23"/>
  <c r="N42" i="23"/>
  <c r="K42" i="23"/>
  <c r="H42" i="23"/>
  <c r="E42" i="23"/>
  <c r="N41" i="23"/>
  <c r="K41" i="23"/>
  <c r="H41" i="23"/>
  <c r="E41" i="23"/>
  <c r="N40" i="23"/>
  <c r="K40" i="23"/>
  <c r="H40" i="23"/>
  <c r="E40" i="23"/>
  <c r="N39" i="23"/>
  <c r="K39" i="23"/>
  <c r="H39" i="23"/>
  <c r="E39" i="23"/>
  <c r="N38" i="23"/>
  <c r="K38" i="23"/>
  <c r="H38" i="23"/>
  <c r="E38" i="23"/>
  <c r="N37" i="23"/>
  <c r="M18" i="23"/>
  <c r="L18" i="23"/>
  <c r="G18" i="23"/>
  <c r="D18" i="23"/>
  <c r="M28" i="23"/>
  <c r="L28" i="23"/>
  <c r="G28" i="23"/>
  <c r="F28" i="23"/>
  <c r="H28" i="23" s="1"/>
  <c r="M27" i="23"/>
  <c r="G27" i="23"/>
  <c r="F27" i="23"/>
  <c r="H27" i="23" s="1"/>
  <c r="L26" i="23"/>
  <c r="J26" i="23"/>
  <c r="G26" i="23"/>
  <c r="J25" i="23"/>
  <c r="D25" i="23"/>
  <c r="I20" i="23"/>
  <c r="J18" i="23"/>
  <c r="F18" i="23"/>
  <c r="C18" i="23"/>
  <c r="I16" i="23"/>
  <c r="L27" i="23" l="1"/>
  <c r="C28" i="23"/>
  <c r="E28" i="23" s="1"/>
  <c r="C27" i="23"/>
  <c r="E27" i="23" s="1"/>
  <c r="I27" i="23"/>
  <c r="K27" i="23" s="1"/>
  <c r="I28" i="23"/>
  <c r="K28" i="23" s="1"/>
  <c r="D19" i="23"/>
  <c r="D35" i="23"/>
  <c r="H267" i="23"/>
  <c r="J237" i="23"/>
  <c r="J17" i="23" s="1"/>
  <c r="K126" i="23"/>
  <c r="K24" i="23" s="1"/>
  <c r="I24" i="23"/>
  <c r="K238" i="23"/>
  <c r="F237" i="23"/>
  <c r="F17" i="23" s="1"/>
  <c r="N255" i="23"/>
  <c r="N25" i="23" s="1"/>
  <c r="K56" i="23"/>
  <c r="K19" i="23" s="1"/>
  <c r="L237" i="23"/>
  <c r="L17" i="23" s="1"/>
  <c r="D237" i="23"/>
  <c r="D17" i="23" s="1"/>
  <c r="K190" i="23"/>
  <c r="G160" i="23"/>
  <c r="G22" i="23" s="1"/>
  <c r="H135" i="23"/>
  <c r="H13" i="23" s="1"/>
  <c r="M134" i="23"/>
  <c r="L160" i="23"/>
  <c r="L22" i="23" s="1"/>
  <c r="K196" i="23"/>
  <c r="G134" i="23"/>
  <c r="M35" i="23"/>
  <c r="I19" i="23"/>
  <c r="G35" i="23"/>
  <c r="C35" i="23"/>
  <c r="E35" i="23" s="1"/>
  <c r="K80" i="23"/>
  <c r="K21" i="23" s="1"/>
  <c r="M20" i="23"/>
  <c r="J160" i="23"/>
  <c r="J22" i="23" s="1"/>
  <c r="K161" i="23"/>
  <c r="F160" i="23"/>
  <c r="F22" i="23" s="1"/>
  <c r="D160" i="23"/>
  <c r="D22" i="23" s="1"/>
  <c r="C160" i="23"/>
  <c r="C22" i="23" s="1"/>
  <c r="K145" i="23"/>
  <c r="K15" i="23" s="1"/>
  <c r="D134" i="23"/>
  <c r="C134" i="23"/>
  <c r="I15" i="23"/>
  <c r="I134" i="23"/>
  <c r="G15" i="23"/>
  <c r="I160" i="23"/>
  <c r="K155" i="23"/>
  <c r="K16" i="23" s="1"/>
  <c r="L134" i="23"/>
  <c r="J134" i="23"/>
  <c r="K135" i="23"/>
  <c r="K13" i="23" s="1"/>
  <c r="F13" i="23"/>
  <c r="F134" i="23"/>
  <c r="L35" i="23"/>
  <c r="J20" i="23"/>
  <c r="J35" i="23"/>
  <c r="K70" i="23"/>
  <c r="K20" i="23" s="1"/>
  <c r="I35" i="23"/>
  <c r="G20" i="23"/>
  <c r="F20" i="23"/>
  <c r="F35" i="23"/>
  <c r="C20" i="23"/>
  <c r="I26" i="23"/>
  <c r="K26" i="23" s="1"/>
  <c r="F26" i="23"/>
  <c r="H26" i="23" s="1"/>
  <c r="C26" i="23"/>
  <c r="E26" i="23" s="1"/>
  <c r="L25" i="23"/>
  <c r="K255" i="23"/>
  <c r="K25" i="23" s="1"/>
  <c r="C25" i="23"/>
  <c r="N248" i="23"/>
  <c r="M237" i="23"/>
  <c r="M17" i="23" s="1"/>
  <c r="I237" i="23"/>
  <c r="I17" i="23" s="1"/>
  <c r="G237" i="23"/>
  <c r="G17" i="23" s="1"/>
  <c r="C237" i="23"/>
  <c r="C17" i="23" s="1"/>
  <c r="N196" i="23"/>
  <c r="H196" i="23"/>
  <c r="N190" i="23"/>
  <c r="H190" i="23"/>
  <c r="N161" i="23"/>
  <c r="H161" i="23"/>
  <c r="H155" i="23"/>
  <c r="H16" i="23" s="1"/>
  <c r="H145" i="23"/>
  <c r="H15" i="23" s="1"/>
  <c r="K96" i="23"/>
  <c r="K23" i="23" s="1"/>
  <c r="H56" i="23"/>
  <c r="H19" i="23" s="1"/>
  <c r="I18" i="23"/>
  <c r="H18" i="23"/>
  <c r="N36" i="23"/>
  <c r="N18" i="23" s="1"/>
  <c r="N56" i="23"/>
  <c r="N19" i="23" s="1"/>
  <c r="N70" i="23"/>
  <c r="N20" i="23" s="1"/>
  <c r="N96" i="23"/>
  <c r="N23" i="23" s="1"/>
  <c r="N126" i="23"/>
  <c r="N24" i="23" s="1"/>
  <c r="N155" i="23"/>
  <c r="N16" i="23" s="1"/>
  <c r="N238" i="23"/>
  <c r="E248" i="23"/>
  <c r="N267" i="23"/>
  <c r="N80" i="23"/>
  <c r="N21" i="23" s="1"/>
  <c r="N135" i="23"/>
  <c r="N13" i="23" s="1"/>
  <c r="N145" i="23"/>
  <c r="N15" i="23" s="1"/>
  <c r="N26" i="23"/>
  <c r="N27" i="23"/>
  <c r="E18" i="23"/>
  <c r="E56" i="23"/>
  <c r="E19" i="23" s="1"/>
  <c r="E70" i="23"/>
  <c r="E20" i="23" s="1"/>
  <c r="H70" i="23"/>
  <c r="H20" i="23" s="1"/>
  <c r="E80" i="23"/>
  <c r="E21" i="23" s="1"/>
  <c r="H80" i="23"/>
  <c r="H21" i="23" s="1"/>
  <c r="E96" i="23"/>
  <c r="E23" i="23" s="1"/>
  <c r="H96" i="23"/>
  <c r="H23" i="23" s="1"/>
  <c r="E126" i="23"/>
  <c r="E24" i="23" s="1"/>
  <c r="H126" i="23"/>
  <c r="H24" i="23" s="1"/>
  <c r="E135" i="23"/>
  <c r="E13" i="23" s="1"/>
  <c r="E145" i="23"/>
  <c r="E15" i="23" s="1"/>
  <c r="E155" i="23"/>
  <c r="E16" i="23" s="1"/>
  <c r="E161" i="23"/>
  <c r="E190" i="23"/>
  <c r="E196" i="23"/>
  <c r="E238" i="23"/>
  <c r="H248" i="23"/>
  <c r="K248" i="23"/>
  <c r="H255" i="23"/>
  <c r="H25" i="23" s="1"/>
  <c r="E207" i="22"/>
  <c r="D14" i="23" l="1"/>
  <c r="D12" i="23" s="1"/>
  <c r="N160" i="23"/>
  <c r="N22" i="23" s="1"/>
  <c r="L14" i="23"/>
  <c r="L12" i="23" s="1"/>
  <c r="N134" i="23"/>
  <c r="F14" i="23"/>
  <c r="F12" i="23" s="1"/>
  <c r="H160" i="23"/>
  <c r="H22" i="23" s="1"/>
  <c r="J14" i="23"/>
  <c r="J12" i="23" s="1"/>
  <c r="J11" i="23" s="1"/>
  <c r="K160" i="23"/>
  <c r="K22" i="23" s="1"/>
  <c r="I22" i="23"/>
  <c r="I14" i="23" s="1"/>
  <c r="K134" i="23"/>
  <c r="H134" i="23"/>
  <c r="N35" i="23"/>
  <c r="E134" i="23"/>
  <c r="H35" i="23"/>
  <c r="M14" i="23"/>
  <c r="M12" i="23" s="1"/>
  <c r="M11" i="23" s="1"/>
  <c r="G14" i="23"/>
  <c r="G12" i="23" s="1"/>
  <c r="G11" i="23" s="1"/>
  <c r="E160" i="23"/>
  <c r="E22" i="23" s="1"/>
  <c r="C14" i="23"/>
  <c r="C12" i="23" s="1"/>
  <c r="C11" i="23" s="1"/>
  <c r="K35" i="23"/>
  <c r="N237" i="23"/>
  <c r="N17" i="23" s="1"/>
  <c r="H237" i="23"/>
  <c r="H17" i="23" s="1"/>
  <c r="K237" i="23"/>
  <c r="K17" i="23" s="1"/>
  <c r="E237" i="23"/>
  <c r="E17" i="23" s="1"/>
  <c r="N273" i="22"/>
  <c r="K14" i="23" l="1"/>
  <c r="H12" i="23"/>
  <c r="N14" i="23"/>
  <c r="H14" i="23"/>
  <c r="E14" i="23"/>
  <c r="I12" i="23"/>
  <c r="K12" i="23" s="1"/>
  <c r="F11" i="23"/>
  <c r="H11" i="23" s="1"/>
  <c r="N12" i="23"/>
  <c r="L11" i="23"/>
  <c r="N11" i="23" s="1"/>
  <c r="D11" i="23"/>
  <c r="E11" i="23" s="1"/>
  <c r="E12" i="23"/>
  <c r="N269" i="22"/>
  <c r="N270" i="22"/>
  <c r="N271" i="22"/>
  <c r="N272" i="22"/>
  <c r="N274" i="22"/>
  <c r="N275" i="22"/>
  <c r="N276" i="22"/>
  <c r="N277" i="22"/>
  <c r="N278" i="22"/>
  <c r="N279" i="22"/>
  <c r="N268" i="22"/>
  <c r="M269" i="22"/>
  <c r="C271" i="22"/>
  <c r="I11" i="23" l="1"/>
  <c r="K11" i="23" s="1"/>
  <c r="F10" i="21"/>
  <c r="F9" i="21"/>
  <c r="F8" i="21"/>
  <c r="F6" i="21"/>
  <c r="E105" i="22" l="1"/>
  <c r="K116" i="22"/>
  <c r="E74" i="22"/>
  <c r="H47" i="22"/>
  <c r="E191" i="22" l="1"/>
  <c r="K296" i="22" l="1"/>
  <c r="H296" i="22"/>
  <c r="E296" i="22"/>
  <c r="M295" i="22"/>
  <c r="L295" i="22"/>
  <c r="J295" i="22"/>
  <c r="I295" i="22"/>
  <c r="G295" i="22"/>
  <c r="F295" i="22"/>
  <c r="D295" i="22"/>
  <c r="C295" i="22"/>
  <c r="N292" i="22"/>
  <c r="K292" i="22"/>
  <c r="H292" i="22"/>
  <c r="E292" i="22"/>
  <c r="N291" i="22"/>
  <c r="K291" i="22"/>
  <c r="H291" i="22"/>
  <c r="E291" i="22"/>
  <c r="N290" i="22"/>
  <c r="K290" i="22"/>
  <c r="H290" i="22"/>
  <c r="E290" i="22"/>
  <c r="N289" i="22"/>
  <c r="K289" i="22"/>
  <c r="H289" i="22"/>
  <c r="E289" i="22"/>
  <c r="N288" i="22"/>
  <c r="K288" i="22"/>
  <c r="H288" i="22"/>
  <c r="E288" i="22"/>
  <c r="M287" i="22"/>
  <c r="L287" i="22"/>
  <c r="J287" i="22"/>
  <c r="I287" i="22"/>
  <c r="G287" i="22"/>
  <c r="F287" i="22"/>
  <c r="D287" i="22"/>
  <c r="C287" i="22"/>
  <c r="N284" i="22"/>
  <c r="K284" i="22"/>
  <c r="H284" i="22"/>
  <c r="E284" i="22"/>
  <c r="N283" i="22"/>
  <c r="K283" i="22"/>
  <c r="H283" i="22"/>
  <c r="E283" i="22"/>
  <c r="N282" i="22"/>
  <c r="K282" i="22"/>
  <c r="H282" i="22"/>
  <c r="E282" i="22"/>
  <c r="N281" i="22"/>
  <c r="K281" i="22"/>
  <c r="H281" i="22"/>
  <c r="E281" i="22"/>
  <c r="N280" i="22"/>
  <c r="K280" i="22"/>
  <c r="H280" i="22"/>
  <c r="E280" i="22"/>
  <c r="K279" i="22"/>
  <c r="H279" i="22"/>
  <c r="E279" i="22"/>
  <c r="K278" i="22"/>
  <c r="H278" i="22"/>
  <c r="E278" i="22"/>
  <c r="K277" i="22"/>
  <c r="H277" i="22"/>
  <c r="E277" i="22"/>
  <c r="K276" i="22"/>
  <c r="H276" i="22"/>
  <c r="E276" i="22"/>
  <c r="K275" i="22"/>
  <c r="H275" i="22"/>
  <c r="E275" i="22"/>
  <c r="K274" i="22"/>
  <c r="H274" i="22"/>
  <c r="E274" i="22"/>
  <c r="K273" i="22"/>
  <c r="H273" i="22"/>
  <c r="E273" i="22"/>
  <c r="K272" i="22"/>
  <c r="H272" i="22"/>
  <c r="E272" i="22"/>
  <c r="K271" i="22"/>
  <c r="H271" i="22"/>
  <c r="E271" i="22"/>
  <c r="K270" i="22"/>
  <c r="H270" i="22"/>
  <c r="E270" i="22"/>
  <c r="K269" i="22"/>
  <c r="H269" i="22"/>
  <c r="E269" i="22"/>
  <c r="K268" i="22"/>
  <c r="H268" i="22"/>
  <c r="E268" i="22"/>
  <c r="M267" i="22"/>
  <c r="L267" i="22"/>
  <c r="L26" i="22" s="1"/>
  <c r="J267" i="22"/>
  <c r="I267" i="22"/>
  <c r="I26" i="22" s="1"/>
  <c r="G267" i="22"/>
  <c r="F267" i="22"/>
  <c r="F26" i="22" s="1"/>
  <c r="D267" i="22"/>
  <c r="D26" i="22" s="1"/>
  <c r="C267" i="22"/>
  <c r="C26" i="22" s="1"/>
  <c r="N264" i="22"/>
  <c r="K264" i="22"/>
  <c r="H264" i="22"/>
  <c r="E264" i="22"/>
  <c r="N263" i="22"/>
  <c r="K263" i="22"/>
  <c r="H263" i="22"/>
  <c r="E263" i="22"/>
  <c r="N262" i="22"/>
  <c r="K262" i="22"/>
  <c r="H262" i="22"/>
  <c r="E262" i="22"/>
  <c r="N261" i="22"/>
  <c r="K261" i="22"/>
  <c r="H261" i="22"/>
  <c r="E261" i="22"/>
  <c r="N260" i="22"/>
  <c r="K260" i="22"/>
  <c r="H260" i="22"/>
  <c r="E260" i="22"/>
  <c r="N259" i="22"/>
  <c r="K259" i="22"/>
  <c r="H259" i="22"/>
  <c r="E259" i="22"/>
  <c r="N258" i="22"/>
  <c r="K258" i="22"/>
  <c r="H258" i="22"/>
  <c r="E258" i="22"/>
  <c r="N257" i="22"/>
  <c r="K257" i="22"/>
  <c r="H257" i="22"/>
  <c r="E257" i="22"/>
  <c r="N256" i="22"/>
  <c r="K256" i="22"/>
  <c r="H256" i="22"/>
  <c r="E256" i="22"/>
  <c r="M255" i="22"/>
  <c r="L255" i="22"/>
  <c r="J255" i="22"/>
  <c r="I255" i="22"/>
  <c r="I25" i="22" s="1"/>
  <c r="G255" i="22"/>
  <c r="F255" i="22"/>
  <c r="D255" i="22"/>
  <c r="C255" i="22"/>
  <c r="C25" i="22" s="1"/>
  <c r="N253" i="22"/>
  <c r="K253" i="22"/>
  <c r="H253" i="22"/>
  <c r="E253" i="22"/>
  <c r="N252" i="22"/>
  <c r="K252" i="22"/>
  <c r="H252" i="22"/>
  <c r="E252" i="22"/>
  <c r="N251" i="22"/>
  <c r="K251" i="22"/>
  <c r="H251" i="22"/>
  <c r="E251" i="22"/>
  <c r="N250" i="22"/>
  <c r="K250" i="22"/>
  <c r="H250" i="22"/>
  <c r="E250" i="22"/>
  <c r="N249" i="22"/>
  <c r="K249" i="22"/>
  <c r="H249" i="22"/>
  <c r="E249" i="22"/>
  <c r="M248" i="22"/>
  <c r="L248" i="22"/>
  <c r="J248" i="22"/>
  <c r="I248" i="22"/>
  <c r="K248" i="22" s="1"/>
  <c r="G248" i="22"/>
  <c r="F248" i="22"/>
  <c r="D248" i="22"/>
  <c r="C248" i="22"/>
  <c r="E248" i="22" s="1"/>
  <c r="N246" i="22"/>
  <c r="K246" i="22"/>
  <c r="H246" i="22"/>
  <c r="E246" i="22"/>
  <c r="N245" i="22"/>
  <c r="K245" i="22"/>
  <c r="H245" i="22"/>
  <c r="E245" i="22"/>
  <c r="N244" i="22"/>
  <c r="K244" i="22"/>
  <c r="H244" i="22"/>
  <c r="N243" i="22"/>
  <c r="K243" i="22"/>
  <c r="H243" i="22"/>
  <c r="E243" i="22"/>
  <c r="N242" i="22"/>
  <c r="K242" i="22"/>
  <c r="H242" i="22"/>
  <c r="E242" i="22"/>
  <c r="N241" i="22"/>
  <c r="K241" i="22"/>
  <c r="H241" i="22"/>
  <c r="E241" i="22"/>
  <c r="N240" i="22"/>
  <c r="K240" i="22"/>
  <c r="H240" i="22"/>
  <c r="E240" i="22"/>
  <c r="N239" i="22"/>
  <c r="K239" i="22"/>
  <c r="H239" i="22"/>
  <c r="E239" i="22"/>
  <c r="M238" i="22"/>
  <c r="L238" i="22"/>
  <c r="J238" i="22"/>
  <c r="J237" i="22" s="1"/>
  <c r="J17" i="22" s="1"/>
  <c r="I238" i="22"/>
  <c r="G238" i="22"/>
  <c r="F238" i="22"/>
  <c r="D238" i="22"/>
  <c r="D237" i="22" s="1"/>
  <c r="D17" i="22" s="1"/>
  <c r="C238" i="22"/>
  <c r="N235" i="22"/>
  <c r="K235" i="22"/>
  <c r="H235" i="22"/>
  <c r="E235" i="22"/>
  <c r="N234" i="22"/>
  <c r="K234" i="22"/>
  <c r="H234" i="22"/>
  <c r="E234" i="22"/>
  <c r="N233" i="22"/>
  <c r="K233" i="22"/>
  <c r="H233" i="22"/>
  <c r="E233" i="22"/>
  <c r="N232" i="22"/>
  <c r="K232" i="22"/>
  <c r="H232" i="22"/>
  <c r="E232" i="22"/>
  <c r="N231" i="22"/>
  <c r="K231" i="22"/>
  <c r="H231" i="22"/>
  <c r="E231" i="22"/>
  <c r="N230" i="22"/>
  <c r="K230" i="22"/>
  <c r="H230" i="22"/>
  <c r="E230" i="22"/>
  <c r="N229" i="22"/>
  <c r="K229" i="22"/>
  <c r="H229" i="22"/>
  <c r="E229" i="22"/>
  <c r="N228" i="22"/>
  <c r="K228" i="22"/>
  <c r="H228" i="22"/>
  <c r="E228" i="22"/>
  <c r="N227" i="22"/>
  <c r="K227" i="22"/>
  <c r="H227" i="22"/>
  <c r="E227" i="22"/>
  <c r="N226" i="22"/>
  <c r="K226" i="22"/>
  <c r="H226" i="22"/>
  <c r="E226" i="22"/>
  <c r="N225" i="22"/>
  <c r="K225" i="22"/>
  <c r="H225" i="22"/>
  <c r="E225" i="22"/>
  <c r="N224" i="22"/>
  <c r="K224" i="22"/>
  <c r="H224" i="22"/>
  <c r="E224" i="22"/>
  <c r="N223" i="22"/>
  <c r="K223" i="22"/>
  <c r="H223" i="22"/>
  <c r="E223" i="22"/>
  <c r="N222" i="22"/>
  <c r="K222" i="22"/>
  <c r="H222" i="22"/>
  <c r="E222" i="22"/>
  <c r="N221" i="22"/>
  <c r="K221" i="22"/>
  <c r="H221" i="22"/>
  <c r="E221" i="22"/>
  <c r="N220" i="22"/>
  <c r="K220" i="22"/>
  <c r="H220" i="22"/>
  <c r="E220" i="22"/>
  <c r="N219" i="22"/>
  <c r="K219" i="22"/>
  <c r="H219" i="22"/>
  <c r="E219" i="22"/>
  <c r="N218" i="22"/>
  <c r="K218" i="22"/>
  <c r="H218" i="22"/>
  <c r="E218" i="22"/>
  <c r="N217" i="22"/>
  <c r="K217" i="22"/>
  <c r="H217" i="22"/>
  <c r="E217" i="22"/>
  <c r="N216" i="22"/>
  <c r="K216" i="22"/>
  <c r="H216" i="22"/>
  <c r="E216" i="22"/>
  <c r="N215" i="22"/>
  <c r="K215" i="22"/>
  <c r="H215" i="22"/>
  <c r="E215" i="22"/>
  <c r="N214" i="22"/>
  <c r="K214" i="22"/>
  <c r="H214" i="22"/>
  <c r="E214" i="22"/>
  <c r="N213" i="22"/>
  <c r="K213" i="22"/>
  <c r="H213" i="22"/>
  <c r="E213" i="22"/>
  <c r="N212" i="22"/>
  <c r="K212" i="22"/>
  <c r="H212" i="22"/>
  <c r="E212" i="22"/>
  <c r="N211" i="22"/>
  <c r="K211" i="22"/>
  <c r="H211" i="22"/>
  <c r="E211" i="22"/>
  <c r="N210" i="22"/>
  <c r="K210" i="22"/>
  <c r="H210" i="22"/>
  <c r="E210" i="22"/>
  <c r="N209" i="22"/>
  <c r="K209" i="22"/>
  <c r="H209" i="22"/>
  <c r="E209" i="22"/>
  <c r="N208" i="22"/>
  <c r="K208" i="22"/>
  <c r="H208" i="22"/>
  <c r="E208" i="22"/>
  <c r="N207" i="22"/>
  <c r="K207" i="22"/>
  <c r="H207" i="22"/>
  <c r="N206" i="22"/>
  <c r="K206" i="22"/>
  <c r="H206" i="22"/>
  <c r="E206" i="22"/>
  <c r="N205" i="22"/>
  <c r="K205" i="22"/>
  <c r="H205" i="22"/>
  <c r="E205" i="22"/>
  <c r="N204" i="22"/>
  <c r="K204" i="22"/>
  <c r="H204" i="22"/>
  <c r="E204" i="22"/>
  <c r="N203" i="22"/>
  <c r="K203" i="22"/>
  <c r="H203" i="22"/>
  <c r="E203" i="22"/>
  <c r="N202" i="22"/>
  <c r="K202" i="22"/>
  <c r="H202" i="22"/>
  <c r="E202" i="22"/>
  <c r="N201" i="22"/>
  <c r="K201" i="22"/>
  <c r="H201" i="22"/>
  <c r="E201" i="22"/>
  <c r="N200" i="22"/>
  <c r="K200" i="22"/>
  <c r="H200" i="22"/>
  <c r="E200" i="22"/>
  <c r="N199" i="22"/>
  <c r="K199" i="22"/>
  <c r="H199" i="22"/>
  <c r="E199" i="22"/>
  <c r="N198" i="22"/>
  <c r="K198" i="22"/>
  <c r="H198" i="22"/>
  <c r="E198" i="22"/>
  <c r="N197" i="22"/>
  <c r="K197" i="22"/>
  <c r="H197" i="22"/>
  <c r="E197" i="22"/>
  <c r="N196" i="22"/>
  <c r="K196" i="22"/>
  <c r="H196" i="22"/>
  <c r="E196" i="22"/>
  <c r="M195" i="22"/>
  <c r="L195" i="22"/>
  <c r="J195" i="22"/>
  <c r="I195" i="22"/>
  <c r="G195" i="22"/>
  <c r="F195" i="22"/>
  <c r="D195" i="22"/>
  <c r="C195" i="22"/>
  <c r="N193" i="22"/>
  <c r="K193" i="22"/>
  <c r="H193" i="22"/>
  <c r="E193" i="22"/>
  <c r="N192" i="22"/>
  <c r="K192" i="22"/>
  <c r="H192" i="22"/>
  <c r="E192" i="22"/>
  <c r="N191" i="22"/>
  <c r="K191" i="22"/>
  <c r="H191" i="22"/>
  <c r="N190" i="22"/>
  <c r="K190" i="22"/>
  <c r="H190" i="22"/>
  <c r="E190" i="22"/>
  <c r="M189" i="22"/>
  <c r="L189" i="22"/>
  <c r="J189" i="22"/>
  <c r="I189" i="22"/>
  <c r="G189" i="22"/>
  <c r="F189" i="22"/>
  <c r="D189" i="22"/>
  <c r="C189" i="22"/>
  <c r="N187" i="22"/>
  <c r="K187" i="22"/>
  <c r="H187" i="22"/>
  <c r="E187" i="22"/>
  <c r="N186" i="22"/>
  <c r="K186" i="22"/>
  <c r="H186" i="22"/>
  <c r="E186" i="22"/>
  <c r="N185" i="22"/>
  <c r="K185" i="22"/>
  <c r="H185" i="22"/>
  <c r="E185" i="22"/>
  <c r="N184" i="22"/>
  <c r="K184" i="22"/>
  <c r="H184" i="22"/>
  <c r="E184" i="22"/>
  <c r="N183" i="22"/>
  <c r="K183" i="22"/>
  <c r="H183" i="22"/>
  <c r="E183" i="22"/>
  <c r="N182" i="22"/>
  <c r="K182" i="22"/>
  <c r="H182" i="22"/>
  <c r="E182" i="22"/>
  <c r="N181" i="22"/>
  <c r="K181" i="22"/>
  <c r="H181" i="22"/>
  <c r="E181" i="22"/>
  <c r="N180" i="22"/>
  <c r="K180" i="22"/>
  <c r="H180" i="22"/>
  <c r="E180" i="22"/>
  <c r="N179" i="22"/>
  <c r="K179" i="22"/>
  <c r="H179" i="22"/>
  <c r="E179" i="22"/>
  <c r="N178" i="22"/>
  <c r="K178" i="22"/>
  <c r="H178" i="22"/>
  <c r="E178" i="22"/>
  <c r="N177" i="22"/>
  <c r="K177" i="22"/>
  <c r="H177" i="22"/>
  <c r="E177" i="22"/>
  <c r="N176" i="22"/>
  <c r="K176" i="22"/>
  <c r="H176" i="22"/>
  <c r="E176" i="22"/>
  <c r="N175" i="22"/>
  <c r="K175" i="22"/>
  <c r="H175" i="22"/>
  <c r="E175" i="22"/>
  <c r="N174" i="22"/>
  <c r="K174" i="22"/>
  <c r="H174" i="22"/>
  <c r="E174" i="22"/>
  <c r="N173" i="22"/>
  <c r="K173" i="22"/>
  <c r="H173" i="22"/>
  <c r="E173" i="22"/>
  <c r="N172" i="22"/>
  <c r="K172" i="22"/>
  <c r="H172" i="22"/>
  <c r="E172" i="22"/>
  <c r="N171" i="22"/>
  <c r="K171" i="22"/>
  <c r="H171" i="22"/>
  <c r="E171" i="22"/>
  <c r="N170" i="22"/>
  <c r="K170" i="22"/>
  <c r="H170" i="22"/>
  <c r="E170" i="22"/>
  <c r="N169" i="22"/>
  <c r="K169" i="22"/>
  <c r="H169" i="22"/>
  <c r="E169" i="22"/>
  <c r="N168" i="22"/>
  <c r="K168" i="22"/>
  <c r="H168" i="22"/>
  <c r="E168" i="22"/>
  <c r="N167" i="22"/>
  <c r="K167" i="22"/>
  <c r="H167" i="22"/>
  <c r="E167" i="22"/>
  <c r="N166" i="22"/>
  <c r="K166" i="22"/>
  <c r="H166" i="22"/>
  <c r="E166" i="22"/>
  <c r="N165" i="22"/>
  <c r="K165" i="22"/>
  <c r="H165" i="22"/>
  <c r="E165" i="22"/>
  <c r="N164" i="22"/>
  <c r="K164" i="22"/>
  <c r="H164" i="22"/>
  <c r="E164" i="22"/>
  <c r="N163" i="22"/>
  <c r="K163" i="22"/>
  <c r="H163" i="22"/>
  <c r="E163" i="22"/>
  <c r="N162" i="22"/>
  <c r="K162" i="22"/>
  <c r="H162" i="22"/>
  <c r="E162" i="22"/>
  <c r="M161" i="22"/>
  <c r="L161" i="22"/>
  <c r="J161" i="22"/>
  <c r="I161" i="22"/>
  <c r="G161" i="22"/>
  <c r="F161" i="22"/>
  <c r="D161" i="22"/>
  <c r="C161" i="22"/>
  <c r="N158" i="22"/>
  <c r="K158" i="22"/>
  <c r="H158" i="22"/>
  <c r="E158" i="22"/>
  <c r="N157" i="22"/>
  <c r="K157" i="22"/>
  <c r="H157" i="22"/>
  <c r="E157" i="22"/>
  <c r="N156" i="22"/>
  <c r="K156" i="22"/>
  <c r="H156" i="22"/>
  <c r="E156" i="22"/>
  <c r="M155" i="22"/>
  <c r="L155" i="22"/>
  <c r="J155" i="22"/>
  <c r="I155" i="22"/>
  <c r="I16" i="22" s="1"/>
  <c r="G155" i="22"/>
  <c r="F155" i="22"/>
  <c r="D155" i="22"/>
  <c r="C155" i="22"/>
  <c r="C16" i="22" s="1"/>
  <c r="N153" i="22"/>
  <c r="K153" i="22"/>
  <c r="H153" i="22"/>
  <c r="E153" i="22"/>
  <c r="N152" i="22"/>
  <c r="K152" i="22"/>
  <c r="H152" i="22"/>
  <c r="E152" i="22"/>
  <c r="N151" i="22"/>
  <c r="K151" i="22"/>
  <c r="H151" i="22"/>
  <c r="E151" i="22"/>
  <c r="N150" i="22"/>
  <c r="K150" i="22"/>
  <c r="H150" i="22"/>
  <c r="E150" i="22"/>
  <c r="N149" i="22"/>
  <c r="K149" i="22"/>
  <c r="H149" i="22"/>
  <c r="E149" i="22"/>
  <c r="N148" i="22"/>
  <c r="K148" i="22"/>
  <c r="H148" i="22"/>
  <c r="E148" i="22"/>
  <c r="N147" i="22"/>
  <c r="K147" i="22"/>
  <c r="H147" i="22"/>
  <c r="E147" i="22"/>
  <c r="N146" i="22"/>
  <c r="K146" i="22"/>
  <c r="H146" i="22"/>
  <c r="E146" i="22"/>
  <c r="M145" i="22"/>
  <c r="L145" i="22"/>
  <c r="J145" i="22"/>
  <c r="I145" i="22"/>
  <c r="I15" i="22" s="1"/>
  <c r="G145" i="22"/>
  <c r="F145" i="22"/>
  <c r="D145" i="22"/>
  <c r="C145" i="22"/>
  <c r="C15" i="22" s="1"/>
  <c r="N143" i="22"/>
  <c r="K143" i="22"/>
  <c r="H143" i="22"/>
  <c r="E143" i="22"/>
  <c r="N142" i="22"/>
  <c r="K142" i="22"/>
  <c r="H142" i="22"/>
  <c r="E142" i="22"/>
  <c r="N141" i="22"/>
  <c r="K141" i="22"/>
  <c r="H141" i="22"/>
  <c r="E141" i="22"/>
  <c r="N140" i="22"/>
  <c r="K140" i="22"/>
  <c r="H140" i="22"/>
  <c r="E140" i="22"/>
  <c r="N139" i="22"/>
  <c r="K139" i="22"/>
  <c r="H139" i="22"/>
  <c r="E139" i="22"/>
  <c r="N138" i="22"/>
  <c r="K138" i="22"/>
  <c r="H138" i="22"/>
  <c r="E138" i="22"/>
  <c r="N137" i="22"/>
  <c r="K137" i="22"/>
  <c r="H137" i="22"/>
  <c r="E137" i="22"/>
  <c r="N136" i="22"/>
  <c r="K136" i="22"/>
  <c r="H136" i="22"/>
  <c r="E136" i="22"/>
  <c r="M135" i="22"/>
  <c r="L135" i="22"/>
  <c r="J135" i="22"/>
  <c r="I135" i="22"/>
  <c r="I13" i="22" s="1"/>
  <c r="G135" i="22"/>
  <c r="F135" i="22"/>
  <c r="D135" i="22"/>
  <c r="C135" i="22"/>
  <c r="C13" i="22" s="1"/>
  <c r="M134" i="22"/>
  <c r="L134" i="22"/>
  <c r="J134" i="22"/>
  <c r="I134" i="22"/>
  <c r="G134" i="22"/>
  <c r="F134" i="22"/>
  <c r="D134" i="22"/>
  <c r="C134" i="22"/>
  <c r="N132" i="22"/>
  <c r="K132" i="22"/>
  <c r="H132" i="22"/>
  <c r="E132" i="22"/>
  <c r="N131" i="22"/>
  <c r="K131" i="22"/>
  <c r="H131" i="22"/>
  <c r="E131" i="22"/>
  <c r="N130" i="22"/>
  <c r="K130" i="22"/>
  <c r="H130" i="22"/>
  <c r="E130" i="22"/>
  <c r="N129" i="22"/>
  <c r="K129" i="22"/>
  <c r="H129" i="22"/>
  <c r="E129" i="22"/>
  <c r="N128" i="22"/>
  <c r="K128" i="22"/>
  <c r="H128" i="22"/>
  <c r="E128" i="22"/>
  <c r="N127" i="22"/>
  <c r="K127" i="22"/>
  <c r="H127" i="22"/>
  <c r="E127" i="22"/>
  <c r="M126" i="22"/>
  <c r="L126" i="22"/>
  <c r="J126" i="22"/>
  <c r="I126" i="22"/>
  <c r="G126" i="22"/>
  <c r="F126" i="22"/>
  <c r="D126" i="22"/>
  <c r="C126" i="22"/>
  <c r="C24" i="22" s="1"/>
  <c r="N124" i="22"/>
  <c r="K124" i="22"/>
  <c r="H124" i="22"/>
  <c r="E124" i="22"/>
  <c r="N123" i="22"/>
  <c r="K123" i="22"/>
  <c r="H123" i="22"/>
  <c r="E123" i="22"/>
  <c r="N122" i="22"/>
  <c r="K122" i="22"/>
  <c r="H122" i="22"/>
  <c r="E122" i="22"/>
  <c r="N121" i="22"/>
  <c r="K121" i="22"/>
  <c r="H121" i="22"/>
  <c r="E121" i="22"/>
  <c r="N120" i="22"/>
  <c r="K120" i="22"/>
  <c r="H120" i="22"/>
  <c r="E120" i="22"/>
  <c r="N119" i="22"/>
  <c r="K119" i="22"/>
  <c r="H119" i="22"/>
  <c r="E119" i="22"/>
  <c r="N118" i="22"/>
  <c r="K118" i="22"/>
  <c r="H118" i="22"/>
  <c r="E118" i="22"/>
  <c r="N117" i="22"/>
  <c r="K117" i="22"/>
  <c r="H117" i="22"/>
  <c r="E117" i="22"/>
  <c r="N116" i="22"/>
  <c r="H116" i="22"/>
  <c r="E116" i="22"/>
  <c r="N115" i="22"/>
  <c r="K115" i="22"/>
  <c r="H115" i="22"/>
  <c r="E115" i="22"/>
  <c r="N114" i="22"/>
  <c r="K114" i="22"/>
  <c r="H114" i="22"/>
  <c r="E114" i="22"/>
  <c r="N113" i="22"/>
  <c r="K113" i="22"/>
  <c r="H113" i="22"/>
  <c r="E113" i="22"/>
  <c r="N112" i="22"/>
  <c r="K112" i="22"/>
  <c r="H112" i="22"/>
  <c r="E112" i="22"/>
  <c r="N111" i="22"/>
  <c r="K111" i="22"/>
  <c r="H111" i="22"/>
  <c r="E111" i="22"/>
  <c r="N110" i="22"/>
  <c r="K110" i="22"/>
  <c r="H110" i="22"/>
  <c r="E110" i="22"/>
  <c r="N109" i="22"/>
  <c r="K109" i="22"/>
  <c r="H109" i="22"/>
  <c r="E109" i="22"/>
  <c r="N108" i="22"/>
  <c r="K108" i="22"/>
  <c r="H108" i="22"/>
  <c r="E108" i="22"/>
  <c r="N107" i="22"/>
  <c r="K107" i="22"/>
  <c r="H107" i="22"/>
  <c r="E107" i="22"/>
  <c r="N106" i="22"/>
  <c r="K106" i="22"/>
  <c r="H106" i="22"/>
  <c r="E106" i="22"/>
  <c r="N105" i="22"/>
  <c r="K105" i="22"/>
  <c r="H105" i="22"/>
  <c r="N104" i="22"/>
  <c r="K104" i="22"/>
  <c r="H104" i="22"/>
  <c r="E104" i="22"/>
  <c r="N103" i="22"/>
  <c r="K103" i="22"/>
  <c r="H103" i="22"/>
  <c r="E103" i="22"/>
  <c r="N102" i="22"/>
  <c r="K102" i="22"/>
  <c r="H102" i="22"/>
  <c r="E102" i="22"/>
  <c r="N101" i="22"/>
  <c r="K101" i="22"/>
  <c r="H101" i="22"/>
  <c r="E101" i="22"/>
  <c r="N100" i="22"/>
  <c r="K100" i="22"/>
  <c r="H100" i="22"/>
  <c r="E100" i="22"/>
  <c r="N99" i="22"/>
  <c r="K99" i="22"/>
  <c r="H99" i="22"/>
  <c r="E99" i="22"/>
  <c r="N98" i="22"/>
  <c r="K98" i="22"/>
  <c r="H98" i="22"/>
  <c r="E98" i="22"/>
  <c r="N97" i="22"/>
  <c r="K97" i="22"/>
  <c r="H97" i="22"/>
  <c r="E97" i="22"/>
  <c r="M96" i="22"/>
  <c r="L96" i="22"/>
  <c r="L23" i="22" s="1"/>
  <c r="J96" i="22"/>
  <c r="I96" i="22"/>
  <c r="I23" i="22" s="1"/>
  <c r="G96" i="22"/>
  <c r="F96" i="22"/>
  <c r="F23" i="22" s="1"/>
  <c r="D96" i="22"/>
  <c r="C96" i="22"/>
  <c r="C23" i="22" s="1"/>
  <c r="N94" i="22"/>
  <c r="K94" i="22"/>
  <c r="H94" i="22"/>
  <c r="E94" i="22"/>
  <c r="N93" i="22"/>
  <c r="K93" i="22"/>
  <c r="H93" i="22"/>
  <c r="E93" i="22"/>
  <c r="N92" i="22"/>
  <c r="K92" i="22"/>
  <c r="H92" i="22"/>
  <c r="E92" i="22"/>
  <c r="N91" i="22"/>
  <c r="K91" i="22"/>
  <c r="H91" i="22"/>
  <c r="E91" i="22"/>
  <c r="N90" i="22"/>
  <c r="K90" i="22"/>
  <c r="H90" i="22"/>
  <c r="E90" i="22"/>
  <c r="N89" i="22"/>
  <c r="K89" i="22"/>
  <c r="H89" i="22"/>
  <c r="E89" i="22"/>
  <c r="N88" i="22"/>
  <c r="K88" i="22"/>
  <c r="H88" i="22"/>
  <c r="E88" i="22"/>
  <c r="N87" i="22"/>
  <c r="K87" i="22"/>
  <c r="H87" i="22"/>
  <c r="E87" i="22"/>
  <c r="N86" i="22"/>
  <c r="K86" i="22"/>
  <c r="H86" i="22"/>
  <c r="E86" i="22"/>
  <c r="N85" i="22"/>
  <c r="K85" i="22"/>
  <c r="H85" i="22"/>
  <c r="E85" i="22"/>
  <c r="N84" i="22"/>
  <c r="K84" i="22"/>
  <c r="H84" i="22"/>
  <c r="E84" i="22"/>
  <c r="N83" i="22"/>
  <c r="K83" i="22"/>
  <c r="H83" i="22"/>
  <c r="E83" i="22"/>
  <c r="N82" i="22"/>
  <c r="K82" i="22"/>
  <c r="H82" i="22"/>
  <c r="E82" i="22"/>
  <c r="N81" i="22"/>
  <c r="K81" i="22"/>
  <c r="H81" i="22"/>
  <c r="E81" i="22"/>
  <c r="M80" i="22"/>
  <c r="L80" i="22"/>
  <c r="L21" i="22" s="1"/>
  <c r="J80" i="22"/>
  <c r="I80" i="22"/>
  <c r="I21" i="22" s="1"/>
  <c r="G80" i="22"/>
  <c r="F80" i="22"/>
  <c r="F21" i="22" s="1"/>
  <c r="D80" i="22"/>
  <c r="C80" i="22"/>
  <c r="C21" i="22" s="1"/>
  <c r="N78" i="22"/>
  <c r="K78" i="22"/>
  <c r="H78" i="22"/>
  <c r="E78" i="22"/>
  <c r="N77" i="22"/>
  <c r="K77" i="22"/>
  <c r="H77" i="22"/>
  <c r="E77" i="22"/>
  <c r="N76" i="22"/>
  <c r="K76" i="22"/>
  <c r="H76" i="22"/>
  <c r="E76" i="22"/>
  <c r="N75" i="22"/>
  <c r="K75" i="22"/>
  <c r="H75" i="22"/>
  <c r="E75" i="22"/>
  <c r="N74" i="22"/>
  <c r="K74" i="22"/>
  <c r="H74" i="22"/>
  <c r="N73" i="22"/>
  <c r="K73" i="22"/>
  <c r="H73" i="22"/>
  <c r="E73" i="22"/>
  <c r="N72" i="22"/>
  <c r="K72" i="22"/>
  <c r="H72" i="22"/>
  <c r="E72" i="22"/>
  <c r="N71" i="22"/>
  <c r="K71" i="22"/>
  <c r="H71" i="22"/>
  <c r="E71" i="22"/>
  <c r="M70" i="22"/>
  <c r="L70" i="22"/>
  <c r="L20" i="22" s="1"/>
  <c r="J70" i="22"/>
  <c r="J20" i="22" s="1"/>
  <c r="I70" i="22"/>
  <c r="I20" i="22" s="1"/>
  <c r="G70" i="22"/>
  <c r="F70" i="22"/>
  <c r="F20" i="22" s="1"/>
  <c r="D70" i="22"/>
  <c r="D20" i="22" s="1"/>
  <c r="C70" i="22"/>
  <c r="C20" i="22" s="1"/>
  <c r="N68" i="22"/>
  <c r="K68" i="22"/>
  <c r="H68" i="22"/>
  <c r="E68" i="22"/>
  <c r="N67" i="22"/>
  <c r="K67" i="22"/>
  <c r="H67" i="22"/>
  <c r="E67" i="22"/>
  <c r="N66" i="22"/>
  <c r="K66" i="22"/>
  <c r="H66" i="22"/>
  <c r="E66" i="22"/>
  <c r="N65" i="22"/>
  <c r="K65" i="22"/>
  <c r="H65" i="22"/>
  <c r="E65" i="22"/>
  <c r="N64" i="22"/>
  <c r="K64" i="22"/>
  <c r="H64" i="22"/>
  <c r="E64" i="22"/>
  <c r="N63" i="22"/>
  <c r="K63" i="22"/>
  <c r="H63" i="22"/>
  <c r="E63" i="22"/>
  <c r="N62" i="22"/>
  <c r="K62" i="22"/>
  <c r="H62" i="22"/>
  <c r="E62" i="22"/>
  <c r="N61" i="22"/>
  <c r="K61" i="22"/>
  <c r="H61" i="22"/>
  <c r="E61" i="22"/>
  <c r="N60" i="22"/>
  <c r="K60" i="22"/>
  <c r="H60" i="22"/>
  <c r="E60" i="22"/>
  <c r="N59" i="22"/>
  <c r="K59" i="22"/>
  <c r="H59" i="22"/>
  <c r="E59" i="22"/>
  <c r="N58" i="22"/>
  <c r="K58" i="22"/>
  <c r="H58" i="22"/>
  <c r="E58" i="22"/>
  <c r="N57" i="22"/>
  <c r="K57" i="22"/>
  <c r="H57" i="22"/>
  <c r="E57" i="22"/>
  <c r="M56" i="22"/>
  <c r="L56" i="22"/>
  <c r="J56" i="22"/>
  <c r="J19" i="22" s="1"/>
  <c r="I56" i="22"/>
  <c r="I19" i="22" s="1"/>
  <c r="G56" i="22"/>
  <c r="F56" i="22"/>
  <c r="F19" i="22" s="1"/>
  <c r="D56" i="22"/>
  <c r="D19" i="22" s="1"/>
  <c r="C56" i="22"/>
  <c r="C19" i="22" s="1"/>
  <c r="N54" i="22"/>
  <c r="K54" i="22"/>
  <c r="H54" i="22"/>
  <c r="E54" i="22"/>
  <c r="N53" i="22"/>
  <c r="K53" i="22"/>
  <c r="H53" i="22"/>
  <c r="E53" i="22"/>
  <c r="N52" i="22"/>
  <c r="K52" i="22"/>
  <c r="H52" i="22"/>
  <c r="E52" i="22"/>
  <c r="N51" i="22"/>
  <c r="K51" i="22"/>
  <c r="H51" i="22"/>
  <c r="E51" i="22"/>
  <c r="N50" i="22"/>
  <c r="K50" i="22"/>
  <c r="H50" i="22"/>
  <c r="E50" i="22"/>
  <c r="N49" i="22"/>
  <c r="K49" i="22"/>
  <c r="H49" i="22"/>
  <c r="E49" i="22"/>
  <c r="N48" i="22"/>
  <c r="K48" i="22"/>
  <c r="H48" i="22"/>
  <c r="E48" i="22"/>
  <c r="N47" i="22"/>
  <c r="K47" i="22"/>
  <c r="E47" i="22"/>
  <c r="N46" i="22"/>
  <c r="K46" i="22"/>
  <c r="H46" i="22"/>
  <c r="E46" i="22"/>
  <c r="N45" i="22"/>
  <c r="K45" i="22"/>
  <c r="H45" i="22"/>
  <c r="E45" i="22"/>
  <c r="N44" i="22"/>
  <c r="K44" i="22"/>
  <c r="H44" i="22"/>
  <c r="E44" i="22"/>
  <c r="N43" i="22"/>
  <c r="K43" i="22"/>
  <c r="H43" i="22"/>
  <c r="E43" i="22"/>
  <c r="N42" i="22"/>
  <c r="K42" i="22"/>
  <c r="H42" i="22"/>
  <c r="E42" i="22"/>
  <c r="N41" i="22"/>
  <c r="K41" i="22"/>
  <c r="H41" i="22"/>
  <c r="E41" i="22"/>
  <c r="N40" i="22"/>
  <c r="K40" i="22"/>
  <c r="H40" i="22"/>
  <c r="E40" i="22"/>
  <c r="N39" i="22"/>
  <c r="K39" i="22"/>
  <c r="H39" i="22"/>
  <c r="E39" i="22"/>
  <c r="N38" i="22"/>
  <c r="K38" i="22"/>
  <c r="H38" i="22"/>
  <c r="E38" i="22"/>
  <c r="N37" i="22"/>
  <c r="K37" i="22"/>
  <c r="H37" i="22"/>
  <c r="E37" i="22"/>
  <c r="M36" i="22"/>
  <c r="L36" i="22"/>
  <c r="L35" i="22" s="1"/>
  <c r="J36" i="22"/>
  <c r="I36" i="22"/>
  <c r="I18" i="22" s="1"/>
  <c r="G36" i="22"/>
  <c r="F36" i="22"/>
  <c r="F35" i="22" s="1"/>
  <c r="D36" i="22"/>
  <c r="C36" i="22"/>
  <c r="C18" i="22" s="1"/>
  <c r="M28" i="22"/>
  <c r="L28" i="22"/>
  <c r="J28" i="22"/>
  <c r="I28" i="22"/>
  <c r="G28" i="22"/>
  <c r="F28" i="22"/>
  <c r="H28" i="22" s="1"/>
  <c r="D28" i="22"/>
  <c r="C28" i="22"/>
  <c r="M27" i="22"/>
  <c r="L27" i="22"/>
  <c r="J27" i="22"/>
  <c r="I27" i="22"/>
  <c r="G27" i="22"/>
  <c r="F27" i="22"/>
  <c r="H27" i="22" s="1"/>
  <c r="D27" i="22"/>
  <c r="C27" i="22"/>
  <c r="J26" i="22"/>
  <c r="L25" i="22"/>
  <c r="J25" i="22"/>
  <c r="F25" i="22"/>
  <c r="D25" i="22"/>
  <c r="L24" i="22"/>
  <c r="J24" i="22"/>
  <c r="F24" i="22"/>
  <c r="D24" i="22"/>
  <c r="J23" i="22"/>
  <c r="D23" i="22"/>
  <c r="J21" i="22"/>
  <c r="D21" i="22"/>
  <c r="L19" i="22"/>
  <c r="L16" i="22"/>
  <c r="J16" i="22"/>
  <c r="F16" i="22"/>
  <c r="D16" i="22"/>
  <c r="L15" i="22"/>
  <c r="J15" i="22"/>
  <c r="F15" i="22"/>
  <c r="D15" i="22"/>
  <c r="L13" i="22"/>
  <c r="J13" i="22"/>
  <c r="F13" i="22"/>
  <c r="D13" i="22"/>
  <c r="D160" i="22" l="1"/>
  <c r="D22" i="22" s="1"/>
  <c r="L160" i="22"/>
  <c r="L22" i="22" s="1"/>
  <c r="L14" i="22" s="1"/>
  <c r="L12" i="22" s="1"/>
  <c r="L11" i="22" s="1"/>
  <c r="F160" i="22"/>
  <c r="F22" i="22" s="1"/>
  <c r="E287" i="22"/>
  <c r="K287" i="22"/>
  <c r="J160" i="22"/>
  <c r="J22" i="22" s="1"/>
  <c r="K27" i="22"/>
  <c r="K28" i="22"/>
  <c r="E295" i="22"/>
  <c r="K295" i="22"/>
  <c r="D35" i="22"/>
  <c r="J35" i="22"/>
  <c r="H161" i="22"/>
  <c r="H287" i="22"/>
  <c r="N287" i="22"/>
  <c r="H295" i="22"/>
  <c r="N126" i="22"/>
  <c r="N24" i="22" s="1"/>
  <c r="H134" i="22"/>
  <c r="H135" i="22"/>
  <c r="H13" i="22" s="1"/>
  <c r="H145" i="22"/>
  <c r="H15" i="22" s="1"/>
  <c r="N145" i="22"/>
  <c r="N15" i="22" s="1"/>
  <c r="H155" i="22"/>
  <c r="H16" i="22" s="1"/>
  <c r="N155" i="22"/>
  <c r="N16" i="22" s="1"/>
  <c r="F237" i="22"/>
  <c r="F17" i="22" s="1"/>
  <c r="L237" i="22"/>
  <c r="L17" i="22" s="1"/>
  <c r="H248" i="22"/>
  <c r="N248" i="22"/>
  <c r="H255" i="22"/>
  <c r="H25" i="22" s="1"/>
  <c r="N255" i="22"/>
  <c r="N25" i="22" s="1"/>
  <c r="H267" i="22"/>
  <c r="N267" i="22"/>
  <c r="M35" i="22"/>
  <c r="N35" i="22" s="1"/>
  <c r="F18" i="22"/>
  <c r="D18" i="22"/>
  <c r="D14" i="22" s="1"/>
  <c r="D12" i="22" s="1"/>
  <c r="D11" i="22" s="1"/>
  <c r="L18" i="22"/>
  <c r="J18" i="22"/>
  <c r="N134" i="22"/>
  <c r="M237" i="22"/>
  <c r="M17" i="22" s="1"/>
  <c r="I237" i="22"/>
  <c r="I17" i="22" s="1"/>
  <c r="G237" i="22"/>
  <c r="H237" i="22" s="1"/>
  <c r="H17" i="22" s="1"/>
  <c r="C237" i="22"/>
  <c r="C17" i="22" s="1"/>
  <c r="M160" i="22"/>
  <c r="N160" i="22" s="1"/>
  <c r="N22" i="22" s="1"/>
  <c r="I160" i="22"/>
  <c r="I22" i="22" s="1"/>
  <c r="G160" i="22"/>
  <c r="C160" i="22"/>
  <c r="C22" i="22" s="1"/>
  <c r="N189" i="22"/>
  <c r="K189" i="22"/>
  <c r="H189" i="22"/>
  <c r="E189" i="22"/>
  <c r="N195" i="22"/>
  <c r="H195" i="22"/>
  <c r="G35" i="22"/>
  <c r="H35" i="22" s="1"/>
  <c r="E238" i="22"/>
  <c r="K161" i="22"/>
  <c r="N238" i="22"/>
  <c r="K238" i="22"/>
  <c r="H238" i="22"/>
  <c r="K195" i="22"/>
  <c r="E195" i="22"/>
  <c r="N135" i="22"/>
  <c r="N13" i="22" s="1"/>
  <c r="N161" i="22"/>
  <c r="E161" i="22"/>
  <c r="K134" i="22"/>
  <c r="E134" i="22"/>
  <c r="N27" i="22"/>
  <c r="I35" i="22"/>
  <c r="C35" i="22"/>
  <c r="E36" i="22"/>
  <c r="E18" i="22" s="1"/>
  <c r="H56" i="22"/>
  <c r="H19" i="22" s="1"/>
  <c r="G19" i="22"/>
  <c r="H70" i="22"/>
  <c r="H20" i="22" s="1"/>
  <c r="G20" i="22"/>
  <c r="E80" i="22"/>
  <c r="E21" i="22" s="1"/>
  <c r="H80" i="22"/>
  <c r="H21" i="22" s="1"/>
  <c r="G21" i="22"/>
  <c r="E96" i="22"/>
  <c r="E23" i="22" s="1"/>
  <c r="H96" i="22"/>
  <c r="H23" i="22" s="1"/>
  <c r="G23" i="22"/>
  <c r="E126" i="22"/>
  <c r="E24" i="22" s="1"/>
  <c r="H126" i="22"/>
  <c r="H24" i="22" s="1"/>
  <c r="G24" i="22"/>
  <c r="H36" i="22"/>
  <c r="H18" i="22" s="1"/>
  <c r="G18" i="22"/>
  <c r="E56" i="22"/>
  <c r="E19" i="22" s="1"/>
  <c r="E70" i="22"/>
  <c r="E20" i="22" s="1"/>
  <c r="E27" i="22"/>
  <c r="E28" i="22"/>
  <c r="K36" i="22"/>
  <c r="K18" i="22" s="1"/>
  <c r="N36" i="22"/>
  <c r="N18" i="22" s="1"/>
  <c r="M18" i="22"/>
  <c r="K56" i="22"/>
  <c r="K19" i="22" s="1"/>
  <c r="N56" i="22"/>
  <c r="N19" i="22" s="1"/>
  <c r="M19" i="22"/>
  <c r="K70" i="22"/>
  <c r="K20" i="22" s="1"/>
  <c r="N70" i="22"/>
  <c r="N20" i="22" s="1"/>
  <c r="M20" i="22"/>
  <c r="K80" i="22"/>
  <c r="K21" i="22" s="1"/>
  <c r="N80" i="22"/>
  <c r="N21" i="22" s="1"/>
  <c r="M21" i="22"/>
  <c r="K96" i="22"/>
  <c r="K23" i="22" s="1"/>
  <c r="N96" i="22"/>
  <c r="N23" i="22" s="1"/>
  <c r="M23" i="22"/>
  <c r="I24" i="22"/>
  <c r="I14" i="22" s="1"/>
  <c r="K126" i="22"/>
  <c r="K24" i="22" s="1"/>
  <c r="E26" i="22"/>
  <c r="K26" i="22"/>
  <c r="E135" i="22"/>
  <c r="E13" i="22" s="1"/>
  <c r="K135" i="22"/>
  <c r="K13" i="22" s="1"/>
  <c r="E145" i="22"/>
  <c r="E15" i="22" s="1"/>
  <c r="K145" i="22"/>
  <c r="K15" i="22" s="1"/>
  <c r="E155" i="22"/>
  <c r="E16" i="22" s="1"/>
  <c r="K155" i="22"/>
  <c r="K16" i="22" s="1"/>
  <c r="K160" i="22"/>
  <c r="K22" i="22" s="1"/>
  <c r="K237" i="22"/>
  <c r="K17" i="22" s="1"/>
  <c r="E255" i="22"/>
  <c r="E25" i="22" s="1"/>
  <c r="K255" i="22"/>
  <c r="K25" i="22" s="1"/>
  <c r="E267" i="22"/>
  <c r="K267" i="22"/>
  <c r="G13" i="22"/>
  <c r="M13" i="22"/>
  <c r="G15" i="22"/>
  <c r="M15" i="22"/>
  <c r="G16" i="22"/>
  <c r="M16" i="22"/>
  <c r="G17" i="22"/>
  <c r="M24" i="22"/>
  <c r="G25" i="22"/>
  <c r="M25" i="22"/>
  <c r="G26" i="22"/>
  <c r="H26" i="22" s="1"/>
  <c r="M26" i="22"/>
  <c r="N26" i="22" s="1"/>
  <c r="K57" i="20"/>
  <c r="K58" i="20"/>
  <c r="K59" i="20"/>
  <c r="K60" i="20"/>
  <c r="K61" i="20"/>
  <c r="K62" i="20"/>
  <c r="K63" i="20"/>
  <c r="K64" i="20"/>
  <c r="K65" i="20"/>
  <c r="K66" i="20"/>
  <c r="K67" i="20"/>
  <c r="H160" i="22" l="1"/>
  <c r="H22" i="22" s="1"/>
  <c r="M22" i="22"/>
  <c r="M14" i="22" s="1"/>
  <c r="N14" i="22" s="1"/>
  <c r="J14" i="22"/>
  <c r="J12" i="22" s="1"/>
  <c r="J11" i="22" s="1"/>
  <c r="F14" i="22"/>
  <c r="F12" i="22" s="1"/>
  <c r="F11" i="22" s="1"/>
  <c r="K35" i="22"/>
  <c r="C14" i="22"/>
  <c r="E14" i="22" s="1"/>
  <c r="G22" i="22"/>
  <c r="G14" i="22" s="1"/>
  <c r="E160" i="22"/>
  <c r="E22" i="22" s="1"/>
  <c r="E35" i="22"/>
  <c r="N237" i="22"/>
  <c r="N17" i="22" s="1"/>
  <c r="E237" i="22"/>
  <c r="E17" i="22" s="1"/>
  <c r="I12" i="22"/>
  <c r="H109" i="20"/>
  <c r="K14" i="22" l="1"/>
  <c r="C12" i="22"/>
  <c r="C11" i="22" s="1"/>
  <c r="E11" i="22" s="1"/>
  <c r="H14" i="22"/>
  <c r="M12" i="22"/>
  <c r="M11" i="22" s="1"/>
  <c r="N11" i="22" s="1"/>
  <c r="G12" i="22"/>
  <c r="G11" i="22" s="1"/>
  <c r="H11" i="22" s="1"/>
  <c r="K12" i="22"/>
  <c r="I11" i="22"/>
  <c r="K11" i="22" s="1"/>
  <c r="E12" i="22"/>
  <c r="N244" i="20"/>
  <c r="K244" i="20"/>
  <c r="H244" i="20"/>
  <c r="E244" i="20"/>
  <c r="N12" i="22" l="1"/>
  <c r="H12" i="22"/>
  <c r="H10" i="21"/>
  <c r="E10" i="21"/>
  <c r="H9" i="21"/>
  <c r="E9" i="21"/>
  <c r="H8" i="21"/>
  <c r="E8" i="21"/>
  <c r="E7" i="21"/>
  <c r="H6" i="21"/>
  <c r="E6" i="21"/>
  <c r="K295" i="20"/>
  <c r="H295" i="20"/>
  <c r="E295" i="20"/>
  <c r="M294" i="20"/>
  <c r="M27" i="20" s="1"/>
  <c r="L294" i="20"/>
  <c r="J294" i="20"/>
  <c r="J27" i="20" s="1"/>
  <c r="I294" i="20"/>
  <c r="G294" i="20"/>
  <c r="G27" i="20" s="1"/>
  <c r="F294" i="20"/>
  <c r="D294" i="20"/>
  <c r="D27" i="20" s="1"/>
  <c r="C294" i="20"/>
  <c r="N291" i="20"/>
  <c r="K291" i="20"/>
  <c r="H291" i="20"/>
  <c r="E291" i="20"/>
  <c r="N290" i="20"/>
  <c r="K290" i="20"/>
  <c r="H290" i="20"/>
  <c r="E290" i="20"/>
  <c r="N289" i="20"/>
  <c r="K289" i="20"/>
  <c r="H289" i="20"/>
  <c r="E289" i="20"/>
  <c r="N288" i="20"/>
  <c r="K288" i="20"/>
  <c r="H288" i="20"/>
  <c r="E288" i="20"/>
  <c r="N287" i="20"/>
  <c r="K287" i="20"/>
  <c r="H287" i="20"/>
  <c r="E287" i="20"/>
  <c r="M286" i="20"/>
  <c r="M26" i="20" s="1"/>
  <c r="L286" i="20"/>
  <c r="J286" i="20"/>
  <c r="J26" i="20" s="1"/>
  <c r="I286" i="20"/>
  <c r="G286" i="20"/>
  <c r="G26" i="20" s="1"/>
  <c r="F286" i="20"/>
  <c r="D286" i="20"/>
  <c r="D26" i="20" s="1"/>
  <c r="C286" i="20"/>
  <c r="N283" i="20"/>
  <c r="K283" i="20"/>
  <c r="H283" i="20"/>
  <c r="E283" i="20"/>
  <c r="N282" i="20"/>
  <c r="K282" i="20"/>
  <c r="H282" i="20"/>
  <c r="E282" i="20"/>
  <c r="N281" i="20"/>
  <c r="K281" i="20"/>
  <c r="H281" i="20"/>
  <c r="E281" i="20"/>
  <c r="N280" i="20"/>
  <c r="K280" i="20"/>
  <c r="H280" i="20"/>
  <c r="E280" i="20"/>
  <c r="N279" i="20"/>
  <c r="K279" i="20"/>
  <c r="H279" i="20"/>
  <c r="E279" i="20"/>
  <c r="N278" i="20"/>
  <c r="K278" i="20"/>
  <c r="H278" i="20"/>
  <c r="E278" i="20"/>
  <c r="N277" i="20"/>
  <c r="K277" i="20"/>
  <c r="H277" i="20"/>
  <c r="E277" i="20"/>
  <c r="N276" i="20"/>
  <c r="K276" i="20"/>
  <c r="H276" i="20"/>
  <c r="E276" i="20"/>
  <c r="N275" i="20"/>
  <c r="K275" i="20"/>
  <c r="H275" i="20"/>
  <c r="E275" i="20"/>
  <c r="N274" i="20"/>
  <c r="K274" i="20"/>
  <c r="H274" i="20"/>
  <c r="E274" i="20"/>
  <c r="N273" i="20"/>
  <c r="K273" i="20"/>
  <c r="H273" i="20"/>
  <c r="E273" i="20"/>
  <c r="K272" i="20"/>
  <c r="H272" i="20"/>
  <c r="E272" i="20"/>
  <c r="N271" i="20"/>
  <c r="K271" i="20"/>
  <c r="H271" i="20"/>
  <c r="E271" i="20"/>
  <c r="N270" i="20"/>
  <c r="K270" i="20"/>
  <c r="H270" i="20"/>
  <c r="E270" i="20"/>
  <c r="N269" i="20"/>
  <c r="K269" i="20"/>
  <c r="H269" i="20"/>
  <c r="E269" i="20"/>
  <c r="N268" i="20"/>
  <c r="K268" i="20"/>
  <c r="H268" i="20"/>
  <c r="E268" i="20"/>
  <c r="K267" i="20"/>
  <c r="H267" i="20"/>
  <c r="E267" i="20"/>
  <c r="M266" i="20"/>
  <c r="M25" i="20" s="1"/>
  <c r="L266" i="20"/>
  <c r="J266" i="20"/>
  <c r="I266" i="20"/>
  <c r="I25" i="20" s="1"/>
  <c r="G266" i="20"/>
  <c r="G25" i="20" s="1"/>
  <c r="F266" i="20"/>
  <c r="D266" i="20"/>
  <c r="C266" i="20"/>
  <c r="C25" i="20" s="1"/>
  <c r="N263" i="20"/>
  <c r="K263" i="20"/>
  <c r="H263" i="20"/>
  <c r="E263" i="20"/>
  <c r="N262" i="20"/>
  <c r="K262" i="20"/>
  <c r="H262" i="20"/>
  <c r="E262" i="20"/>
  <c r="N261" i="20"/>
  <c r="K261" i="20"/>
  <c r="H261" i="20"/>
  <c r="E261" i="20"/>
  <c r="N260" i="20"/>
  <c r="K260" i="20"/>
  <c r="H260" i="20"/>
  <c r="E260" i="20"/>
  <c r="N259" i="20"/>
  <c r="K259" i="20"/>
  <c r="H259" i="20"/>
  <c r="E259" i="20"/>
  <c r="N258" i="20"/>
  <c r="K258" i="20"/>
  <c r="H258" i="20"/>
  <c r="E258" i="20"/>
  <c r="N257" i="20"/>
  <c r="K257" i="20"/>
  <c r="H257" i="20"/>
  <c r="E257" i="20"/>
  <c r="N256" i="20"/>
  <c r="K256" i="20"/>
  <c r="H256" i="20"/>
  <c r="E256" i="20"/>
  <c r="N255" i="20"/>
  <c r="K255" i="20"/>
  <c r="H255" i="20"/>
  <c r="E255" i="20"/>
  <c r="M254" i="20"/>
  <c r="M24" i="20" s="1"/>
  <c r="L254" i="20"/>
  <c r="L24" i="20" s="1"/>
  <c r="J254" i="20"/>
  <c r="I254" i="20"/>
  <c r="I24" i="20" s="1"/>
  <c r="G254" i="20"/>
  <c r="G24" i="20" s="1"/>
  <c r="F254" i="20"/>
  <c r="F24" i="20" s="1"/>
  <c r="D254" i="20"/>
  <c r="C254" i="20"/>
  <c r="C24" i="20" s="1"/>
  <c r="N252" i="20"/>
  <c r="K252" i="20"/>
  <c r="H252" i="20"/>
  <c r="E252" i="20"/>
  <c r="N251" i="20"/>
  <c r="K251" i="20"/>
  <c r="H251" i="20"/>
  <c r="E251" i="20"/>
  <c r="N250" i="20"/>
  <c r="K250" i="20"/>
  <c r="H250" i="20"/>
  <c r="E250" i="20"/>
  <c r="N249" i="20"/>
  <c r="K249" i="20"/>
  <c r="H249" i="20"/>
  <c r="E249" i="20"/>
  <c r="N248" i="20"/>
  <c r="K248" i="20"/>
  <c r="H248" i="20"/>
  <c r="E248" i="20"/>
  <c r="M247" i="20"/>
  <c r="L247" i="20"/>
  <c r="J247" i="20"/>
  <c r="I247" i="20"/>
  <c r="G247" i="20"/>
  <c r="F247" i="20"/>
  <c r="D247" i="20"/>
  <c r="C247" i="20"/>
  <c r="N245" i="20"/>
  <c r="K245" i="20"/>
  <c r="H245" i="20"/>
  <c r="E245" i="20"/>
  <c r="N243" i="20"/>
  <c r="K243" i="20"/>
  <c r="H243" i="20"/>
  <c r="E243" i="20"/>
  <c r="N242" i="20"/>
  <c r="K242" i="20"/>
  <c r="H242" i="20"/>
  <c r="E242" i="20"/>
  <c r="N241" i="20"/>
  <c r="K241" i="20"/>
  <c r="H241" i="20"/>
  <c r="E241" i="20"/>
  <c r="N240" i="20"/>
  <c r="K240" i="20"/>
  <c r="H240" i="20"/>
  <c r="E240" i="20"/>
  <c r="N239" i="20"/>
  <c r="K239" i="20"/>
  <c r="H239" i="20"/>
  <c r="E239" i="20"/>
  <c r="N238" i="20"/>
  <c r="K238" i="20"/>
  <c r="H238" i="20"/>
  <c r="E238" i="20"/>
  <c r="M237" i="20"/>
  <c r="M236" i="20" s="1"/>
  <c r="M16" i="20" s="1"/>
  <c r="L237" i="20"/>
  <c r="L236" i="20" s="1"/>
  <c r="L16" i="20" s="1"/>
  <c r="J237" i="20"/>
  <c r="I237" i="20"/>
  <c r="G237" i="20"/>
  <c r="F237" i="20"/>
  <c r="D237" i="20"/>
  <c r="C237" i="20"/>
  <c r="N234" i="20"/>
  <c r="K234" i="20"/>
  <c r="H234" i="20"/>
  <c r="E234" i="20"/>
  <c r="N233" i="20"/>
  <c r="K233" i="20"/>
  <c r="H233" i="20"/>
  <c r="E233" i="20"/>
  <c r="N232" i="20"/>
  <c r="K232" i="20"/>
  <c r="H232" i="20"/>
  <c r="E232" i="20"/>
  <c r="N231" i="20"/>
  <c r="K231" i="20"/>
  <c r="H231" i="20"/>
  <c r="E231" i="20"/>
  <c r="N230" i="20"/>
  <c r="K230" i="20"/>
  <c r="H230" i="20"/>
  <c r="E230" i="20"/>
  <c r="N229" i="20"/>
  <c r="K229" i="20"/>
  <c r="H229" i="20"/>
  <c r="E229" i="20"/>
  <c r="N228" i="20"/>
  <c r="K228" i="20"/>
  <c r="H228" i="20"/>
  <c r="E228" i="20"/>
  <c r="N227" i="20"/>
  <c r="K227" i="20"/>
  <c r="H227" i="20"/>
  <c r="E227" i="20"/>
  <c r="N226" i="20"/>
  <c r="K226" i="20"/>
  <c r="H226" i="20"/>
  <c r="E226" i="20"/>
  <c r="N225" i="20"/>
  <c r="K225" i="20"/>
  <c r="H225" i="20"/>
  <c r="E225" i="20"/>
  <c r="N224" i="20"/>
  <c r="K224" i="20"/>
  <c r="H224" i="20"/>
  <c r="E224" i="20"/>
  <c r="N223" i="20"/>
  <c r="K223" i="20"/>
  <c r="H223" i="20"/>
  <c r="E223" i="20"/>
  <c r="N222" i="20"/>
  <c r="K222" i="20"/>
  <c r="H222" i="20"/>
  <c r="E222" i="20"/>
  <c r="N221" i="20"/>
  <c r="K221" i="20"/>
  <c r="H221" i="20"/>
  <c r="E221" i="20"/>
  <c r="N220" i="20"/>
  <c r="K220" i="20"/>
  <c r="H220" i="20"/>
  <c r="E220" i="20"/>
  <c r="N219" i="20"/>
  <c r="K219" i="20"/>
  <c r="H219" i="20"/>
  <c r="E219" i="20"/>
  <c r="N218" i="20"/>
  <c r="K218" i="20"/>
  <c r="H218" i="20"/>
  <c r="E218" i="20"/>
  <c r="N217" i="20"/>
  <c r="K217" i="20"/>
  <c r="H217" i="20"/>
  <c r="E217" i="20"/>
  <c r="N216" i="20"/>
  <c r="K216" i="20"/>
  <c r="H216" i="20"/>
  <c r="E216" i="20"/>
  <c r="N215" i="20"/>
  <c r="K215" i="20"/>
  <c r="H215" i="20"/>
  <c r="E215" i="20"/>
  <c r="N214" i="20"/>
  <c r="K214" i="20"/>
  <c r="H214" i="20"/>
  <c r="E214" i="20"/>
  <c r="N213" i="20"/>
  <c r="K213" i="20"/>
  <c r="H213" i="20"/>
  <c r="E213" i="20"/>
  <c r="N212" i="20"/>
  <c r="K212" i="20"/>
  <c r="H212" i="20"/>
  <c r="E212" i="20"/>
  <c r="N211" i="20"/>
  <c r="K211" i="20"/>
  <c r="H211" i="20"/>
  <c r="E211" i="20"/>
  <c r="N210" i="20"/>
  <c r="K210" i="20"/>
  <c r="H210" i="20"/>
  <c r="E210" i="20"/>
  <c r="N209" i="20"/>
  <c r="K209" i="20"/>
  <c r="H209" i="20"/>
  <c r="E209" i="20"/>
  <c r="N208" i="20"/>
  <c r="K208" i="20"/>
  <c r="H208" i="20"/>
  <c r="E208" i="20"/>
  <c r="N207" i="20"/>
  <c r="K207" i="20"/>
  <c r="H207" i="20"/>
  <c r="E207" i="20"/>
  <c r="N206" i="20"/>
  <c r="K206" i="20"/>
  <c r="H206" i="20"/>
  <c r="E206" i="20"/>
  <c r="N205" i="20"/>
  <c r="K205" i="20"/>
  <c r="H205" i="20"/>
  <c r="E205" i="20"/>
  <c r="N204" i="20"/>
  <c r="K204" i="20"/>
  <c r="H204" i="20"/>
  <c r="E204" i="20"/>
  <c r="N203" i="20"/>
  <c r="K203" i="20"/>
  <c r="H203" i="20"/>
  <c r="E203" i="20"/>
  <c r="N202" i="20"/>
  <c r="K202" i="20"/>
  <c r="H202" i="20"/>
  <c r="E202" i="20"/>
  <c r="N201" i="20"/>
  <c r="K201" i="20"/>
  <c r="H201" i="20"/>
  <c r="E201" i="20"/>
  <c r="N200" i="20"/>
  <c r="K200" i="20"/>
  <c r="H200" i="20"/>
  <c r="E200" i="20"/>
  <c r="N199" i="20"/>
  <c r="K199" i="20"/>
  <c r="H199" i="20"/>
  <c r="E199" i="20"/>
  <c r="N198" i="20"/>
  <c r="K198" i="20"/>
  <c r="H198" i="20"/>
  <c r="E198" i="20"/>
  <c r="N197" i="20"/>
  <c r="K197" i="20"/>
  <c r="H197" i="20"/>
  <c r="E197" i="20"/>
  <c r="N196" i="20"/>
  <c r="K196" i="20"/>
  <c r="H196" i="20"/>
  <c r="E196" i="20"/>
  <c r="N195" i="20"/>
  <c r="K195" i="20"/>
  <c r="H195" i="20"/>
  <c r="E195" i="20"/>
  <c r="M194" i="20"/>
  <c r="L194" i="20"/>
  <c r="J194" i="20"/>
  <c r="I194" i="20"/>
  <c r="G194" i="20"/>
  <c r="F194" i="20"/>
  <c r="D194" i="20"/>
  <c r="C194" i="20"/>
  <c r="N192" i="20"/>
  <c r="K192" i="20"/>
  <c r="H192" i="20"/>
  <c r="E192" i="20"/>
  <c r="N191" i="20"/>
  <c r="K191" i="20"/>
  <c r="H191" i="20"/>
  <c r="E191" i="20"/>
  <c r="N190" i="20"/>
  <c r="K190" i="20"/>
  <c r="H190" i="20"/>
  <c r="E190" i="20"/>
  <c r="N189" i="20"/>
  <c r="K189" i="20"/>
  <c r="H189" i="20"/>
  <c r="E189" i="20"/>
  <c r="M188" i="20"/>
  <c r="L188" i="20"/>
  <c r="J188" i="20"/>
  <c r="I188" i="20"/>
  <c r="G188" i="20"/>
  <c r="F188" i="20"/>
  <c r="D188" i="20"/>
  <c r="C188" i="20"/>
  <c r="N186" i="20"/>
  <c r="K186" i="20"/>
  <c r="H186" i="20"/>
  <c r="E186" i="20"/>
  <c r="N185" i="20"/>
  <c r="K185" i="20"/>
  <c r="H185" i="20"/>
  <c r="E185" i="20"/>
  <c r="N184" i="20"/>
  <c r="K184" i="20"/>
  <c r="H184" i="20"/>
  <c r="E184" i="20"/>
  <c r="N183" i="20"/>
  <c r="K183" i="20"/>
  <c r="H183" i="20"/>
  <c r="E183" i="20"/>
  <c r="N182" i="20"/>
  <c r="K182" i="20"/>
  <c r="H182" i="20"/>
  <c r="E182" i="20"/>
  <c r="N181" i="20"/>
  <c r="K181" i="20"/>
  <c r="H181" i="20"/>
  <c r="E181" i="20"/>
  <c r="N180" i="20"/>
  <c r="K180" i="20"/>
  <c r="H180" i="20"/>
  <c r="E180" i="20"/>
  <c r="N179" i="20"/>
  <c r="K179" i="20"/>
  <c r="H179" i="20"/>
  <c r="E179" i="20"/>
  <c r="N178" i="20"/>
  <c r="K178" i="20"/>
  <c r="H178" i="20"/>
  <c r="E178" i="20"/>
  <c r="N177" i="20"/>
  <c r="K177" i="20"/>
  <c r="H177" i="20"/>
  <c r="E177" i="20"/>
  <c r="N176" i="20"/>
  <c r="K176" i="20"/>
  <c r="H176" i="20"/>
  <c r="E176" i="20"/>
  <c r="N175" i="20"/>
  <c r="K175" i="20"/>
  <c r="H175" i="20"/>
  <c r="E175" i="20"/>
  <c r="N174" i="20"/>
  <c r="K174" i="20"/>
  <c r="H174" i="20"/>
  <c r="E174" i="20"/>
  <c r="N173" i="20"/>
  <c r="K173" i="20"/>
  <c r="H173" i="20"/>
  <c r="E173" i="20"/>
  <c r="N172" i="20"/>
  <c r="K172" i="20"/>
  <c r="H172" i="20"/>
  <c r="E172" i="20"/>
  <c r="N171" i="20"/>
  <c r="K171" i="20"/>
  <c r="H171" i="20"/>
  <c r="E171" i="20"/>
  <c r="N170" i="20"/>
  <c r="K170" i="20"/>
  <c r="H170" i="20"/>
  <c r="E170" i="20"/>
  <c r="N169" i="20"/>
  <c r="K169" i="20"/>
  <c r="H169" i="20"/>
  <c r="E169" i="20"/>
  <c r="N168" i="20"/>
  <c r="K168" i="20"/>
  <c r="H168" i="20"/>
  <c r="E168" i="20"/>
  <c r="N167" i="20"/>
  <c r="K167" i="20"/>
  <c r="H167" i="20"/>
  <c r="E167" i="20"/>
  <c r="N166" i="20"/>
  <c r="K166" i="20"/>
  <c r="H166" i="20"/>
  <c r="E166" i="20"/>
  <c r="N165" i="20"/>
  <c r="K165" i="20"/>
  <c r="H165" i="20"/>
  <c r="E165" i="20"/>
  <c r="N164" i="20"/>
  <c r="K164" i="20"/>
  <c r="H164" i="20"/>
  <c r="E164" i="20"/>
  <c r="N163" i="20"/>
  <c r="K163" i="20"/>
  <c r="H163" i="20"/>
  <c r="E163" i="20"/>
  <c r="N162" i="20"/>
  <c r="K162" i="20"/>
  <c r="H162" i="20"/>
  <c r="E162" i="20"/>
  <c r="N161" i="20"/>
  <c r="K161" i="20"/>
  <c r="H161" i="20"/>
  <c r="E161" i="20"/>
  <c r="M160" i="20"/>
  <c r="L160" i="20"/>
  <c r="J160" i="20"/>
  <c r="I160" i="20"/>
  <c r="G160" i="20"/>
  <c r="F160" i="20"/>
  <c r="D160" i="20"/>
  <c r="C160" i="20"/>
  <c r="N157" i="20"/>
  <c r="K157" i="20"/>
  <c r="H157" i="20"/>
  <c r="E157" i="20"/>
  <c r="N156" i="20"/>
  <c r="K156" i="20"/>
  <c r="H156" i="20"/>
  <c r="E156" i="20"/>
  <c r="N155" i="20"/>
  <c r="K155" i="20"/>
  <c r="H155" i="20"/>
  <c r="E155" i="20"/>
  <c r="M154" i="20"/>
  <c r="M15" i="20" s="1"/>
  <c r="L154" i="20"/>
  <c r="L15" i="20" s="1"/>
  <c r="J154" i="20"/>
  <c r="J15" i="20" s="1"/>
  <c r="I154" i="20"/>
  <c r="I15" i="20" s="1"/>
  <c r="G154" i="20"/>
  <c r="G15" i="20" s="1"/>
  <c r="F154" i="20"/>
  <c r="F15" i="20" s="1"/>
  <c r="D154" i="20"/>
  <c r="D15" i="20" s="1"/>
  <c r="C154" i="20"/>
  <c r="C15" i="20" s="1"/>
  <c r="N152" i="20"/>
  <c r="K152" i="20"/>
  <c r="H152" i="20"/>
  <c r="E152" i="20"/>
  <c r="N151" i="20"/>
  <c r="K151" i="20"/>
  <c r="H151" i="20"/>
  <c r="E151" i="20"/>
  <c r="N150" i="20"/>
  <c r="K150" i="20"/>
  <c r="H150" i="20"/>
  <c r="E150" i="20"/>
  <c r="N149" i="20"/>
  <c r="K149" i="20"/>
  <c r="H149" i="20"/>
  <c r="E149" i="20"/>
  <c r="N148" i="20"/>
  <c r="K148" i="20"/>
  <c r="H148" i="20"/>
  <c r="E148" i="20"/>
  <c r="N147" i="20"/>
  <c r="K147" i="20"/>
  <c r="H147" i="20"/>
  <c r="E147" i="20"/>
  <c r="N146" i="20"/>
  <c r="K146" i="20"/>
  <c r="H146" i="20"/>
  <c r="E146" i="20"/>
  <c r="N145" i="20"/>
  <c r="K145" i="20"/>
  <c r="H145" i="20"/>
  <c r="E145" i="20"/>
  <c r="M144" i="20"/>
  <c r="M14" i="20" s="1"/>
  <c r="L144" i="20"/>
  <c r="L14" i="20" s="1"/>
  <c r="J144" i="20"/>
  <c r="J14" i="20" s="1"/>
  <c r="I144" i="20"/>
  <c r="G144" i="20"/>
  <c r="G14" i="20" s="1"/>
  <c r="F144" i="20"/>
  <c r="F14" i="20" s="1"/>
  <c r="D144" i="20"/>
  <c r="D14" i="20" s="1"/>
  <c r="C144" i="20"/>
  <c r="C14" i="20" s="1"/>
  <c r="N142" i="20"/>
  <c r="K142" i="20"/>
  <c r="H142" i="20"/>
  <c r="E142" i="20"/>
  <c r="N141" i="20"/>
  <c r="K141" i="20"/>
  <c r="H141" i="20"/>
  <c r="E141" i="20"/>
  <c r="N140" i="20"/>
  <c r="K140" i="20"/>
  <c r="H140" i="20"/>
  <c r="E140" i="20"/>
  <c r="N139" i="20"/>
  <c r="K139" i="20"/>
  <c r="H139" i="20"/>
  <c r="E139" i="20"/>
  <c r="N138" i="20"/>
  <c r="K138" i="20"/>
  <c r="H138" i="20"/>
  <c r="E138" i="20"/>
  <c r="N137" i="20"/>
  <c r="K137" i="20"/>
  <c r="H137" i="20"/>
  <c r="E137" i="20"/>
  <c r="N136" i="20"/>
  <c r="K136" i="20"/>
  <c r="H136" i="20"/>
  <c r="E136" i="20"/>
  <c r="N135" i="20"/>
  <c r="K135" i="20"/>
  <c r="H135" i="20"/>
  <c r="E135" i="20"/>
  <c r="M134" i="20"/>
  <c r="M12" i="20" s="1"/>
  <c r="L134" i="20"/>
  <c r="L12" i="20" s="1"/>
  <c r="J134" i="20"/>
  <c r="J12" i="20" s="1"/>
  <c r="I134" i="20"/>
  <c r="G134" i="20"/>
  <c r="G12" i="20" s="1"/>
  <c r="F134" i="20"/>
  <c r="F12" i="20" s="1"/>
  <c r="D134" i="20"/>
  <c r="D133" i="20" s="1"/>
  <c r="C134" i="20"/>
  <c r="C12" i="20" s="1"/>
  <c r="I133" i="20"/>
  <c r="N131" i="20"/>
  <c r="K131" i="20"/>
  <c r="H131" i="20"/>
  <c r="E131" i="20"/>
  <c r="N130" i="20"/>
  <c r="K130" i="20"/>
  <c r="H130" i="20"/>
  <c r="E130" i="20"/>
  <c r="N129" i="20"/>
  <c r="K129" i="20"/>
  <c r="H129" i="20"/>
  <c r="E129" i="20"/>
  <c r="N128" i="20"/>
  <c r="K128" i="20"/>
  <c r="H128" i="20"/>
  <c r="E128" i="20"/>
  <c r="N127" i="20"/>
  <c r="K127" i="20"/>
  <c r="H127" i="20"/>
  <c r="E127" i="20"/>
  <c r="N126" i="20"/>
  <c r="K126" i="20"/>
  <c r="H126" i="20"/>
  <c r="E126" i="20"/>
  <c r="M125" i="20"/>
  <c r="M23" i="20" s="1"/>
  <c r="L125" i="20"/>
  <c r="L23" i="20" s="1"/>
  <c r="J125" i="20"/>
  <c r="J23" i="20" s="1"/>
  <c r="I125" i="20"/>
  <c r="I23" i="20" s="1"/>
  <c r="G125" i="20"/>
  <c r="G23" i="20" s="1"/>
  <c r="F125" i="20"/>
  <c r="F23" i="20" s="1"/>
  <c r="D125" i="20"/>
  <c r="D23" i="20" s="1"/>
  <c r="C125" i="20"/>
  <c r="C23" i="20" s="1"/>
  <c r="N123" i="20"/>
  <c r="K123" i="20"/>
  <c r="H123" i="20"/>
  <c r="E123" i="20"/>
  <c r="N122" i="20"/>
  <c r="K122" i="20"/>
  <c r="H122" i="20"/>
  <c r="E122" i="20"/>
  <c r="N121" i="20"/>
  <c r="K121" i="20"/>
  <c r="H121" i="20"/>
  <c r="E121" i="20"/>
  <c r="N120" i="20"/>
  <c r="K120" i="20"/>
  <c r="H120" i="20"/>
  <c r="E120" i="20"/>
  <c r="N119" i="20"/>
  <c r="K119" i="20"/>
  <c r="H119" i="20"/>
  <c r="E119" i="20"/>
  <c r="N118" i="20"/>
  <c r="K118" i="20"/>
  <c r="H118" i="20"/>
  <c r="E118" i="20"/>
  <c r="N117" i="20"/>
  <c r="K117" i="20"/>
  <c r="H117" i="20"/>
  <c r="E117" i="20"/>
  <c r="N116" i="20"/>
  <c r="K116" i="20"/>
  <c r="H116" i="20"/>
  <c r="E116" i="20"/>
  <c r="N115" i="20"/>
  <c r="K115" i="20"/>
  <c r="H115" i="20"/>
  <c r="E115" i="20"/>
  <c r="N114" i="20"/>
  <c r="K114" i="20"/>
  <c r="H114" i="20"/>
  <c r="E114" i="20"/>
  <c r="N113" i="20"/>
  <c r="K113" i="20"/>
  <c r="H113" i="20"/>
  <c r="E113" i="20"/>
  <c r="N112" i="20"/>
  <c r="K112" i="20"/>
  <c r="H112" i="20"/>
  <c r="E112" i="20"/>
  <c r="N111" i="20"/>
  <c r="K111" i="20"/>
  <c r="H111" i="20"/>
  <c r="E111" i="20"/>
  <c r="N110" i="20"/>
  <c r="K110" i="20"/>
  <c r="H110" i="20"/>
  <c r="E110" i="20"/>
  <c r="N109" i="20"/>
  <c r="K109" i="20"/>
  <c r="E109" i="20"/>
  <c r="N108" i="20"/>
  <c r="K108" i="20"/>
  <c r="H108" i="20"/>
  <c r="E108" i="20"/>
  <c r="N107" i="20"/>
  <c r="K107" i="20"/>
  <c r="H107" i="20"/>
  <c r="E107" i="20"/>
  <c r="N106" i="20"/>
  <c r="K106" i="20"/>
  <c r="H106" i="20"/>
  <c r="E106" i="20"/>
  <c r="N105" i="20"/>
  <c r="K105" i="20"/>
  <c r="H105" i="20"/>
  <c r="E105" i="20"/>
  <c r="N104" i="20"/>
  <c r="K104" i="20"/>
  <c r="H104" i="20"/>
  <c r="E104" i="20"/>
  <c r="N103" i="20"/>
  <c r="K103" i="20"/>
  <c r="H103" i="20"/>
  <c r="E103" i="20"/>
  <c r="N102" i="20"/>
  <c r="K102" i="20"/>
  <c r="H102" i="20"/>
  <c r="E102" i="20"/>
  <c r="N101" i="20"/>
  <c r="K101" i="20"/>
  <c r="H101" i="20"/>
  <c r="E101" i="20"/>
  <c r="N100" i="20"/>
  <c r="K100" i="20"/>
  <c r="H100" i="20"/>
  <c r="E100" i="20"/>
  <c r="N99" i="20"/>
  <c r="K99" i="20"/>
  <c r="H99" i="20"/>
  <c r="E99" i="20"/>
  <c r="N98" i="20"/>
  <c r="K98" i="20"/>
  <c r="H98" i="20"/>
  <c r="E98" i="20"/>
  <c r="N97" i="20"/>
  <c r="K97" i="20"/>
  <c r="H97" i="20"/>
  <c r="E97" i="20"/>
  <c r="N96" i="20"/>
  <c r="K96" i="20"/>
  <c r="H96" i="20"/>
  <c r="E96" i="20"/>
  <c r="M95" i="20"/>
  <c r="M22" i="20" s="1"/>
  <c r="L95" i="20"/>
  <c r="J95" i="20"/>
  <c r="J22" i="20" s="1"/>
  <c r="I95" i="20"/>
  <c r="I22" i="20" s="1"/>
  <c r="G95" i="20"/>
  <c r="G22" i="20" s="1"/>
  <c r="F95" i="20"/>
  <c r="F22" i="20" s="1"/>
  <c r="D95" i="20"/>
  <c r="D22" i="20" s="1"/>
  <c r="C95" i="20"/>
  <c r="C22" i="20" s="1"/>
  <c r="N93" i="20"/>
  <c r="K93" i="20"/>
  <c r="H93" i="20"/>
  <c r="E93" i="20"/>
  <c r="N92" i="20"/>
  <c r="K92" i="20"/>
  <c r="H92" i="20"/>
  <c r="E92" i="20"/>
  <c r="N91" i="20"/>
  <c r="K91" i="20"/>
  <c r="H91" i="20"/>
  <c r="E91" i="20"/>
  <c r="N90" i="20"/>
  <c r="K90" i="20"/>
  <c r="H90" i="20"/>
  <c r="E90" i="20"/>
  <c r="N89" i="20"/>
  <c r="K89" i="20"/>
  <c r="H89" i="20"/>
  <c r="E89" i="20"/>
  <c r="N88" i="20"/>
  <c r="K88" i="20"/>
  <c r="H88" i="20"/>
  <c r="E88" i="20"/>
  <c r="N87" i="20"/>
  <c r="K87" i="20"/>
  <c r="H87" i="20"/>
  <c r="E87" i="20"/>
  <c r="N86" i="20"/>
  <c r="K86" i="20"/>
  <c r="H86" i="20"/>
  <c r="E86" i="20"/>
  <c r="N85" i="20"/>
  <c r="K85" i="20"/>
  <c r="H85" i="20"/>
  <c r="E85" i="20"/>
  <c r="N84" i="20"/>
  <c r="K84" i="20"/>
  <c r="H84" i="20"/>
  <c r="E84" i="20"/>
  <c r="N83" i="20"/>
  <c r="K83" i="20"/>
  <c r="H83" i="20"/>
  <c r="E83" i="20"/>
  <c r="N82" i="20"/>
  <c r="K82" i="20"/>
  <c r="H82" i="20"/>
  <c r="E82" i="20"/>
  <c r="N81" i="20"/>
  <c r="K81" i="20"/>
  <c r="H81" i="20"/>
  <c r="E81" i="20"/>
  <c r="N80" i="20"/>
  <c r="K80" i="20"/>
  <c r="H80" i="20"/>
  <c r="E80" i="20"/>
  <c r="M79" i="20"/>
  <c r="M20" i="20" s="1"/>
  <c r="L79" i="20"/>
  <c r="L20" i="20" s="1"/>
  <c r="J79" i="20"/>
  <c r="J20" i="20" s="1"/>
  <c r="I79" i="20"/>
  <c r="I20" i="20" s="1"/>
  <c r="G79" i="20"/>
  <c r="G20" i="20" s="1"/>
  <c r="F79" i="20"/>
  <c r="F20" i="20" s="1"/>
  <c r="D79" i="20"/>
  <c r="D20" i="20" s="1"/>
  <c r="C79" i="20"/>
  <c r="C20" i="20" s="1"/>
  <c r="N77" i="20"/>
  <c r="K77" i="20"/>
  <c r="H77" i="20"/>
  <c r="E77" i="20"/>
  <c r="N76" i="20"/>
  <c r="K76" i="20"/>
  <c r="H76" i="20"/>
  <c r="E76" i="20"/>
  <c r="N75" i="20"/>
  <c r="K75" i="20"/>
  <c r="H75" i="20"/>
  <c r="E75" i="20"/>
  <c r="N74" i="20"/>
  <c r="K74" i="20"/>
  <c r="H74" i="20"/>
  <c r="E74" i="20"/>
  <c r="N73" i="20"/>
  <c r="K73" i="20"/>
  <c r="H73" i="20"/>
  <c r="E73" i="20"/>
  <c r="N72" i="20"/>
  <c r="K72" i="20"/>
  <c r="H72" i="20"/>
  <c r="E72" i="20"/>
  <c r="N71" i="20"/>
  <c r="K71" i="20"/>
  <c r="H71" i="20"/>
  <c r="E71" i="20"/>
  <c r="N70" i="20"/>
  <c r="K70" i="20"/>
  <c r="H70" i="20"/>
  <c r="E70" i="20"/>
  <c r="M69" i="20"/>
  <c r="M19" i="20" s="1"/>
  <c r="L69" i="20"/>
  <c r="L19" i="20" s="1"/>
  <c r="J69" i="20"/>
  <c r="J19" i="20" s="1"/>
  <c r="I69" i="20"/>
  <c r="G69" i="20"/>
  <c r="G19" i="20" s="1"/>
  <c r="F69" i="20"/>
  <c r="D69" i="20"/>
  <c r="D19" i="20" s="1"/>
  <c r="C69" i="20"/>
  <c r="C19" i="20" s="1"/>
  <c r="N67" i="20"/>
  <c r="H67" i="20"/>
  <c r="E67" i="20"/>
  <c r="N66" i="20"/>
  <c r="H66" i="20"/>
  <c r="E66" i="20"/>
  <c r="N65" i="20"/>
  <c r="H65" i="20"/>
  <c r="E65" i="20"/>
  <c r="N64" i="20"/>
  <c r="H64" i="20"/>
  <c r="E64" i="20"/>
  <c r="N63" i="20"/>
  <c r="H63" i="20"/>
  <c r="E63" i="20"/>
  <c r="N62" i="20"/>
  <c r="H62" i="20"/>
  <c r="E62" i="20"/>
  <c r="N61" i="20"/>
  <c r="H61" i="20"/>
  <c r="E61" i="20"/>
  <c r="N60" i="20"/>
  <c r="H60" i="20"/>
  <c r="E60" i="20"/>
  <c r="N59" i="20"/>
  <c r="H59" i="20"/>
  <c r="E59" i="20"/>
  <c r="N58" i="20"/>
  <c r="H58" i="20"/>
  <c r="E58" i="20"/>
  <c r="N57" i="20"/>
  <c r="H57" i="20"/>
  <c r="E57" i="20"/>
  <c r="N56" i="20"/>
  <c r="K56" i="20"/>
  <c r="H56" i="20"/>
  <c r="E56" i="20"/>
  <c r="M55" i="20"/>
  <c r="M18" i="20" s="1"/>
  <c r="L55" i="20"/>
  <c r="L18" i="20" s="1"/>
  <c r="J55" i="20"/>
  <c r="J18" i="20" s="1"/>
  <c r="I55" i="20"/>
  <c r="G55" i="20"/>
  <c r="G18" i="20" s="1"/>
  <c r="F55" i="20"/>
  <c r="F18" i="20" s="1"/>
  <c r="D55" i="20"/>
  <c r="D18" i="20" s="1"/>
  <c r="C55" i="20"/>
  <c r="C18" i="20" s="1"/>
  <c r="N53" i="20"/>
  <c r="K53" i="20"/>
  <c r="H53" i="20"/>
  <c r="E53" i="20"/>
  <c r="N52" i="20"/>
  <c r="K52" i="20"/>
  <c r="H52" i="20"/>
  <c r="E52" i="20"/>
  <c r="N51" i="20"/>
  <c r="K51" i="20"/>
  <c r="H51" i="20"/>
  <c r="E51" i="20"/>
  <c r="N50" i="20"/>
  <c r="K50" i="20"/>
  <c r="H50" i="20"/>
  <c r="E50" i="20"/>
  <c r="N49" i="20"/>
  <c r="K49" i="20"/>
  <c r="H49" i="20"/>
  <c r="E49" i="20"/>
  <c r="N48" i="20"/>
  <c r="K48" i="20"/>
  <c r="H48" i="20"/>
  <c r="E48" i="20"/>
  <c r="N47" i="20"/>
  <c r="K47" i="20"/>
  <c r="H47" i="20"/>
  <c r="E47" i="20"/>
  <c r="N46" i="20"/>
  <c r="K46" i="20"/>
  <c r="H46" i="20"/>
  <c r="E46" i="20"/>
  <c r="N45" i="20"/>
  <c r="K45" i="20"/>
  <c r="H45" i="20"/>
  <c r="E45" i="20"/>
  <c r="N44" i="20"/>
  <c r="K44" i="20"/>
  <c r="H44" i="20"/>
  <c r="E44" i="20"/>
  <c r="N43" i="20"/>
  <c r="K43" i="20"/>
  <c r="H43" i="20"/>
  <c r="E43" i="20"/>
  <c r="N42" i="20"/>
  <c r="K42" i="20"/>
  <c r="H42" i="20"/>
  <c r="E42" i="20"/>
  <c r="N41" i="20"/>
  <c r="K41" i="20"/>
  <c r="H41" i="20"/>
  <c r="E41" i="20"/>
  <c r="N40" i="20"/>
  <c r="K40" i="20"/>
  <c r="H40" i="20"/>
  <c r="E40" i="20"/>
  <c r="N39" i="20"/>
  <c r="K39" i="20"/>
  <c r="H39" i="20"/>
  <c r="E39" i="20"/>
  <c r="N38" i="20"/>
  <c r="K38" i="20"/>
  <c r="H38" i="20"/>
  <c r="E38" i="20"/>
  <c r="N37" i="20"/>
  <c r="K37" i="20"/>
  <c r="H37" i="20"/>
  <c r="E37" i="20"/>
  <c r="N36" i="20"/>
  <c r="K36" i="20"/>
  <c r="H36" i="20"/>
  <c r="E36" i="20"/>
  <c r="M35" i="20"/>
  <c r="L35" i="20"/>
  <c r="L17" i="20" s="1"/>
  <c r="J35" i="20"/>
  <c r="I35" i="20"/>
  <c r="G35" i="20"/>
  <c r="G17" i="20" s="1"/>
  <c r="F35" i="20"/>
  <c r="F17" i="20" s="1"/>
  <c r="D35" i="20"/>
  <c r="D17" i="20" s="1"/>
  <c r="C35" i="20"/>
  <c r="C17" i="20" s="1"/>
  <c r="L27" i="20"/>
  <c r="I27" i="20"/>
  <c r="F27" i="20"/>
  <c r="C27" i="20"/>
  <c r="L26" i="20"/>
  <c r="I26" i="20"/>
  <c r="F26" i="20"/>
  <c r="C26" i="20"/>
  <c r="L25" i="20"/>
  <c r="J25" i="20"/>
  <c r="F25" i="20"/>
  <c r="D25" i="20"/>
  <c r="J24" i="20"/>
  <c r="D24" i="20"/>
  <c r="K69" i="20" l="1"/>
  <c r="K19" i="20" s="1"/>
  <c r="H26" i="20"/>
  <c r="H27" i="20"/>
  <c r="K26" i="20"/>
  <c r="K27" i="20"/>
  <c r="H25" i="20"/>
  <c r="N266" i="20"/>
  <c r="E286" i="20"/>
  <c r="K286" i="20"/>
  <c r="E294" i="20"/>
  <c r="K294" i="20"/>
  <c r="N26" i="20"/>
  <c r="N25" i="20"/>
  <c r="H294" i="20"/>
  <c r="N95" i="20"/>
  <c r="N22" i="20" s="1"/>
  <c r="K55" i="20"/>
  <c r="K18" i="20" s="1"/>
  <c r="J236" i="20"/>
  <c r="J16" i="20" s="1"/>
  <c r="G236" i="20"/>
  <c r="G16" i="20" s="1"/>
  <c r="F236" i="20"/>
  <c r="F16" i="20" s="1"/>
  <c r="E237" i="20"/>
  <c r="D236" i="20"/>
  <c r="D16" i="20" s="1"/>
  <c r="C236" i="20"/>
  <c r="C16" i="20" s="1"/>
  <c r="D12" i="20"/>
  <c r="L34" i="20"/>
  <c r="M133" i="20"/>
  <c r="K134" i="20"/>
  <c r="K12" i="20" s="1"/>
  <c r="I18" i="20"/>
  <c r="K154" i="20"/>
  <c r="K15" i="20" s="1"/>
  <c r="M34" i="20"/>
  <c r="J34" i="20"/>
  <c r="I19" i="20"/>
  <c r="J133" i="20"/>
  <c r="K133" i="20" s="1"/>
  <c r="K144" i="20"/>
  <c r="K14" i="20" s="1"/>
  <c r="F133" i="20"/>
  <c r="K188" i="20"/>
  <c r="E188" i="20"/>
  <c r="L133" i="20"/>
  <c r="G133" i="20"/>
  <c r="H133" i="20" s="1"/>
  <c r="M159" i="20"/>
  <c r="M21" i="20" s="1"/>
  <c r="J17" i="20"/>
  <c r="K35" i="20"/>
  <c r="K17" i="20" s="1"/>
  <c r="F34" i="20"/>
  <c r="I14" i="20"/>
  <c r="K247" i="20"/>
  <c r="I236" i="20"/>
  <c r="I16" i="20" s="1"/>
  <c r="E247" i="20"/>
  <c r="I12" i="20"/>
  <c r="C133" i="20"/>
  <c r="E133" i="20" s="1"/>
  <c r="D34" i="20"/>
  <c r="F19" i="20"/>
  <c r="K237" i="20"/>
  <c r="D159" i="20"/>
  <c r="D21" i="20" s="1"/>
  <c r="L159" i="20"/>
  <c r="L21" i="20" s="1"/>
  <c r="K160" i="20"/>
  <c r="J159" i="20"/>
  <c r="J21" i="20" s="1"/>
  <c r="F159" i="20"/>
  <c r="F21" i="20" s="1"/>
  <c r="G159" i="20"/>
  <c r="G21" i="20" s="1"/>
  <c r="E160" i="20"/>
  <c r="E194" i="20"/>
  <c r="C159" i="20"/>
  <c r="C21" i="20" s="1"/>
  <c r="K194" i="20"/>
  <c r="I159" i="20"/>
  <c r="I21" i="20" s="1"/>
  <c r="N286" i="20"/>
  <c r="H286" i="20"/>
  <c r="N254" i="20"/>
  <c r="N24" i="20" s="1"/>
  <c r="N247" i="20"/>
  <c r="N236" i="20"/>
  <c r="N16" i="20" s="1"/>
  <c r="N237" i="20"/>
  <c r="N194" i="20"/>
  <c r="N188" i="20"/>
  <c r="N160" i="20"/>
  <c r="N154" i="20"/>
  <c r="N15" i="20" s="1"/>
  <c r="N144" i="20"/>
  <c r="N14" i="20" s="1"/>
  <c r="N134" i="20"/>
  <c r="N12" i="20" s="1"/>
  <c r="N125" i="20"/>
  <c r="N23" i="20" s="1"/>
  <c r="L22" i="20"/>
  <c r="N79" i="20"/>
  <c r="N20" i="20" s="1"/>
  <c r="N69" i="20"/>
  <c r="N19" i="20" s="1"/>
  <c r="I34" i="20"/>
  <c r="N55" i="20"/>
  <c r="N18" i="20" s="1"/>
  <c r="M17" i="20"/>
  <c r="N35" i="20"/>
  <c r="N17" i="20" s="1"/>
  <c r="I17" i="20"/>
  <c r="E35" i="20"/>
  <c r="E17" i="20" s="1"/>
  <c r="E69" i="20"/>
  <c r="E19" i="20" s="1"/>
  <c r="E95" i="20"/>
  <c r="E22" i="20" s="1"/>
  <c r="E144" i="20"/>
  <c r="E14" i="20" s="1"/>
  <c r="C34" i="20"/>
  <c r="G34" i="20"/>
  <c r="E55" i="20"/>
  <c r="E18" i="20" s="1"/>
  <c r="E79" i="20"/>
  <c r="E20" i="20" s="1"/>
  <c r="E125" i="20"/>
  <c r="E23" i="20" s="1"/>
  <c r="E134" i="20"/>
  <c r="E12" i="20" s="1"/>
  <c r="E154" i="20"/>
  <c r="E15" i="20" s="1"/>
  <c r="E254" i="20"/>
  <c r="E24" i="20" s="1"/>
  <c r="E25" i="20"/>
  <c r="E266" i="20"/>
  <c r="E26" i="20"/>
  <c r="E27" i="20"/>
  <c r="H35" i="20"/>
  <c r="H17" i="20" s="1"/>
  <c r="H55" i="20"/>
  <c r="H18" i="20" s="1"/>
  <c r="H69" i="20"/>
  <c r="H19" i="20" s="1"/>
  <c r="H79" i="20"/>
  <c r="H20" i="20" s="1"/>
  <c r="K79" i="20"/>
  <c r="K20" i="20" s="1"/>
  <c r="H95" i="20"/>
  <c r="H22" i="20" s="1"/>
  <c r="K95" i="20"/>
  <c r="K22" i="20" s="1"/>
  <c r="H125" i="20"/>
  <c r="H23" i="20" s="1"/>
  <c r="K125" i="20"/>
  <c r="K23" i="20" s="1"/>
  <c r="H134" i="20"/>
  <c r="H12" i="20" s="1"/>
  <c r="H144" i="20"/>
  <c r="H14" i="20" s="1"/>
  <c r="H154" i="20"/>
  <c r="H15" i="20" s="1"/>
  <c r="H160" i="20"/>
  <c r="H188" i="20"/>
  <c r="H194" i="20"/>
  <c r="H237" i="20"/>
  <c r="H247" i="20"/>
  <c r="H254" i="20"/>
  <c r="H24" i="20" s="1"/>
  <c r="K254" i="20"/>
  <c r="K24" i="20" s="1"/>
  <c r="H266" i="20"/>
  <c r="K25" i="20"/>
  <c r="K266" i="20"/>
  <c r="F7" i="21"/>
  <c r="H7" i="21" s="1"/>
  <c r="E178" i="19"/>
  <c r="E67" i="19"/>
  <c r="D13" i="20" l="1"/>
  <c r="D11" i="20" s="1"/>
  <c r="D10" i="20" s="1"/>
  <c r="J13" i="20"/>
  <c r="J11" i="20" s="1"/>
  <c r="J10" i="20" s="1"/>
  <c r="G13" i="20"/>
  <c r="G11" i="20" s="1"/>
  <c r="G10" i="20" s="1"/>
  <c r="E236" i="20"/>
  <c r="E16" i="20" s="1"/>
  <c r="N133" i="20"/>
  <c r="H236" i="20"/>
  <c r="H16" i="20" s="1"/>
  <c r="C13" i="20"/>
  <c r="N34" i="20"/>
  <c r="K34" i="20"/>
  <c r="M13" i="20"/>
  <c r="M11" i="20" s="1"/>
  <c r="M10" i="20" s="1"/>
  <c r="H34" i="20"/>
  <c r="K236" i="20"/>
  <c r="K16" i="20" s="1"/>
  <c r="E34" i="20"/>
  <c r="F13" i="20"/>
  <c r="F11" i="20" s="1"/>
  <c r="F10" i="20" s="1"/>
  <c r="I13" i="20"/>
  <c r="I11" i="20" s="1"/>
  <c r="I10" i="20" s="1"/>
  <c r="N159" i="20"/>
  <c r="N21" i="20" s="1"/>
  <c r="K159" i="20"/>
  <c r="K21" i="20" s="1"/>
  <c r="L13" i="20"/>
  <c r="L11" i="20" s="1"/>
  <c r="H159" i="20"/>
  <c r="H21" i="20" s="1"/>
  <c r="E159" i="20"/>
  <c r="E21" i="20" s="1"/>
  <c r="E7" i="15"/>
  <c r="E8" i="15"/>
  <c r="E9" i="15"/>
  <c r="E10" i="15"/>
  <c r="E6" i="15"/>
  <c r="E13" i="20" l="1"/>
  <c r="K10" i="20"/>
  <c r="C11" i="20"/>
  <c r="E11" i="20" s="1"/>
  <c r="N11" i="20"/>
  <c r="H13" i="20"/>
  <c r="K11" i="20"/>
  <c r="K13" i="20"/>
  <c r="N13" i="20"/>
  <c r="L10" i="20"/>
  <c r="N10" i="20" s="1"/>
  <c r="H11" i="20"/>
  <c r="H10" i="20"/>
  <c r="N268" i="19"/>
  <c r="N269" i="19"/>
  <c r="N270" i="19"/>
  <c r="N178" i="19"/>
  <c r="N170" i="19"/>
  <c r="H48" i="19"/>
  <c r="C10" i="20" l="1"/>
  <c r="E10" i="20" s="1"/>
  <c r="K230" i="19"/>
  <c r="N122" i="19" l="1"/>
  <c r="K122" i="19"/>
  <c r="H122" i="19"/>
  <c r="E122" i="19"/>
  <c r="N232" i="19"/>
  <c r="K232" i="19"/>
  <c r="H232" i="19"/>
  <c r="E232" i="19"/>
  <c r="K218" i="19" l="1"/>
  <c r="H115" i="19" l="1"/>
  <c r="H51" i="19" l="1"/>
  <c r="K197" i="19" l="1"/>
  <c r="E243" i="19"/>
  <c r="K148" i="19" l="1"/>
  <c r="K294" i="19"/>
  <c r="H294" i="19"/>
  <c r="E294" i="19"/>
  <c r="M293" i="19"/>
  <c r="M27" i="19" s="1"/>
  <c r="L293" i="19"/>
  <c r="L27" i="19" s="1"/>
  <c r="J293" i="19"/>
  <c r="J27" i="19" s="1"/>
  <c r="I293" i="19"/>
  <c r="G293" i="19"/>
  <c r="G27" i="19" s="1"/>
  <c r="F293" i="19"/>
  <c r="D293" i="19"/>
  <c r="D27" i="19" s="1"/>
  <c r="C293" i="19"/>
  <c r="N290" i="19"/>
  <c r="K290" i="19"/>
  <c r="H290" i="19"/>
  <c r="E290" i="19"/>
  <c r="N289" i="19"/>
  <c r="K289" i="19"/>
  <c r="H289" i="19"/>
  <c r="E289" i="19"/>
  <c r="N288" i="19"/>
  <c r="K288" i="19"/>
  <c r="H288" i="19"/>
  <c r="E288" i="19"/>
  <c r="N287" i="19"/>
  <c r="K287" i="19"/>
  <c r="H287" i="19"/>
  <c r="E287" i="19"/>
  <c r="N286" i="19"/>
  <c r="K286" i="19"/>
  <c r="H286" i="19"/>
  <c r="E286" i="19"/>
  <c r="M285" i="19"/>
  <c r="M26" i="19" s="1"/>
  <c r="L285" i="19"/>
  <c r="J285" i="19"/>
  <c r="J26" i="19" s="1"/>
  <c r="I285" i="19"/>
  <c r="G285" i="19"/>
  <c r="G26" i="19" s="1"/>
  <c r="F285" i="19"/>
  <c r="D285" i="19"/>
  <c r="D26" i="19" s="1"/>
  <c r="C285" i="19"/>
  <c r="N282" i="19"/>
  <c r="K282" i="19"/>
  <c r="H282" i="19"/>
  <c r="E282" i="19"/>
  <c r="N281" i="19"/>
  <c r="K281" i="19"/>
  <c r="H281" i="19"/>
  <c r="E281" i="19"/>
  <c r="N280" i="19"/>
  <c r="K280" i="19"/>
  <c r="H280" i="19"/>
  <c r="E280" i="19"/>
  <c r="N279" i="19"/>
  <c r="K279" i="19"/>
  <c r="H279" i="19"/>
  <c r="E279" i="19"/>
  <c r="N278" i="19"/>
  <c r="K278" i="19"/>
  <c r="H278" i="19"/>
  <c r="E278" i="19"/>
  <c r="N277" i="19"/>
  <c r="K277" i="19"/>
  <c r="H277" i="19"/>
  <c r="E277" i="19"/>
  <c r="N276" i="19"/>
  <c r="K276" i="19"/>
  <c r="H276" i="19"/>
  <c r="E276" i="19"/>
  <c r="N275" i="19"/>
  <c r="K275" i="19"/>
  <c r="H275" i="19"/>
  <c r="E275" i="19"/>
  <c r="N274" i="19"/>
  <c r="K274" i="19"/>
  <c r="H274" i="19"/>
  <c r="E274" i="19"/>
  <c r="N273" i="19"/>
  <c r="K273" i="19"/>
  <c r="H273" i="19"/>
  <c r="E273" i="19"/>
  <c r="N272" i="19"/>
  <c r="K272" i="19"/>
  <c r="H272" i="19"/>
  <c r="E272" i="19"/>
  <c r="K271" i="19"/>
  <c r="H271" i="19"/>
  <c r="E271" i="19"/>
  <c r="K270" i="19"/>
  <c r="H270" i="19"/>
  <c r="E270" i="19"/>
  <c r="K269" i="19"/>
  <c r="H269" i="19"/>
  <c r="E269" i="19"/>
  <c r="K268" i="19"/>
  <c r="H268" i="19"/>
  <c r="E268" i="19"/>
  <c r="N267" i="19"/>
  <c r="K267" i="19"/>
  <c r="H267" i="19"/>
  <c r="E267" i="19"/>
  <c r="K266" i="19"/>
  <c r="H266" i="19"/>
  <c r="E266" i="19"/>
  <c r="M265" i="19"/>
  <c r="M25" i="19" s="1"/>
  <c r="L265" i="19"/>
  <c r="J265" i="19"/>
  <c r="J25" i="19" s="1"/>
  <c r="I265" i="19"/>
  <c r="G265" i="19"/>
  <c r="G25" i="19" s="1"/>
  <c r="F265" i="19"/>
  <c r="D265" i="19"/>
  <c r="D25" i="19" s="1"/>
  <c r="C265" i="19"/>
  <c r="N262" i="19"/>
  <c r="K262" i="19"/>
  <c r="H262" i="19"/>
  <c r="E262" i="19"/>
  <c r="N261" i="19"/>
  <c r="K261" i="19"/>
  <c r="H261" i="19"/>
  <c r="E261" i="19"/>
  <c r="N260" i="19"/>
  <c r="K260" i="19"/>
  <c r="H260" i="19"/>
  <c r="E260" i="19"/>
  <c r="N259" i="19"/>
  <c r="K259" i="19"/>
  <c r="H259" i="19"/>
  <c r="E259" i="19"/>
  <c r="N258" i="19"/>
  <c r="K258" i="19"/>
  <c r="H258" i="19"/>
  <c r="E258" i="19"/>
  <c r="N257" i="19"/>
  <c r="K257" i="19"/>
  <c r="H257" i="19"/>
  <c r="E257" i="19"/>
  <c r="N256" i="19"/>
  <c r="K256" i="19"/>
  <c r="H256" i="19"/>
  <c r="E256" i="19"/>
  <c r="N255" i="19"/>
  <c r="K255" i="19"/>
  <c r="H255" i="19"/>
  <c r="E255" i="19"/>
  <c r="N254" i="19"/>
  <c r="K254" i="19"/>
  <c r="H254" i="19"/>
  <c r="E254" i="19"/>
  <c r="M253" i="19"/>
  <c r="M24" i="19" s="1"/>
  <c r="L253" i="19"/>
  <c r="L24" i="19" s="1"/>
  <c r="J253" i="19"/>
  <c r="J24" i="19" s="1"/>
  <c r="I253" i="19"/>
  <c r="G253" i="19"/>
  <c r="G24" i="19" s="1"/>
  <c r="F253" i="19"/>
  <c r="D253" i="19"/>
  <c r="D24" i="19" s="1"/>
  <c r="C253" i="19"/>
  <c r="N251" i="19"/>
  <c r="K251" i="19"/>
  <c r="H251" i="19"/>
  <c r="E251" i="19"/>
  <c r="N250" i="19"/>
  <c r="K250" i="19"/>
  <c r="H250" i="19"/>
  <c r="E250" i="19"/>
  <c r="N249" i="19"/>
  <c r="K249" i="19"/>
  <c r="H249" i="19"/>
  <c r="E249" i="19"/>
  <c r="N248" i="19"/>
  <c r="K248" i="19"/>
  <c r="H248" i="19"/>
  <c r="E248" i="19"/>
  <c r="N247" i="19"/>
  <c r="K247" i="19"/>
  <c r="H247" i="19"/>
  <c r="E247" i="19"/>
  <c r="M246" i="19"/>
  <c r="L246" i="19"/>
  <c r="J246" i="19"/>
  <c r="I246" i="19"/>
  <c r="G246" i="19"/>
  <c r="F246" i="19"/>
  <c r="D246" i="19"/>
  <c r="C246" i="19"/>
  <c r="N244" i="19"/>
  <c r="K244" i="19"/>
  <c r="H244" i="19"/>
  <c r="E244" i="19"/>
  <c r="N243" i="19"/>
  <c r="K243" i="19"/>
  <c r="H243" i="19"/>
  <c r="N242" i="19"/>
  <c r="K242" i="19"/>
  <c r="H242" i="19"/>
  <c r="E242" i="19"/>
  <c r="N241" i="19"/>
  <c r="K241" i="19"/>
  <c r="H241" i="19"/>
  <c r="E241" i="19"/>
  <c r="N240" i="19"/>
  <c r="K240" i="19"/>
  <c r="H240" i="19"/>
  <c r="E240" i="19"/>
  <c r="N239" i="19"/>
  <c r="K239" i="19"/>
  <c r="H239" i="19"/>
  <c r="E239" i="19"/>
  <c r="N238" i="19"/>
  <c r="K238" i="19"/>
  <c r="H238" i="19"/>
  <c r="E238" i="19"/>
  <c r="M237" i="19"/>
  <c r="L237" i="19"/>
  <c r="J237" i="19"/>
  <c r="J236" i="19" s="1"/>
  <c r="J16" i="19" s="1"/>
  <c r="I237" i="19"/>
  <c r="G237" i="19"/>
  <c r="F237" i="19"/>
  <c r="D237" i="19"/>
  <c r="D236" i="19" s="1"/>
  <c r="D16" i="19" s="1"/>
  <c r="C237" i="19"/>
  <c r="N234" i="19"/>
  <c r="K234" i="19"/>
  <c r="H234" i="19"/>
  <c r="E234" i="19"/>
  <c r="N233" i="19"/>
  <c r="K233" i="19"/>
  <c r="H233" i="19"/>
  <c r="E233" i="19"/>
  <c r="N231" i="19"/>
  <c r="K231" i="19"/>
  <c r="H231" i="19"/>
  <c r="E231" i="19"/>
  <c r="N230" i="19"/>
  <c r="H230" i="19"/>
  <c r="E230" i="19"/>
  <c r="N229" i="19"/>
  <c r="K229" i="19"/>
  <c r="H229" i="19"/>
  <c r="E229" i="19"/>
  <c r="N228" i="19"/>
  <c r="K228" i="19"/>
  <c r="H228" i="19"/>
  <c r="E228" i="19"/>
  <c r="N227" i="19"/>
  <c r="K227" i="19"/>
  <c r="H227" i="19"/>
  <c r="E227" i="19"/>
  <c r="N226" i="19"/>
  <c r="K226" i="19"/>
  <c r="H226" i="19"/>
  <c r="E226" i="19"/>
  <c r="N225" i="19"/>
  <c r="K225" i="19"/>
  <c r="H225" i="19"/>
  <c r="E225" i="19"/>
  <c r="N224" i="19"/>
  <c r="K224" i="19"/>
  <c r="H224" i="19"/>
  <c r="E224" i="19"/>
  <c r="N223" i="19"/>
  <c r="K223" i="19"/>
  <c r="H223" i="19"/>
  <c r="E223" i="19"/>
  <c r="N222" i="19"/>
  <c r="K222" i="19"/>
  <c r="H222" i="19"/>
  <c r="E222" i="19"/>
  <c r="N221" i="19"/>
  <c r="K221" i="19"/>
  <c r="H221" i="19"/>
  <c r="E221" i="19"/>
  <c r="N220" i="19"/>
  <c r="K220" i="19"/>
  <c r="H220" i="19"/>
  <c r="E220" i="19"/>
  <c r="N219" i="19"/>
  <c r="K219" i="19"/>
  <c r="H219" i="19"/>
  <c r="E219" i="19"/>
  <c r="N218" i="19"/>
  <c r="H218" i="19"/>
  <c r="E218" i="19"/>
  <c r="N217" i="19"/>
  <c r="K217" i="19"/>
  <c r="H217" i="19"/>
  <c r="E217" i="19"/>
  <c r="N216" i="19"/>
  <c r="K216" i="19"/>
  <c r="H216" i="19"/>
  <c r="E216" i="19"/>
  <c r="N215" i="19"/>
  <c r="K215" i="19"/>
  <c r="H215" i="19"/>
  <c r="E215" i="19"/>
  <c r="N214" i="19"/>
  <c r="K214" i="19"/>
  <c r="H214" i="19"/>
  <c r="E214" i="19"/>
  <c r="N213" i="19"/>
  <c r="K213" i="19"/>
  <c r="H213" i="19"/>
  <c r="E213" i="19"/>
  <c r="N212" i="19"/>
  <c r="K212" i="19"/>
  <c r="H212" i="19"/>
  <c r="E212" i="19"/>
  <c r="N211" i="19"/>
  <c r="K211" i="19"/>
  <c r="H211" i="19"/>
  <c r="E211" i="19"/>
  <c r="N210" i="19"/>
  <c r="K210" i="19"/>
  <c r="H210" i="19"/>
  <c r="E210" i="19"/>
  <c r="N209" i="19"/>
  <c r="K209" i="19"/>
  <c r="H209" i="19"/>
  <c r="E209" i="19"/>
  <c r="N208" i="19"/>
  <c r="K208" i="19"/>
  <c r="H208" i="19"/>
  <c r="E208" i="19"/>
  <c r="N207" i="19"/>
  <c r="K207" i="19"/>
  <c r="H207" i="19"/>
  <c r="E207" i="19"/>
  <c r="N206" i="19"/>
  <c r="K206" i="19"/>
  <c r="H206" i="19"/>
  <c r="E206" i="19"/>
  <c r="N205" i="19"/>
  <c r="K205" i="19"/>
  <c r="H205" i="19"/>
  <c r="E205" i="19"/>
  <c r="N204" i="19"/>
  <c r="K204" i="19"/>
  <c r="H204" i="19"/>
  <c r="E204" i="19"/>
  <c r="N203" i="19"/>
  <c r="K203" i="19"/>
  <c r="H203" i="19"/>
  <c r="E203" i="19"/>
  <c r="N202" i="19"/>
  <c r="K202" i="19"/>
  <c r="H202" i="19"/>
  <c r="E202" i="19"/>
  <c r="N201" i="19"/>
  <c r="K201" i="19"/>
  <c r="H201" i="19"/>
  <c r="E201" i="19"/>
  <c r="N200" i="19"/>
  <c r="K200" i="19"/>
  <c r="H200" i="19"/>
  <c r="E200" i="19"/>
  <c r="N199" i="19"/>
  <c r="K199" i="19"/>
  <c r="H199" i="19"/>
  <c r="E199" i="19"/>
  <c r="N198" i="19"/>
  <c r="K198" i="19"/>
  <c r="H198" i="19"/>
  <c r="E198" i="19"/>
  <c r="N197" i="19"/>
  <c r="H197" i="19"/>
  <c r="E197" i="19"/>
  <c r="N196" i="19"/>
  <c r="K196" i="19"/>
  <c r="H196" i="19"/>
  <c r="E196" i="19"/>
  <c r="N195" i="19"/>
  <c r="K195" i="19"/>
  <c r="H195" i="19"/>
  <c r="E195" i="19"/>
  <c r="M194" i="19"/>
  <c r="L194" i="19"/>
  <c r="J194" i="19"/>
  <c r="I194" i="19"/>
  <c r="G194" i="19"/>
  <c r="F194" i="19"/>
  <c r="D194" i="19"/>
  <c r="C194" i="19"/>
  <c r="N192" i="19"/>
  <c r="K192" i="19"/>
  <c r="H192" i="19"/>
  <c r="E192" i="19"/>
  <c r="N191" i="19"/>
  <c r="K191" i="19"/>
  <c r="H191" i="19"/>
  <c r="E191" i="19"/>
  <c r="N190" i="19"/>
  <c r="K190" i="19"/>
  <c r="H190" i="19"/>
  <c r="E190" i="19"/>
  <c r="N189" i="19"/>
  <c r="K189" i="19"/>
  <c r="H189" i="19"/>
  <c r="E189" i="19"/>
  <c r="M188" i="19"/>
  <c r="L188" i="19"/>
  <c r="J188" i="19"/>
  <c r="I188" i="19"/>
  <c r="G188" i="19"/>
  <c r="F188" i="19"/>
  <c r="D188" i="19"/>
  <c r="C188" i="19"/>
  <c r="N186" i="19"/>
  <c r="K186" i="19"/>
  <c r="H186" i="19"/>
  <c r="E186" i="19"/>
  <c r="N185" i="19"/>
  <c r="K185" i="19"/>
  <c r="H185" i="19"/>
  <c r="E185" i="19"/>
  <c r="N184" i="19"/>
  <c r="K184" i="19"/>
  <c r="H184" i="19"/>
  <c r="E184" i="19"/>
  <c r="N183" i="19"/>
  <c r="K183" i="19"/>
  <c r="H183" i="19"/>
  <c r="E183" i="19"/>
  <c r="N182" i="19"/>
  <c r="K182" i="19"/>
  <c r="H182" i="19"/>
  <c r="E182" i="19"/>
  <c r="N181" i="19"/>
  <c r="K181" i="19"/>
  <c r="H181" i="19"/>
  <c r="E181" i="19"/>
  <c r="N180" i="19"/>
  <c r="K180" i="19"/>
  <c r="H180" i="19"/>
  <c r="E180" i="19"/>
  <c r="N179" i="19"/>
  <c r="K179" i="19"/>
  <c r="H179" i="19"/>
  <c r="E179" i="19"/>
  <c r="K178" i="19"/>
  <c r="H178" i="19"/>
  <c r="N177" i="19"/>
  <c r="K177" i="19"/>
  <c r="H177" i="19"/>
  <c r="E177" i="19"/>
  <c r="N176" i="19"/>
  <c r="K176" i="19"/>
  <c r="H176" i="19"/>
  <c r="E176" i="19"/>
  <c r="N175" i="19"/>
  <c r="K175" i="19"/>
  <c r="H175" i="19"/>
  <c r="E175" i="19"/>
  <c r="N174" i="19"/>
  <c r="K174" i="19"/>
  <c r="H174" i="19"/>
  <c r="E174" i="19"/>
  <c r="N173" i="19"/>
  <c r="K173" i="19"/>
  <c r="H173" i="19"/>
  <c r="E173" i="19"/>
  <c r="N172" i="19"/>
  <c r="K172" i="19"/>
  <c r="H172" i="19"/>
  <c r="E172" i="19"/>
  <c r="N171" i="19"/>
  <c r="K171" i="19"/>
  <c r="H171" i="19"/>
  <c r="E171" i="19"/>
  <c r="K170" i="19"/>
  <c r="H170" i="19"/>
  <c r="E170" i="19"/>
  <c r="N169" i="19"/>
  <c r="K169" i="19"/>
  <c r="H169" i="19"/>
  <c r="E169" i="19"/>
  <c r="N168" i="19"/>
  <c r="K168" i="19"/>
  <c r="H168" i="19"/>
  <c r="E168" i="19"/>
  <c r="N167" i="19"/>
  <c r="K167" i="19"/>
  <c r="H167" i="19"/>
  <c r="E167" i="19"/>
  <c r="N166" i="19"/>
  <c r="K166" i="19"/>
  <c r="H166" i="19"/>
  <c r="E166" i="19"/>
  <c r="N165" i="19"/>
  <c r="K165" i="19"/>
  <c r="H165" i="19"/>
  <c r="E165" i="19"/>
  <c r="N164" i="19"/>
  <c r="K164" i="19"/>
  <c r="H164" i="19"/>
  <c r="E164" i="19"/>
  <c r="N163" i="19"/>
  <c r="K163" i="19"/>
  <c r="H163" i="19"/>
  <c r="E163" i="19"/>
  <c r="N162" i="19"/>
  <c r="K162" i="19"/>
  <c r="H162" i="19"/>
  <c r="E162" i="19"/>
  <c r="N161" i="19"/>
  <c r="K161" i="19"/>
  <c r="H161" i="19"/>
  <c r="E161" i="19"/>
  <c r="M160" i="19"/>
  <c r="L160" i="19"/>
  <c r="J160" i="19"/>
  <c r="I160" i="19"/>
  <c r="G160" i="19"/>
  <c r="F160" i="19"/>
  <c r="D160" i="19"/>
  <c r="C160" i="19"/>
  <c r="N157" i="19"/>
  <c r="K157" i="19"/>
  <c r="H157" i="19"/>
  <c r="E157" i="19"/>
  <c r="N156" i="19"/>
  <c r="K156" i="19"/>
  <c r="H156" i="19"/>
  <c r="E156" i="19"/>
  <c r="N155" i="19"/>
  <c r="K155" i="19"/>
  <c r="H155" i="19"/>
  <c r="E155" i="19"/>
  <c r="M154" i="19"/>
  <c r="M15" i="19" s="1"/>
  <c r="L154" i="19"/>
  <c r="J154" i="19"/>
  <c r="J15" i="19" s="1"/>
  <c r="I154" i="19"/>
  <c r="G154" i="19"/>
  <c r="G15" i="19" s="1"/>
  <c r="F154" i="19"/>
  <c r="D154" i="19"/>
  <c r="D15" i="19" s="1"/>
  <c r="C154" i="19"/>
  <c r="N152" i="19"/>
  <c r="K152" i="19"/>
  <c r="H152" i="19"/>
  <c r="E152" i="19"/>
  <c r="N151" i="19"/>
  <c r="K151" i="19"/>
  <c r="H151" i="19"/>
  <c r="E151" i="19"/>
  <c r="N150" i="19"/>
  <c r="K150" i="19"/>
  <c r="H150" i="19"/>
  <c r="E150" i="19"/>
  <c r="N149" i="19"/>
  <c r="K149" i="19"/>
  <c r="H149" i="19"/>
  <c r="E149" i="19"/>
  <c r="N148" i="19"/>
  <c r="H148" i="19"/>
  <c r="E148" i="19"/>
  <c r="N147" i="19"/>
  <c r="K147" i="19"/>
  <c r="H147" i="19"/>
  <c r="E147" i="19"/>
  <c r="N146" i="19"/>
  <c r="K146" i="19"/>
  <c r="H146" i="19"/>
  <c r="E146" i="19"/>
  <c r="N145" i="19"/>
  <c r="K145" i="19"/>
  <c r="H145" i="19"/>
  <c r="E145" i="19"/>
  <c r="M144" i="19"/>
  <c r="M14" i="19" s="1"/>
  <c r="L144" i="19"/>
  <c r="J144" i="19"/>
  <c r="J14" i="19" s="1"/>
  <c r="I144" i="19"/>
  <c r="G144" i="19"/>
  <c r="G14" i="19" s="1"/>
  <c r="F144" i="19"/>
  <c r="D144" i="19"/>
  <c r="D14" i="19" s="1"/>
  <c r="C144" i="19"/>
  <c r="N142" i="19"/>
  <c r="K142" i="19"/>
  <c r="H142" i="19"/>
  <c r="E142" i="19"/>
  <c r="N141" i="19"/>
  <c r="K141" i="19"/>
  <c r="H141" i="19"/>
  <c r="E141" i="19"/>
  <c r="N140" i="19"/>
  <c r="K140" i="19"/>
  <c r="H140" i="19"/>
  <c r="E140" i="19"/>
  <c r="N139" i="19"/>
  <c r="K139" i="19"/>
  <c r="H139" i="19"/>
  <c r="E139" i="19"/>
  <c r="N138" i="19"/>
  <c r="K138" i="19"/>
  <c r="H138" i="19"/>
  <c r="E138" i="19"/>
  <c r="N137" i="19"/>
  <c r="K137" i="19"/>
  <c r="H137" i="19"/>
  <c r="E137" i="19"/>
  <c r="N136" i="19"/>
  <c r="K136" i="19"/>
  <c r="H136" i="19"/>
  <c r="E136" i="19"/>
  <c r="N135" i="19"/>
  <c r="K135" i="19"/>
  <c r="H135" i="19"/>
  <c r="E135" i="19"/>
  <c r="M134" i="19"/>
  <c r="M12" i="19" s="1"/>
  <c r="L134" i="19"/>
  <c r="J134" i="19"/>
  <c r="J12" i="19" s="1"/>
  <c r="I134" i="19"/>
  <c r="I133" i="19" s="1"/>
  <c r="G134" i="19"/>
  <c r="G12" i="19" s="1"/>
  <c r="F134" i="19"/>
  <c r="D134" i="19"/>
  <c r="D12" i="19" s="1"/>
  <c r="C134" i="19"/>
  <c r="C133" i="19" s="1"/>
  <c r="M133" i="19"/>
  <c r="L133" i="19"/>
  <c r="F133" i="19"/>
  <c r="N131" i="19"/>
  <c r="K131" i="19"/>
  <c r="H131" i="19"/>
  <c r="E131" i="19"/>
  <c r="N130" i="19"/>
  <c r="K130" i="19"/>
  <c r="H130" i="19"/>
  <c r="E130" i="19"/>
  <c r="N129" i="19"/>
  <c r="K129" i="19"/>
  <c r="H129" i="19"/>
  <c r="E129" i="19"/>
  <c r="N128" i="19"/>
  <c r="K128" i="19"/>
  <c r="H128" i="19"/>
  <c r="E128" i="19"/>
  <c r="N127" i="19"/>
  <c r="K127" i="19"/>
  <c r="H127" i="19"/>
  <c r="E127" i="19"/>
  <c r="N126" i="19"/>
  <c r="K126" i="19"/>
  <c r="H126" i="19"/>
  <c r="E126" i="19"/>
  <c r="M125" i="19"/>
  <c r="M23" i="19" s="1"/>
  <c r="L125" i="19"/>
  <c r="J125" i="19"/>
  <c r="J23" i="19" s="1"/>
  <c r="I125" i="19"/>
  <c r="G125" i="19"/>
  <c r="G23" i="19" s="1"/>
  <c r="F125" i="19"/>
  <c r="D125" i="19"/>
  <c r="D23" i="19" s="1"/>
  <c r="C125" i="19"/>
  <c r="N123" i="19"/>
  <c r="K123" i="19"/>
  <c r="H123" i="19"/>
  <c r="E123" i="19"/>
  <c r="N121" i="19"/>
  <c r="K121" i="19"/>
  <c r="H121" i="19"/>
  <c r="E121" i="19"/>
  <c r="N120" i="19"/>
  <c r="K120" i="19"/>
  <c r="H120" i="19"/>
  <c r="E120" i="19"/>
  <c r="N119" i="19"/>
  <c r="K119" i="19"/>
  <c r="H119" i="19"/>
  <c r="E119" i="19"/>
  <c r="N118" i="19"/>
  <c r="K118" i="19"/>
  <c r="H118" i="19"/>
  <c r="E118" i="19"/>
  <c r="N117" i="19"/>
  <c r="K117" i="19"/>
  <c r="H117" i="19"/>
  <c r="E117" i="19"/>
  <c r="N116" i="19"/>
  <c r="K116" i="19"/>
  <c r="H116" i="19"/>
  <c r="E116" i="19"/>
  <c r="N115" i="19"/>
  <c r="K115" i="19"/>
  <c r="E115" i="19"/>
  <c r="N114" i="19"/>
  <c r="K114" i="19"/>
  <c r="H114" i="19"/>
  <c r="E114" i="19"/>
  <c r="N113" i="19"/>
  <c r="K113" i="19"/>
  <c r="H113" i="19"/>
  <c r="E113" i="19"/>
  <c r="N112" i="19"/>
  <c r="K112" i="19"/>
  <c r="H112" i="19"/>
  <c r="E112" i="19"/>
  <c r="N111" i="19"/>
  <c r="K111" i="19"/>
  <c r="H111" i="19"/>
  <c r="E111" i="19"/>
  <c r="N110" i="19"/>
  <c r="K110" i="19"/>
  <c r="H110" i="19"/>
  <c r="E110" i="19"/>
  <c r="N109" i="19"/>
  <c r="K109" i="19"/>
  <c r="H109" i="19"/>
  <c r="E109" i="19"/>
  <c r="N108" i="19"/>
  <c r="K108" i="19"/>
  <c r="H108" i="19"/>
  <c r="E108" i="19"/>
  <c r="N107" i="19"/>
  <c r="K107" i="19"/>
  <c r="H107" i="19"/>
  <c r="E107" i="19"/>
  <c r="N106" i="19"/>
  <c r="K106" i="19"/>
  <c r="H106" i="19"/>
  <c r="E106" i="19"/>
  <c r="N105" i="19"/>
  <c r="K105" i="19"/>
  <c r="H105" i="19"/>
  <c r="E105" i="19"/>
  <c r="N104" i="19"/>
  <c r="K104" i="19"/>
  <c r="H104" i="19"/>
  <c r="E104" i="19"/>
  <c r="N103" i="19"/>
  <c r="K103" i="19"/>
  <c r="H103" i="19"/>
  <c r="E103" i="19"/>
  <c r="N102" i="19"/>
  <c r="K102" i="19"/>
  <c r="H102" i="19"/>
  <c r="E102" i="19"/>
  <c r="N101" i="19"/>
  <c r="K101" i="19"/>
  <c r="H101" i="19"/>
  <c r="E101" i="19"/>
  <c r="N100" i="19"/>
  <c r="K100" i="19"/>
  <c r="H100" i="19"/>
  <c r="E100" i="19"/>
  <c r="N99" i="19"/>
  <c r="K99" i="19"/>
  <c r="H99" i="19"/>
  <c r="E99" i="19"/>
  <c r="N98" i="19"/>
  <c r="K98" i="19"/>
  <c r="H98" i="19"/>
  <c r="E98" i="19"/>
  <c r="N97" i="19"/>
  <c r="K97" i="19"/>
  <c r="H97" i="19"/>
  <c r="E97" i="19"/>
  <c r="N96" i="19"/>
  <c r="K96" i="19"/>
  <c r="H96" i="19"/>
  <c r="E96" i="19"/>
  <c r="M95" i="19"/>
  <c r="M22" i="19" s="1"/>
  <c r="L95" i="19"/>
  <c r="J95" i="19"/>
  <c r="J22" i="19" s="1"/>
  <c r="I95" i="19"/>
  <c r="G95" i="19"/>
  <c r="G22" i="19" s="1"/>
  <c r="F95" i="19"/>
  <c r="D95" i="19"/>
  <c r="D22" i="19" s="1"/>
  <c r="C95" i="19"/>
  <c r="N93" i="19"/>
  <c r="K93" i="19"/>
  <c r="H93" i="19"/>
  <c r="E93" i="19"/>
  <c r="N92" i="19"/>
  <c r="K92" i="19"/>
  <c r="H92" i="19"/>
  <c r="E92" i="19"/>
  <c r="N91" i="19"/>
  <c r="K91" i="19"/>
  <c r="H91" i="19"/>
  <c r="E91" i="19"/>
  <c r="N90" i="19"/>
  <c r="K90" i="19"/>
  <c r="H90" i="19"/>
  <c r="E90" i="19"/>
  <c r="N89" i="19"/>
  <c r="K89" i="19"/>
  <c r="H89" i="19"/>
  <c r="E89" i="19"/>
  <c r="N88" i="19"/>
  <c r="K88" i="19"/>
  <c r="H88" i="19"/>
  <c r="E88" i="19"/>
  <c r="N87" i="19"/>
  <c r="K87" i="19"/>
  <c r="H87" i="19"/>
  <c r="E87" i="19"/>
  <c r="N86" i="19"/>
  <c r="K86" i="19"/>
  <c r="H86" i="19"/>
  <c r="E86" i="19"/>
  <c r="N85" i="19"/>
  <c r="K85" i="19"/>
  <c r="H85" i="19"/>
  <c r="E85" i="19"/>
  <c r="N84" i="19"/>
  <c r="K84" i="19"/>
  <c r="H84" i="19"/>
  <c r="E84" i="19"/>
  <c r="N83" i="19"/>
  <c r="K83" i="19"/>
  <c r="H83" i="19"/>
  <c r="E83" i="19"/>
  <c r="N82" i="19"/>
  <c r="K82" i="19"/>
  <c r="H82" i="19"/>
  <c r="E82" i="19"/>
  <c r="N81" i="19"/>
  <c r="K81" i="19"/>
  <c r="H81" i="19"/>
  <c r="E81" i="19"/>
  <c r="N80" i="19"/>
  <c r="K80" i="19"/>
  <c r="H80" i="19"/>
  <c r="E80" i="19"/>
  <c r="M79" i="19"/>
  <c r="M20" i="19" s="1"/>
  <c r="L79" i="19"/>
  <c r="L20" i="19" s="1"/>
  <c r="J79" i="19"/>
  <c r="J20" i="19" s="1"/>
  <c r="I79" i="19"/>
  <c r="G79" i="19"/>
  <c r="G20" i="19" s="1"/>
  <c r="F79" i="19"/>
  <c r="D79" i="19"/>
  <c r="D20" i="19" s="1"/>
  <c r="C79" i="19"/>
  <c r="N77" i="19"/>
  <c r="K77" i="19"/>
  <c r="H77" i="19"/>
  <c r="E77" i="19"/>
  <c r="N76" i="19"/>
  <c r="K76" i="19"/>
  <c r="H76" i="19"/>
  <c r="E76" i="19"/>
  <c r="N75" i="19"/>
  <c r="K75" i="19"/>
  <c r="H75" i="19"/>
  <c r="E75" i="19"/>
  <c r="N74" i="19"/>
  <c r="K74" i="19"/>
  <c r="H74" i="19"/>
  <c r="E74" i="19"/>
  <c r="N73" i="19"/>
  <c r="K73" i="19"/>
  <c r="H73" i="19"/>
  <c r="E73" i="19"/>
  <c r="N72" i="19"/>
  <c r="K72" i="19"/>
  <c r="H72" i="19"/>
  <c r="E72" i="19"/>
  <c r="N71" i="19"/>
  <c r="K71" i="19"/>
  <c r="H71" i="19"/>
  <c r="E71" i="19"/>
  <c r="N70" i="19"/>
  <c r="K70" i="19"/>
  <c r="H70" i="19"/>
  <c r="E70" i="19"/>
  <c r="M69" i="19"/>
  <c r="M19" i="19" s="1"/>
  <c r="L69" i="19"/>
  <c r="J69" i="19"/>
  <c r="J19" i="19" s="1"/>
  <c r="I69" i="19"/>
  <c r="G69" i="19"/>
  <c r="G19" i="19" s="1"/>
  <c r="F69" i="19"/>
  <c r="D69" i="19"/>
  <c r="D19" i="19" s="1"/>
  <c r="C69" i="19"/>
  <c r="N67" i="19"/>
  <c r="K67" i="19"/>
  <c r="H67" i="19"/>
  <c r="N66" i="19"/>
  <c r="K66" i="19"/>
  <c r="H66" i="19"/>
  <c r="E66" i="19"/>
  <c r="N65" i="19"/>
  <c r="K65" i="19"/>
  <c r="H65" i="19"/>
  <c r="E65" i="19"/>
  <c r="N64" i="19"/>
  <c r="H64" i="19"/>
  <c r="E64" i="19"/>
  <c r="N63" i="19"/>
  <c r="K63" i="19"/>
  <c r="H63" i="19"/>
  <c r="E63" i="19"/>
  <c r="N62" i="19"/>
  <c r="K62" i="19"/>
  <c r="H62" i="19"/>
  <c r="E62" i="19"/>
  <c r="N61" i="19"/>
  <c r="K61" i="19"/>
  <c r="H61" i="19"/>
  <c r="E61" i="19"/>
  <c r="N60" i="19"/>
  <c r="H60" i="19"/>
  <c r="E60" i="19"/>
  <c r="N59" i="19"/>
  <c r="K59" i="19"/>
  <c r="H59" i="19"/>
  <c r="E59" i="19"/>
  <c r="N58" i="19"/>
  <c r="K58" i="19"/>
  <c r="H58" i="19"/>
  <c r="E58" i="19"/>
  <c r="N57" i="19"/>
  <c r="K57" i="19"/>
  <c r="H57" i="19"/>
  <c r="E57" i="19"/>
  <c r="N56" i="19"/>
  <c r="K56" i="19"/>
  <c r="H56" i="19"/>
  <c r="E56" i="19"/>
  <c r="M55" i="19"/>
  <c r="M18" i="19" s="1"/>
  <c r="L55" i="19"/>
  <c r="J55" i="19"/>
  <c r="J18" i="19" s="1"/>
  <c r="I55" i="19"/>
  <c r="G55" i="19"/>
  <c r="G18" i="19" s="1"/>
  <c r="F55" i="19"/>
  <c r="D55" i="19"/>
  <c r="D18" i="19" s="1"/>
  <c r="C55" i="19"/>
  <c r="N53" i="19"/>
  <c r="K53" i="19"/>
  <c r="H53" i="19"/>
  <c r="E53" i="19"/>
  <c r="N52" i="19"/>
  <c r="K52" i="19"/>
  <c r="H52" i="19"/>
  <c r="E52" i="19"/>
  <c r="N51" i="19"/>
  <c r="K51" i="19"/>
  <c r="E51" i="19"/>
  <c r="N50" i="19"/>
  <c r="K50" i="19"/>
  <c r="H50" i="19"/>
  <c r="E50" i="19"/>
  <c r="N49" i="19"/>
  <c r="K49" i="19"/>
  <c r="H49" i="19"/>
  <c r="E49" i="19"/>
  <c r="N48" i="19"/>
  <c r="K48" i="19"/>
  <c r="E48" i="19"/>
  <c r="N47" i="19"/>
  <c r="K47" i="19"/>
  <c r="H47" i="19"/>
  <c r="E47" i="19"/>
  <c r="N46" i="19"/>
  <c r="K46" i="19"/>
  <c r="H46" i="19"/>
  <c r="E46" i="19"/>
  <c r="N45" i="19"/>
  <c r="K45" i="19"/>
  <c r="H45" i="19"/>
  <c r="E45" i="19"/>
  <c r="N44" i="19"/>
  <c r="K44" i="19"/>
  <c r="H44" i="19"/>
  <c r="E44" i="19"/>
  <c r="N43" i="19"/>
  <c r="K43" i="19"/>
  <c r="H43" i="19"/>
  <c r="E43" i="19"/>
  <c r="N42" i="19"/>
  <c r="K42" i="19"/>
  <c r="H42" i="19"/>
  <c r="E42" i="19"/>
  <c r="N41" i="19"/>
  <c r="K41" i="19"/>
  <c r="H41" i="19"/>
  <c r="E41" i="19"/>
  <c r="N40" i="19"/>
  <c r="K40" i="19"/>
  <c r="H40" i="19"/>
  <c r="E40" i="19"/>
  <c r="N39" i="19"/>
  <c r="K39" i="19"/>
  <c r="H39" i="19"/>
  <c r="E39" i="19"/>
  <c r="N38" i="19"/>
  <c r="K38" i="19"/>
  <c r="H38" i="19"/>
  <c r="E38" i="19"/>
  <c r="N37" i="19"/>
  <c r="K37" i="19"/>
  <c r="H37" i="19"/>
  <c r="E37" i="19"/>
  <c r="N36" i="19"/>
  <c r="K36" i="19"/>
  <c r="H36" i="19"/>
  <c r="E36" i="19"/>
  <c r="M35" i="19"/>
  <c r="M17" i="19" s="1"/>
  <c r="L35" i="19"/>
  <c r="J35" i="19"/>
  <c r="J17" i="19" s="1"/>
  <c r="I35" i="19"/>
  <c r="G35" i="19"/>
  <c r="G17" i="19" s="1"/>
  <c r="F35" i="19"/>
  <c r="D35" i="19"/>
  <c r="D17" i="19" s="1"/>
  <c r="C35" i="19"/>
  <c r="L159" i="19" l="1"/>
  <c r="L21" i="19" s="1"/>
  <c r="J159" i="19"/>
  <c r="J21" i="19" s="1"/>
  <c r="J13" i="19" s="1"/>
  <c r="J11" i="19" s="1"/>
  <c r="J10" i="19" s="1"/>
  <c r="F159" i="19"/>
  <c r="F21" i="19" s="1"/>
  <c r="D159" i="19"/>
  <c r="D21" i="19" s="1"/>
  <c r="J133" i="19"/>
  <c r="G133" i="19"/>
  <c r="D133" i="19"/>
  <c r="E133" i="19" s="1"/>
  <c r="E285" i="19"/>
  <c r="K285" i="19"/>
  <c r="E293" i="19"/>
  <c r="F236" i="19"/>
  <c r="L236" i="19"/>
  <c r="K246" i="19"/>
  <c r="E253" i="19"/>
  <c r="E24" i="19" s="1"/>
  <c r="K253" i="19"/>
  <c r="K24" i="19" s="1"/>
  <c r="E265" i="19"/>
  <c r="H293" i="19"/>
  <c r="K293" i="19"/>
  <c r="H265" i="19"/>
  <c r="K265" i="19"/>
  <c r="N265" i="19"/>
  <c r="L25" i="19"/>
  <c r="N25" i="19" s="1"/>
  <c r="I27" i="19"/>
  <c r="K27" i="19" s="1"/>
  <c r="I25" i="19"/>
  <c r="K25" i="19" s="1"/>
  <c r="F27" i="19"/>
  <c r="H27" i="19" s="1"/>
  <c r="F25" i="19"/>
  <c r="H25" i="19" s="1"/>
  <c r="C27" i="19"/>
  <c r="E27" i="19" s="1"/>
  <c r="C25" i="19"/>
  <c r="E25" i="19" s="1"/>
  <c r="M236" i="19"/>
  <c r="M16" i="19" s="1"/>
  <c r="G236" i="19"/>
  <c r="G16" i="19" s="1"/>
  <c r="C236" i="19"/>
  <c r="I236" i="19"/>
  <c r="K154" i="19"/>
  <c r="K15" i="19" s="1"/>
  <c r="E154" i="19"/>
  <c r="E15" i="19" s="1"/>
  <c r="E237" i="19"/>
  <c r="K69" i="19"/>
  <c r="K19" i="19" s="1"/>
  <c r="E69" i="19"/>
  <c r="E19" i="19" s="1"/>
  <c r="K237" i="19"/>
  <c r="E134" i="19"/>
  <c r="E12" i="19" s="1"/>
  <c r="K188" i="19"/>
  <c r="F34" i="19"/>
  <c r="K125" i="19"/>
  <c r="K23" i="19" s="1"/>
  <c r="E125" i="19"/>
  <c r="E23" i="19" s="1"/>
  <c r="E144" i="19"/>
  <c r="E14" i="19" s="1"/>
  <c r="K79" i="19"/>
  <c r="K20" i="19" s="1"/>
  <c r="E79" i="19"/>
  <c r="E20" i="19" s="1"/>
  <c r="E188" i="19"/>
  <c r="E55" i="19"/>
  <c r="E18" i="19" s="1"/>
  <c r="K55" i="19"/>
  <c r="K18" i="19" s="1"/>
  <c r="J34" i="19"/>
  <c r="E35" i="19"/>
  <c r="E17" i="19" s="1"/>
  <c r="D34" i="19"/>
  <c r="N55" i="19"/>
  <c r="N18" i="19" s="1"/>
  <c r="C34" i="19"/>
  <c r="K35" i="19"/>
  <c r="K17" i="19" s="1"/>
  <c r="K95" i="19"/>
  <c r="K22" i="19" s="1"/>
  <c r="E95" i="19"/>
  <c r="E22" i="19" s="1"/>
  <c r="K160" i="19"/>
  <c r="E160" i="19"/>
  <c r="K144" i="19"/>
  <c r="K14" i="19" s="1"/>
  <c r="K236" i="19"/>
  <c r="K16" i="19" s="1"/>
  <c r="E236" i="19"/>
  <c r="E16" i="19" s="1"/>
  <c r="E246" i="19"/>
  <c r="M159" i="19"/>
  <c r="M21" i="19" s="1"/>
  <c r="M13" i="19" s="1"/>
  <c r="M11" i="19" s="1"/>
  <c r="M10" i="19" s="1"/>
  <c r="I159" i="19"/>
  <c r="I21" i="19" s="1"/>
  <c r="G159" i="19"/>
  <c r="G21" i="19" s="1"/>
  <c r="C159" i="19"/>
  <c r="C21" i="19" s="1"/>
  <c r="K133" i="19"/>
  <c r="K134" i="19"/>
  <c r="K12" i="19" s="1"/>
  <c r="I34" i="19"/>
  <c r="M34" i="19"/>
  <c r="G34" i="19"/>
  <c r="H34" i="19" s="1"/>
  <c r="K194" i="19"/>
  <c r="E194" i="19"/>
  <c r="N285" i="19"/>
  <c r="L26" i="19"/>
  <c r="N26" i="19" s="1"/>
  <c r="I26" i="19"/>
  <c r="K26" i="19" s="1"/>
  <c r="H285" i="19"/>
  <c r="F26" i="19"/>
  <c r="H26" i="19" s="1"/>
  <c r="C26" i="19"/>
  <c r="E26" i="19" s="1"/>
  <c r="N253" i="19"/>
  <c r="N24" i="19" s="1"/>
  <c r="I24" i="19"/>
  <c r="H253" i="19"/>
  <c r="H24" i="19" s="1"/>
  <c r="F24" i="19"/>
  <c r="C24" i="19"/>
  <c r="N246" i="19"/>
  <c r="H246" i="19"/>
  <c r="N236" i="19"/>
  <c r="N16" i="19" s="1"/>
  <c r="N237" i="19"/>
  <c r="L16" i="19"/>
  <c r="I16" i="19"/>
  <c r="H236" i="19"/>
  <c r="H16" i="19" s="1"/>
  <c r="H237" i="19"/>
  <c r="F16" i="19"/>
  <c r="C16" i="19"/>
  <c r="N194" i="19"/>
  <c r="H194" i="19"/>
  <c r="N188" i="19"/>
  <c r="H188" i="19"/>
  <c r="N160" i="19"/>
  <c r="H160" i="19"/>
  <c r="N154" i="19"/>
  <c r="N15" i="19" s="1"/>
  <c r="L15" i="19"/>
  <c r="I15" i="19"/>
  <c r="H154" i="19"/>
  <c r="H15" i="19" s="1"/>
  <c r="F15" i="19"/>
  <c r="C15" i="19"/>
  <c r="N144" i="19"/>
  <c r="N14" i="19" s="1"/>
  <c r="L14" i="19"/>
  <c r="I14" i="19"/>
  <c r="H144" i="19"/>
  <c r="H14" i="19" s="1"/>
  <c r="F14" i="19"/>
  <c r="C14" i="19"/>
  <c r="N133" i="19"/>
  <c r="N134" i="19"/>
  <c r="N12" i="19" s="1"/>
  <c r="L12" i="19"/>
  <c r="I12" i="19"/>
  <c r="H133" i="19"/>
  <c r="H134" i="19"/>
  <c r="H12" i="19" s="1"/>
  <c r="F12" i="19"/>
  <c r="C12" i="19"/>
  <c r="N125" i="19"/>
  <c r="N23" i="19" s="1"/>
  <c r="L23" i="19"/>
  <c r="I23" i="19"/>
  <c r="H125" i="19"/>
  <c r="H23" i="19" s="1"/>
  <c r="F23" i="19"/>
  <c r="C23" i="19"/>
  <c r="N95" i="19"/>
  <c r="N22" i="19" s="1"/>
  <c r="L22" i="19"/>
  <c r="I22" i="19"/>
  <c r="H95" i="19"/>
  <c r="H22" i="19" s="1"/>
  <c r="F22" i="19"/>
  <c r="C22" i="19"/>
  <c r="N79" i="19"/>
  <c r="N20" i="19" s="1"/>
  <c r="I20" i="19"/>
  <c r="H79" i="19"/>
  <c r="H20" i="19" s="1"/>
  <c r="F20" i="19"/>
  <c r="C20" i="19"/>
  <c r="N69" i="19"/>
  <c r="N19" i="19" s="1"/>
  <c r="L19" i="19"/>
  <c r="I19" i="19"/>
  <c r="H69" i="19"/>
  <c r="H19" i="19" s="1"/>
  <c r="F19" i="19"/>
  <c r="C19" i="19"/>
  <c r="L34" i="19"/>
  <c r="N34" i="19" s="1"/>
  <c r="L18" i="19"/>
  <c r="I18" i="19"/>
  <c r="H55" i="19"/>
  <c r="H18" i="19" s="1"/>
  <c r="F18" i="19"/>
  <c r="C18" i="19"/>
  <c r="N35" i="19"/>
  <c r="N17" i="19" s="1"/>
  <c r="L17" i="19"/>
  <c r="I17" i="19"/>
  <c r="H35" i="19"/>
  <c r="H17" i="19" s="1"/>
  <c r="G13" i="19"/>
  <c r="G11" i="19" s="1"/>
  <c r="G10" i="19" s="1"/>
  <c r="F17" i="19"/>
  <c r="D13" i="19"/>
  <c r="D11" i="19" s="1"/>
  <c r="D10" i="19" s="1"/>
  <c r="C17" i="19"/>
  <c r="C79" i="16"/>
  <c r="E80" i="16"/>
  <c r="K159" i="19" l="1"/>
  <c r="K21" i="19" s="1"/>
  <c r="E159" i="19"/>
  <c r="E21" i="19" s="1"/>
  <c r="C13" i="19"/>
  <c r="C11" i="19" s="1"/>
  <c r="C10" i="19" s="1"/>
  <c r="E10" i="19" s="1"/>
  <c r="H159" i="19"/>
  <c r="H21" i="19" s="1"/>
  <c r="N159" i="19"/>
  <c r="N21" i="19" s="1"/>
  <c r="F13" i="19"/>
  <c r="H13" i="19" s="1"/>
  <c r="E34" i="19"/>
  <c r="I13" i="19"/>
  <c r="K13" i="19" s="1"/>
  <c r="K34" i="19"/>
  <c r="L13" i="19"/>
  <c r="L11" i="19" s="1"/>
  <c r="N11" i="19" s="1"/>
  <c r="E89" i="16"/>
  <c r="E66" i="16"/>
  <c r="E65" i="16"/>
  <c r="E13" i="19" l="1"/>
  <c r="F11" i="19"/>
  <c r="F10" i="19" s="1"/>
  <c r="H10" i="19" s="1"/>
  <c r="I11" i="19"/>
  <c r="K11" i="19" s="1"/>
  <c r="N13" i="19"/>
  <c r="L10" i="19"/>
  <c r="N10" i="19" s="1"/>
  <c r="E11" i="19"/>
  <c r="E254" i="16"/>
  <c r="H11" i="19" l="1"/>
  <c r="I10" i="19"/>
  <c r="K10" i="19" s="1"/>
  <c r="H47" i="16"/>
  <c r="H46" i="16"/>
  <c r="K209" i="16"/>
  <c r="H213" i="16"/>
  <c r="E155" i="16"/>
  <c r="K48" i="16"/>
  <c r="K295" i="16"/>
  <c r="H295" i="16"/>
  <c r="E295" i="16"/>
  <c r="M294" i="16"/>
  <c r="L294" i="16"/>
  <c r="J294" i="16"/>
  <c r="I294" i="16"/>
  <c r="K294" i="16" s="1"/>
  <c r="G294" i="16"/>
  <c r="F294" i="16"/>
  <c r="H294" i="16" s="1"/>
  <c r="D294" i="16"/>
  <c r="C294" i="16"/>
  <c r="E294" i="16" s="1"/>
  <c r="N291" i="16"/>
  <c r="K291" i="16"/>
  <c r="H291" i="16"/>
  <c r="E291" i="16"/>
  <c r="N290" i="16"/>
  <c r="K290" i="16"/>
  <c r="H290" i="16"/>
  <c r="E290" i="16"/>
  <c r="N289" i="16"/>
  <c r="K289" i="16"/>
  <c r="H289" i="16"/>
  <c r="E289" i="16"/>
  <c r="N288" i="16"/>
  <c r="K288" i="16"/>
  <c r="H288" i="16"/>
  <c r="E288" i="16"/>
  <c r="N287" i="16"/>
  <c r="K287" i="16"/>
  <c r="H287" i="16"/>
  <c r="E287" i="16"/>
  <c r="M286" i="16"/>
  <c r="L286" i="16"/>
  <c r="J286" i="16"/>
  <c r="I286" i="16"/>
  <c r="K286" i="16" s="1"/>
  <c r="G286" i="16"/>
  <c r="F286" i="16"/>
  <c r="D286" i="16"/>
  <c r="C286" i="16"/>
  <c r="N283" i="16"/>
  <c r="K283" i="16"/>
  <c r="H283" i="16"/>
  <c r="E283" i="16"/>
  <c r="N282" i="16"/>
  <c r="K282" i="16"/>
  <c r="H282" i="16"/>
  <c r="E282" i="16"/>
  <c r="N281" i="16"/>
  <c r="K281" i="16"/>
  <c r="H281" i="16"/>
  <c r="E281" i="16"/>
  <c r="N280" i="16"/>
  <c r="K280" i="16"/>
  <c r="H280" i="16"/>
  <c r="E280" i="16"/>
  <c r="N279" i="16"/>
  <c r="K279" i="16"/>
  <c r="H279" i="16"/>
  <c r="E279" i="16"/>
  <c r="N278" i="16"/>
  <c r="N277" i="16"/>
  <c r="K277" i="16"/>
  <c r="H277" i="16"/>
  <c r="E277" i="16"/>
  <c r="N276" i="16"/>
  <c r="H276" i="16"/>
  <c r="E276" i="16"/>
  <c r="N275" i="16"/>
  <c r="K275" i="16"/>
  <c r="H275" i="16"/>
  <c r="E275" i="16"/>
  <c r="N274" i="16"/>
  <c r="K274" i="16"/>
  <c r="H274" i="16"/>
  <c r="E274" i="16"/>
  <c r="N273" i="16"/>
  <c r="K273" i="16"/>
  <c r="H273" i="16"/>
  <c r="E273" i="16"/>
  <c r="N272" i="16"/>
  <c r="H272" i="16"/>
  <c r="E272" i="16"/>
  <c r="H271" i="16"/>
  <c r="E271" i="16"/>
  <c r="N270" i="16"/>
  <c r="K270" i="16"/>
  <c r="H270" i="16"/>
  <c r="E270" i="16"/>
  <c r="N269" i="16"/>
  <c r="H269" i="16"/>
  <c r="E269" i="16"/>
  <c r="N268" i="16"/>
  <c r="K268" i="16"/>
  <c r="H268" i="16"/>
  <c r="E268" i="16"/>
  <c r="N267" i="16"/>
  <c r="J265" i="16"/>
  <c r="J25" i="16" s="1"/>
  <c r="H267" i="16"/>
  <c r="E267" i="16"/>
  <c r="K266" i="16"/>
  <c r="H266" i="16"/>
  <c r="E266" i="16"/>
  <c r="M265" i="16"/>
  <c r="L265" i="16"/>
  <c r="N265" i="16" s="1"/>
  <c r="I265" i="16"/>
  <c r="G265" i="16"/>
  <c r="F265" i="16"/>
  <c r="H265" i="16" s="1"/>
  <c r="D265" i="16"/>
  <c r="C265" i="16"/>
  <c r="E265" i="16" s="1"/>
  <c r="N262" i="16"/>
  <c r="K262" i="16"/>
  <c r="H262" i="16"/>
  <c r="E262" i="16"/>
  <c r="N261" i="16"/>
  <c r="K261" i="16"/>
  <c r="H261" i="16"/>
  <c r="E261" i="16"/>
  <c r="N260" i="16"/>
  <c r="K260" i="16"/>
  <c r="H260" i="16"/>
  <c r="E260" i="16"/>
  <c r="N259" i="16"/>
  <c r="K259" i="16"/>
  <c r="H259" i="16"/>
  <c r="E259" i="16"/>
  <c r="N258" i="16"/>
  <c r="K258" i="16"/>
  <c r="H258" i="16"/>
  <c r="E258" i="16"/>
  <c r="N257" i="16"/>
  <c r="K257" i="16"/>
  <c r="H257" i="16"/>
  <c r="E257" i="16"/>
  <c r="N256" i="16"/>
  <c r="K256" i="16"/>
  <c r="H256" i="16"/>
  <c r="E256" i="16"/>
  <c r="N255" i="16"/>
  <c r="K255" i="16"/>
  <c r="H255" i="16"/>
  <c r="E255" i="16"/>
  <c r="N254" i="16"/>
  <c r="K254" i="16"/>
  <c r="H254" i="16"/>
  <c r="M253" i="16"/>
  <c r="L253" i="16"/>
  <c r="J253" i="16"/>
  <c r="J24" i="16" s="1"/>
  <c r="I253" i="16"/>
  <c r="G253" i="16"/>
  <c r="F253" i="16"/>
  <c r="D253" i="16"/>
  <c r="C253" i="16"/>
  <c r="E253" i="16" s="1"/>
  <c r="E24" i="16" s="1"/>
  <c r="N251" i="16"/>
  <c r="K251" i="16"/>
  <c r="H251" i="16"/>
  <c r="E251" i="16"/>
  <c r="N250" i="16"/>
  <c r="K250" i="16"/>
  <c r="H250" i="16"/>
  <c r="E250" i="16"/>
  <c r="N249" i="16"/>
  <c r="K249" i="16"/>
  <c r="H249" i="16"/>
  <c r="E249" i="16"/>
  <c r="N248" i="16"/>
  <c r="K248" i="16"/>
  <c r="H248" i="16"/>
  <c r="E248" i="16"/>
  <c r="N247" i="16"/>
  <c r="K247" i="16"/>
  <c r="H247" i="16"/>
  <c r="E247" i="16"/>
  <c r="M246" i="16"/>
  <c r="L246" i="16"/>
  <c r="J246" i="16"/>
  <c r="I246" i="16"/>
  <c r="K246" i="16" s="1"/>
  <c r="G246" i="16"/>
  <c r="F246" i="16"/>
  <c r="D246" i="16"/>
  <c r="C246" i="16"/>
  <c r="E246" i="16" s="1"/>
  <c r="N244" i="16"/>
  <c r="K244" i="16"/>
  <c r="H244" i="16"/>
  <c r="E244" i="16"/>
  <c r="N243" i="16"/>
  <c r="K243" i="16"/>
  <c r="H243" i="16"/>
  <c r="E243" i="16"/>
  <c r="N242" i="16"/>
  <c r="K242" i="16"/>
  <c r="H242" i="16"/>
  <c r="E242" i="16"/>
  <c r="N241" i="16"/>
  <c r="K241" i="16"/>
  <c r="H241" i="16"/>
  <c r="E241" i="16"/>
  <c r="N240" i="16"/>
  <c r="K240" i="16"/>
  <c r="H240" i="16"/>
  <c r="E240" i="16"/>
  <c r="N239" i="16"/>
  <c r="K239" i="16"/>
  <c r="H239" i="16"/>
  <c r="E239" i="16"/>
  <c r="N238" i="16"/>
  <c r="K238" i="16"/>
  <c r="H238" i="16"/>
  <c r="E238" i="16"/>
  <c r="M237" i="16"/>
  <c r="L237" i="16"/>
  <c r="J237" i="16"/>
  <c r="I237" i="16"/>
  <c r="G237" i="16"/>
  <c r="F237" i="16"/>
  <c r="D237" i="16"/>
  <c r="C237" i="16"/>
  <c r="E237" i="16" s="1"/>
  <c r="M236" i="16"/>
  <c r="L236" i="16"/>
  <c r="J236" i="16"/>
  <c r="I236" i="16"/>
  <c r="G236" i="16"/>
  <c r="F236" i="16"/>
  <c r="D236" i="16"/>
  <c r="N234" i="16"/>
  <c r="K234" i="16"/>
  <c r="H234" i="16"/>
  <c r="E234" i="16"/>
  <c r="N233" i="16"/>
  <c r="K233" i="16"/>
  <c r="H233" i="16"/>
  <c r="E233" i="16"/>
  <c r="N232" i="16"/>
  <c r="K232" i="16"/>
  <c r="H232" i="16"/>
  <c r="E232" i="16"/>
  <c r="N231" i="16"/>
  <c r="K231" i="16"/>
  <c r="H231" i="16"/>
  <c r="E231" i="16"/>
  <c r="N230" i="16"/>
  <c r="K230" i="16"/>
  <c r="H230" i="16"/>
  <c r="E230" i="16"/>
  <c r="N229" i="16"/>
  <c r="K229" i="16"/>
  <c r="H229" i="16"/>
  <c r="E229" i="16"/>
  <c r="N228" i="16"/>
  <c r="K228" i="16"/>
  <c r="H228" i="16"/>
  <c r="E228" i="16"/>
  <c r="N227" i="16"/>
  <c r="K227" i="16"/>
  <c r="H227" i="16"/>
  <c r="E227" i="16"/>
  <c r="N226" i="16"/>
  <c r="K226" i="16"/>
  <c r="H226" i="16"/>
  <c r="E226" i="16"/>
  <c r="N225" i="16"/>
  <c r="K225" i="16"/>
  <c r="H225" i="16"/>
  <c r="E225" i="16"/>
  <c r="N224" i="16"/>
  <c r="K224" i="16"/>
  <c r="H224" i="16"/>
  <c r="E224" i="16"/>
  <c r="N223" i="16"/>
  <c r="K223" i="16"/>
  <c r="H223" i="16"/>
  <c r="E223" i="16"/>
  <c r="N222" i="16"/>
  <c r="K222" i="16"/>
  <c r="H222" i="16"/>
  <c r="E222" i="16"/>
  <c r="N221" i="16"/>
  <c r="K221" i="16"/>
  <c r="H221" i="16"/>
  <c r="E221" i="16"/>
  <c r="N220" i="16"/>
  <c r="K220" i="16"/>
  <c r="H220" i="16"/>
  <c r="E220" i="16"/>
  <c r="N219" i="16"/>
  <c r="K219" i="16"/>
  <c r="H219" i="16"/>
  <c r="E219" i="16"/>
  <c r="N218" i="16"/>
  <c r="K218" i="16"/>
  <c r="H218" i="16"/>
  <c r="E218" i="16"/>
  <c r="N217" i="16"/>
  <c r="K217" i="16"/>
  <c r="H217" i="16"/>
  <c r="E217" i="16"/>
  <c r="N216" i="16"/>
  <c r="K216" i="16"/>
  <c r="H216" i="16"/>
  <c r="E216" i="16"/>
  <c r="N215" i="16"/>
  <c r="K215" i="16"/>
  <c r="H215" i="16"/>
  <c r="E215" i="16"/>
  <c r="N214" i="16"/>
  <c r="K214" i="16"/>
  <c r="H214" i="16"/>
  <c r="E214" i="16"/>
  <c r="N213" i="16"/>
  <c r="K213" i="16"/>
  <c r="E213" i="16"/>
  <c r="N212" i="16"/>
  <c r="K212" i="16"/>
  <c r="H212" i="16"/>
  <c r="E212" i="16"/>
  <c r="N211" i="16"/>
  <c r="K211" i="16"/>
  <c r="H211" i="16"/>
  <c r="E211" i="16"/>
  <c r="N210" i="16"/>
  <c r="K210" i="16"/>
  <c r="H210" i="16"/>
  <c r="E210" i="16"/>
  <c r="N209" i="16"/>
  <c r="H209" i="16"/>
  <c r="E209" i="16"/>
  <c r="N208" i="16"/>
  <c r="K208" i="16"/>
  <c r="H208" i="16"/>
  <c r="E208" i="16"/>
  <c r="N207" i="16"/>
  <c r="K207" i="16"/>
  <c r="H207" i="16"/>
  <c r="E207" i="16"/>
  <c r="N206" i="16"/>
  <c r="K206" i="16"/>
  <c r="H206" i="16"/>
  <c r="E206" i="16"/>
  <c r="N205" i="16"/>
  <c r="K205" i="16"/>
  <c r="H205" i="16"/>
  <c r="E205" i="16"/>
  <c r="N204" i="16"/>
  <c r="K204" i="16"/>
  <c r="H204" i="16"/>
  <c r="E204" i="16"/>
  <c r="N203" i="16"/>
  <c r="K203" i="16"/>
  <c r="H203" i="16"/>
  <c r="E203" i="16"/>
  <c r="N202" i="16"/>
  <c r="K202" i="16"/>
  <c r="H202" i="16"/>
  <c r="E202" i="16"/>
  <c r="N201" i="16"/>
  <c r="K201" i="16"/>
  <c r="H201" i="16"/>
  <c r="E201" i="16"/>
  <c r="N200" i="16"/>
  <c r="K200" i="16"/>
  <c r="H200" i="16"/>
  <c r="E200" i="16"/>
  <c r="N199" i="16"/>
  <c r="K199" i="16"/>
  <c r="H199" i="16"/>
  <c r="E199" i="16"/>
  <c r="N198" i="16"/>
  <c r="K198" i="16"/>
  <c r="H198" i="16"/>
  <c r="E198" i="16"/>
  <c r="N197" i="16"/>
  <c r="K197" i="16"/>
  <c r="H197" i="16"/>
  <c r="E197" i="16"/>
  <c r="N196" i="16"/>
  <c r="K196" i="16"/>
  <c r="H196" i="16"/>
  <c r="E196" i="16"/>
  <c r="N195" i="16"/>
  <c r="K195" i="16"/>
  <c r="H195" i="16"/>
  <c r="E195" i="16"/>
  <c r="M194" i="16"/>
  <c r="L194" i="16"/>
  <c r="J194" i="16"/>
  <c r="I194" i="16"/>
  <c r="G194" i="16"/>
  <c r="F194" i="16"/>
  <c r="D194" i="16"/>
  <c r="C194" i="16"/>
  <c r="N192" i="16"/>
  <c r="K192" i="16"/>
  <c r="H192" i="16"/>
  <c r="E192" i="16"/>
  <c r="N191" i="16"/>
  <c r="K191" i="16"/>
  <c r="H191" i="16"/>
  <c r="E191" i="16"/>
  <c r="N190" i="16"/>
  <c r="K190" i="16"/>
  <c r="H190" i="16"/>
  <c r="E190" i="16"/>
  <c r="N189" i="16"/>
  <c r="K189" i="16"/>
  <c r="H189" i="16"/>
  <c r="E189" i="16"/>
  <c r="M188" i="16"/>
  <c r="L188" i="16"/>
  <c r="J188" i="16"/>
  <c r="I188" i="16"/>
  <c r="K188" i="16" s="1"/>
  <c r="G188" i="16"/>
  <c r="F188" i="16"/>
  <c r="D188" i="16"/>
  <c r="C188" i="16"/>
  <c r="E188" i="16" s="1"/>
  <c r="N186" i="16"/>
  <c r="K186" i="16"/>
  <c r="H186" i="16"/>
  <c r="E186" i="16"/>
  <c r="N185" i="16"/>
  <c r="K185" i="16"/>
  <c r="H185" i="16"/>
  <c r="E185" i="16"/>
  <c r="N184" i="16"/>
  <c r="K184" i="16"/>
  <c r="H184" i="16"/>
  <c r="E184" i="16"/>
  <c r="N183" i="16"/>
  <c r="K183" i="16"/>
  <c r="H183" i="16"/>
  <c r="E183" i="16"/>
  <c r="N182" i="16"/>
  <c r="K182" i="16"/>
  <c r="H182" i="16"/>
  <c r="E182" i="16"/>
  <c r="N181" i="16"/>
  <c r="K181" i="16"/>
  <c r="H181" i="16"/>
  <c r="E181" i="16"/>
  <c r="N180" i="16"/>
  <c r="K180" i="16"/>
  <c r="H180" i="16"/>
  <c r="E180" i="16"/>
  <c r="N179" i="16"/>
  <c r="K179" i="16"/>
  <c r="H179" i="16"/>
  <c r="E179" i="16"/>
  <c r="N178" i="16"/>
  <c r="K178" i="16"/>
  <c r="H178" i="16"/>
  <c r="E178" i="16"/>
  <c r="N177" i="16"/>
  <c r="K177" i="16"/>
  <c r="H177" i="16"/>
  <c r="E177" i="16"/>
  <c r="N176" i="16"/>
  <c r="K176" i="16"/>
  <c r="H176" i="16"/>
  <c r="E176" i="16"/>
  <c r="N175" i="16"/>
  <c r="K175" i="16"/>
  <c r="H175" i="16"/>
  <c r="E175" i="16"/>
  <c r="N174" i="16"/>
  <c r="K174" i="16"/>
  <c r="H174" i="16"/>
  <c r="E174" i="16"/>
  <c r="N173" i="16"/>
  <c r="K173" i="16"/>
  <c r="H173" i="16"/>
  <c r="E173" i="16"/>
  <c r="N172" i="16"/>
  <c r="K172" i="16"/>
  <c r="H172" i="16"/>
  <c r="E172" i="16"/>
  <c r="N171" i="16"/>
  <c r="K171" i="16"/>
  <c r="H171" i="16"/>
  <c r="E171" i="16"/>
  <c r="N170" i="16"/>
  <c r="K170" i="16"/>
  <c r="H170" i="16"/>
  <c r="E170" i="16"/>
  <c r="N169" i="16"/>
  <c r="K169" i="16"/>
  <c r="H169" i="16"/>
  <c r="E169" i="16"/>
  <c r="N168" i="16"/>
  <c r="K168" i="16"/>
  <c r="H168" i="16"/>
  <c r="E168" i="16"/>
  <c r="N167" i="16"/>
  <c r="K167" i="16"/>
  <c r="H167" i="16"/>
  <c r="E167" i="16"/>
  <c r="N166" i="16"/>
  <c r="K166" i="16"/>
  <c r="H166" i="16"/>
  <c r="E166" i="16"/>
  <c r="N165" i="16"/>
  <c r="K165" i="16"/>
  <c r="H165" i="16"/>
  <c r="E165" i="16"/>
  <c r="N164" i="16"/>
  <c r="K164" i="16"/>
  <c r="H164" i="16"/>
  <c r="E164" i="16"/>
  <c r="N163" i="16"/>
  <c r="K163" i="16"/>
  <c r="H163" i="16"/>
  <c r="E163" i="16"/>
  <c r="N162" i="16"/>
  <c r="K162" i="16"/>
  <c r="H162" i="16"/>
  <c r="E162" i="16"/>
  <c r="N161" i="16"/>
  <c r="K161" i="16"/>
  <c r="H161" i="16"/>
  <c r="E161" i="16"/>
  <c r="N160" i="16"/>
  <c r="K160" i="16"/>
  <c r="H160" i="16"/>
  <c r="E160" i="16"/>
  <c r="M159" i="16"/>
  <c r="L159" i="16"/>
  <c r="J159" i="16"/>
  <c r="I159" i="16"/>
  <c r="G159" i="16"/>
  <c r="G158" i="16" s="1"/>
  <c r="G21" i="16" s="1"/>
  <c r="F159" i="16"/>
  <c r="D159" i="16"/>
  <c r="C159" i="16"/>
  <c r="C158" i="16" s="1"/>
  <c r="C21" i="16" s="1"/>
  <c r="M158" i="16"/>
  <c r="L158" i="16"/>
  <c r="L21" i="16" s="1"/>
  <c r="J158" i="16"/>
  <c r="I158" i="16"/>
  <c r="F158" i="16"/>
  <c r="D158" i="16"/>
  <c r="N156" i="16"/>
  <c r="K156" i="16"/>
  <c r="H156" i="16"/>
  <c r="E156" i="16"/>
  <c r="N155" i="16"/>
  <c r="K155" i="16"/>
  <c r="H155" i="16"/>
  <c r="N154" i="16"/>
  <c r="K154" i="16"/>
  <c r="H154" i="16"/>
  <c r="E154" i="16"/>
  <c r="M153" i="16"/>
  <c r="L153" i="16"/>
  <c r="J153" i="16"/>
  <c r="I153" i="16"/>
  <c r="G153" i="16"/>
  <c r="F153" i="16"/>
  <c r="D153" i="16"/>
  <c r="C153" i="16"/>
  <c r="N151" i="16"/>
  <c r="K151" i="16"/>
  <c r="H151" i="16"/>
  <c r="E151" i="16"/>
  <c r="N150" i="16"/>
  <c r="K150" i="16"/>
  <c r="H150" i="16"/>
  <c r="E150" i="16"/>
  <c r="N149" i="16"/>
  <c r="K149" i="16"/>
  <c r="H149" i="16"/>
  <c r="E149" i="16"/>
  <c r="N148" i="16"/>
  <c r="K148" i="16"/>
  <c r="H148" i="16"/>
  <c r="E148" i="16"/>
  <c r="N147" i="16"/>
  <c r="K147" i="16"/>
  <c r="H147" i="16"/>
  <c r="E147" i="16"/>
  <c r="N146" i="16"/>
  <c r="K146" i="16"/>
  <c r="H146" i="16"/>
  <c r="E146" i="16"/>
  <c r="N145" i="16"/>
  <c r="K145" i="16"/>
  <c r="H145" i="16"/>
  <c r="E145" i="16"/>
  <c r="N144" i="16"/>
  <c r="K144" i="16"/>
  <c r="H144" i="16"/>
  <c r="E144" i="16"/>
  <c r="M143" i="16"/>
  <c r="L143" i="16"/>
  <c r="J143" i="16"/>
  <c r="I143" i="16"/>
  <c r="G143" i="16"/>
  <c r="F143" i="16"/>
  <c r="D143" i="16"/>
  <c r="C143" i="16"/>
  <c r="E143" i="16" s="1"/>
  <c r="E14" i="16" s="1"/>
  <c r="N141" i="16"/>
  <c r="K141" i="16"/>
  <c r="H141" i="16"/>
  <c r="E141" i="16"/>
  <c r="N140" i="16"/>
  <c r="K140" i="16"/>
  <c r="H140" i="16"/>
  <c r="E140" i="16"/>
  <c r="N139" i="16"/>
  <c r="K139" i="16"/>
  <c r="H139" i="16"/>
  <c r="E139" i="16"/>
  <c r="N138" i="16"/>
  <c r="K138" i="16"/>
  <c r="H138" i="16"/>
  <c r="E138" i="16"/>
  <c r="N137" i="16"/>
  <c r="K137" i="16"/>
  <c r="H137" i="16"/>
  <c r="E137" i="16"/>
  <c r="N136" i="16"/>
  <c r="K136" i="16"/>
  <c r="H136" i="16"/>
  <c r="E136" i="16"/>
  <c r="N135" i="16"/>
  <c r="K135" i="16"/>
  <c r="H135" i="16"/>
  <c r="E135" i="16"/>
  <c r="N134" i="16"/>
  <c r="K134" i="16"/>
  <c r="H134" i="16"/>
  <c r="E134" i="16"/>
  <c r="M133" i="16"/>
  <c r="L133" i="16"/>
  <c r="J133" i="16"/>
  <c r="I133" i="16"/>
  <c r="K133" i="16" s="1"/>
  <c r="K12" i="16" s="1"/>
  <c r="G133" i="16"/>
  <c r="F133" i="16"/>
  <c r="D133" i="16"/>
  <c r="C133" i="16"/>
  <c r="M132" i="16"/>
  <c r="L132" i="16"/>
  <c r="J132" i="16"/>
  <c r="I132" i="16"/>
  <c r="G132" i="16"/>
  <c r="F132" i="16"/>
  <c r="D132" i="16"/>
  <c r="C132" i="16"/>
  <c r="N130" i="16"/>
  <c r="K130" i="16"/>
  <c r="H130" i="16"/>
  <c r="E130" i="16"/>
  <c r="N129" i="16"/>
  <c r="K129" i="16"/>
  <c r="H129" i="16"/>
  <c r="E129" i="16"/>
  <c r="N128" i="16"/>
  <c r="K128" i="16"/>
  <c r="H128" i="16"/>
  <c r="E128" i="16"/>
  <c r="N127" i="16"/>
  <c r="K127" i="16"/>
  <c r="H127" i="16"/>
  <c r="E127" i="16"/>
  <c r="N126" i="16"/>
  <c r="K126" i="16"/>
  <c r="H126" i="16"/>
  <c r="E126" i="16"/>
  <c r="N125" i="16"/>
  <c r="K125" i="16"/>
  <c r="H125" i="16"/>
  <c r="E125" i="16"/>
  <c r="M124" i="16"/>
  <c r="L124" i="16"/>
  <c r="J124" i="16"/>
  <c r="I124" i="16"/>
  <c r="G124" i="16"/>
  <c r="F124" i="16"/>
  <c r="D124" i="16"/>
  <c r="C124" i="16"/>
  <c r="E124" i="16" s="1"/>
  <c r="E23" i="16" s="1"/>
  <c r="N122" i="16"/>
  <c r="K122" i="16"/>
  <c r="H122" i="16"/>
  <c r="E122" i="16"/>
  <c r="N121" i="16"/>
  <c r="K121" i="16"/>
  <c r="H121" i="16"/>
  <c r="E121" i="16"/>
  <c r="N120" i="16"/>
  <c r="K120" i="16"/>
  <c r="H120" i="16"/>
  <c r="E120" i="16"/>
  <c r="N119" i="16"/>
  <c r="K119" i="16"/>
  <c r="H119" i="16"/>
  <c r="E119" i="16"/>
  <c r="N118" i="16"/>
  <c r="K118" i="16"/>
  <c r="H118" i="16"/>
  <c r="E118" i="16"/>
  <c r="N117" i="16"/>
  <c r="K117" i="16"/>
  <c r="H117" i="16"/>
  <c r="E117" i="16"/>
  <c r="N116" i="16"/>
  <c r="K116" i="16"/>
  <c r="H116" i="16"/>
  <c r="E116" i="16"/>
  <c r="N115" i="16"/>
  <c r="K115" i="16"/>
  <c r="H115" i="16"/>
  <c r="E115" i="16"/>
  <c r="N114" i="16"/>
  <c r="K114" i="16"/>
  <c r="H114" i="16"/>
  <c r="E114" i="16"/>
  <c r="N113" i="16"/>
  <c r="K113" i="16"/>
  <c r="H113" i="16"/>
  <c r="E113" i="16"/>
  <c r="N112" i="16"/>
  <c r="K112" i="16"/>
  <c r="H112" i="16"/>
  <c r="E112" i="16"/>
  <c r="N111" i="16"/>
  <c r="K111" i="16"/>
  <c r="H111" i="16"/>
  <c r="E111" i="16"/>
  <c r="N110" i="16"/>
  <c r="K110" i="16"/>
  <c r="H110" i="16"/>
  <c r="E110" i="16"/>
  <c r="N109" i="16"/>
  <c r="K109" i="16"/>
  <c r="H109" i="16"/>
  <c r="E109" i="16"/>
  <c r="N108" i="16"/>
  <c r="K108" i="16"/>
  <c r="H108" i="16"/>
  <c r="E108" i="16"/>
  <c r="N107" i="16"/>
  <c r="K107" i="16"/>
  <c r="H107" i="16"/>
  <c r="E107" i="16"/>
  <c r="N106" i="16"/>
  <c r="K106" i="16"/>
  <c r="H106" i="16"/>
  <c r="E106" i="16"/>
  <c r="N105" i="16"/>
  <c r="K105" i="16"/>
  <c r="H105" i="16"/>
  <c r="E105" i="16"/>
  <c r="N104" i="16"/>
  <c r="K104" i="16"/>
  <c r="H104" i="16"/>
  <c r="E104" i="16"/>
  <c r="N103" i="16"/>
  <c r="K103" i="16"/>
  <c r="H103" i="16"/>
  <c r="E103" i="16"/>
  <c r="N102" i="16"/>
  <c r="K102" i="16"/>
  <c r="H102" i="16"/>
  <c r="E102" i="16"/>
  <c r="N101" i="16"/>
  <c r="K101" i="16"/>
  <c r="H101" i="16"/>
  <c r="E101" i="16"/>
  <c r="N100" i="16"/>
  <c r="K100" i="16"/>
  <c r="H100" i="16"/>
  <c r="E100" i="16"/>
  <c r="N99" i="16"/>
  <c r="K99" i="16"/>
  <c r="H99" i="16"/>
  <c r="E99" i="16"/>
  <c r="N98" i="16"/>
  <c r="K98" i="16"/>
  <c r="H98" i="16"/>
  <c r="E98" i="16"/>
  <c r="N97" i="16"/>
  <c r="K97" i="16"/>
  <c r="H97" i="16"/>
  <c r="E97" i="16"/>
  <c r="N96" i="16"/>
  <c r="K96" i="16"/>
  <c r="H96" i="16"/>
  <c r="E96" i="16"/>
  <c r="M95" i="16"/>
  <c r="M22" i="16" s="1"/>
  <c r="L95" i="16"/>
  <c r="J95" i="16"/>
  <c r="I95" i="16"/>
  <c r="G95" i="16"/>
  <c r="G22" i="16" s="1"/>
  <c r="F95" i="16"/>
  <c r="D95" i="16"/>
  <c r="D22" i="16" s="1"/>
  <c r="C95" i="16"/>
  <c r="N93" i="16"/>
  <c r="K93" i="16"/>
  <c r="H93" i="16"/>
  <c r="E93" i="16"/>
  <c r="N92" i="16"/>
  <c r="K92" i="16"/>
  <c r="H92" i="16"/>
  <c r="E92" i="16"/>
  <c r="N91" i="16"/>
  <c r="K91" i="16"/>
  <c r="H91" i="16"/>
  <c r="E91" i="16"/>
  <c r="N90" i="16"/>
  <c r="K90" i="16"/>
  <c r="H90" i="16"/>
  <c r="E90" i="16"/>
  <c r="N89" i="16"/>
  <c r="K89" i="16"/>
  <c r="H89" i="16"/>
  <c r="N88" i="16"/>
  <c r="K88" i="16"/>
  <c r="H88" i="16"/>
  <c r="E88" i="16"/>
  <c r="N87" i="16"/>
  <c r="K87" i="16"/>
  <c r="H87" i="16"/>
  <c r="E87" i="16"/>
  <c r="N86" i="16"/>
  <c r="K86" i="16"/>
  <c r="H86" i="16"/>
  <c r="E86" i="16"/>
  <c r="N85" i="16"/>
  <c r="K85" i="16"/>
  <c r="H85" i="16"/>
  <c r="E85" i="16"/>
  <c r="N84" i="16"/>
  <c r="K84" i="16"/>
  <c r="H84" i="16"/>
  <c r="E84" i="16"/>
  <c r="N83" i="16"/>
  <c r="K83" i="16"/>
  <c r="H83" i="16"/>
  <c r="E83" i="16"/>
  <c r="N82" i="16"/>
  <c r="K82" i="16"/>
  <c r="H82" i="16"/>
  <c r="E82" i="16"/>
  <c r="N81" i="16"/>
  <c r="K81" i="16"/>
  <c r="H81" i="16"/>
  <c r="E81" i="16"/>
  <c r="N80" i="16"/>
  <c r="K80" i="16"/>
  <c r="H80" i="16"/>
  <c r="M79" i="16"/>
  <c r="M20" i="16" s="1"/>
  <c r="L79" i="16"/>
  <c r="J79" i="16"/>
  <c r="I79" i="16"/>
  <c r="G79" i="16"/>
  <c r="G20" i="16" s="1"/>
  <c r="F79" i="16"/>
  <c r="D79" i="16"/>
  <c r="N77" i="16"/>
  <c r="K77" i="16"/>
  <c r="H77" i="16"/>
  <c r="E77" i="16"/>
  <c r="N76" i="16"/>
  <c r="K76" i="16"/>
  <c r="H76" i="16"/>
  <c r="E76" i="16"/>
  <c r="N75" i="16"/>
  <c r="K75" i="16"/>
  <c r="H75" i="16"/>
  <c r="E75" i="16"/>
  <c r="N74" i="16"/>
  <c r="K74" i="16"/>
  <c r="H74" i="16"/>
  <c r="E74" i="16"/>
  <c r="N73" i="16"/>
  <c r="K73" i="16"/>
  <c r="H73" i="16"/>
  <c r="E73" i="16"/>
  <c r="N72" i="16"/>
  <c r="K72" i="16"/>
  <c r="H72" i="16"/>
  <c r="E72" i="16"/>
  <c r="N71" i="16"/>
  <c r="K71" i="16"/>
  <c r="H71" i="16"/>
  <c r="E71" i="16"/>
  <c r="N70" i="16"/>
  <c r="K70" i="16"/>
  <c r="H70" i="16"/>
  <c r="E70" i="16"/>
  <c r="M69" i="16"/>
  <c r="L69" i="16"/>
  <c r="J69" i="16"/>
  <c r="I69" i="16"/>
  <c r="G69" i="16"/>
  <c r="F69" i="16"/>
  <c r="D69" i="16"/>
  <c r="C69" i="16"/>
  <c r="E69" i="16" s="1"/>
  <c r="E19" i="16" s="1"/>
  <c r="N67" i="16"/>
  <c r="K67" i="16"/>
  <c r="H67" i="16"/>
  <c r="E67" i="16"/>
  <c r="N66" i="16"/>
  <c r="K66" i="16"/>
  <c r="H66" i="16"/>
  <c r="N65" i="16"/>
  <c r="K65" i="16"/>
  <c r="H65" i="16"/>
  <c r="N64" i="16"/>
  <c r="H64" i="16"/>
  <c r="E64" i="16"/>
  <c r="N63" i="16"/>
  <c r="K63" i="16"/>
  <c r="H63" i="16"/>
  <c r="E63" i="16"/>
  <c r="N62" i="16"/>
  <c r="K62" i="16"/>
  <c r="H62" i="16"/>
  <c r="E62" i="16"/>
  <c r="N61" i="16"/>
  <c r="K61" i="16"/>
  <c r="H61" i="16"/>
  <c r="E61" i="16"/>
  <c r="N60" i="16"/>
  <c r="H60" i="16"/>
  <c r="E60" i="16"/>
  <c r="N59" i="16"/>
  <c r="K59" i="16"/>
  <c r="H59" i="16"/>
  <c r="E59" i="16"/>
  <c r="N58" i="16"/>
  <c r="K58" i="16"/>
  <c r="H58" i="16"/>
  <c r="E58" i="16"/>
  <c r="N57" i="16"/>
  <c r="K57" i="16"/>
  <c r="H57" i="16"/>
  <c r="E57" i="16"/>
  <c r="N56" i="16"/>
  <c r="K56" i="16"/>
  <c r="H56" i="16"/>
  <c r="E56" i="16"/>
  <c r="M55" i="16"/>
  <c r="M18" i="16" s="1"/>
  <c r="L55" i="16"/>
  <c r="J55" i="16"/>
  <c r="J18" i="16" s="1"/>
  <c r="I55" i="16"/>
  <c r="G55" i="16"/>
  <c r="G18" i="16" s="1"/>
  <c r="F55" i="16"/>
  <c r="D55" i="16"/>
  <c r="D18" i="16" s="1"/>
  <c r="C55" i="16"/>
  <c r="N53" i="16"/>
  <c r="K53" i="16"/>
  <c r="H53" i="16"/>
  <c r="E53" i="16"/>
  <c r="N52" i="16"/>
  <c r="K52" i="16"/>
  <c r="H52" i="16"/>
  <c r="E52" i="16"/>
  <c r="N51" i="16"/>
  <c r="K51" i="16"/>
  <c r="H51" i="16"/>
  <c r="E51" i="16"/>
  <c r="N50" i="16"/>
  <c r="K50" i="16"/>
  <c r="H50" i="16"/>
  <c r="E50" i="16"/>
  <c r="N49" i="16"/>
  <c r="K49" i="16"/>
  <c r="H49" i="16"/>
  <c r="E49" i="16"/>
  <c r="N48" i="16"/>
  <c r="E48" i="16"/>
  <c r="N47" i="16"/>
  <c r="K47" i="16"/>
  <c r="E47" i="16"/>
  <c r="N46" i="16"/>
  <c r="K46" i="16"/>
  <c r="E46" i="16"/>
  <c r="N45" i="16"/>
  <c r="K45" i="16"/>
  <c r="H45" i="16"/>
  <c r="E45" i="16"/>
  <c r="N44" i="16"/>
  <c r="K44" i="16"/>
  <c r="H44" i="16"/>
  <c r="E44" i="16"/>
  <c r="N43" i="16"/>
  <c r="K43" i="16"/>
  <c r="H43" i="16"/>
  <c r="E43" i="16"/>
  <c r="N42" i="16"/>
  <c r="K42" i="16"/>
  <c r="H42" i="16"/>
  <c r="E42" i="16"/>
  <c r="N41" i="16"/>
  <c r="K41" i="16"/>
  <c r="H41" i="16"/>
  <c r="E41" i="16"/>
  <c r="N40" i="16"/>
  <c r="K40" i="16"/>
  <c r="H40" i="16"/>
  <c r="E40" i="16"/>
  <c r="N39" i="16"/>
  <c r="K39" i="16"/>
  <c r="H39" i="16"/>
  <c r="E39" i="16"/>
  <c r="N38" i="16"/>
  <c r="K38" i="16"/>
  <c r="H38" i="16"/>
  <c r="E38" i="16"/>
  <c r="N37" i="16"/>
  <c r="K37" i="16"/>
  <c r="H37" i="16"/>
  <c r="E37" i="16"/>
  <c r="N36" i="16"/>
  <c r="K36" i="16"/>
  <c r="H36" i="16"/>
  <c r="E36" i="16"/>
  <c r="M35" i="16"/>
  <c r="M17" i="16" s="1"/>
  <c r="L35" i="16"/>
  <c r="L17" i="16" s="1"/>
  <c r="J35" i="16"/>
  <c r="J34" i="16" s="1"/>
  <c r="I35" i="16"/>
  <c r="I17" i="16" s="1"/>
  <c r="G35" i="16"/>
  <c r="F35" i="16"/>
  <c r="D35" i="16"/>
  <c r="D17" i="16" s="1"/>
  <c r="C35" i="16"/>
  <c r="M27" i="16"/>
  <c r="L27" i="16"/>
  <c r="J27" i="16"/>
  <c r="I27" i="16"/>
  <c r="K27" i="16" s="1"/>
  <c r="G27" i="16"/>
  <c r="F27" i="16"/>
  <c r="H27" i="16" s="1"/>
  <c r="D27" i="16"/>
  <c r="C27" i="16"/>
  <c r="E27" i="16" s="1"/>
  <c r="M26" i="16"/>
  <c r="L26" i="16"/>
  <c r="N26" i="16" s="1"/>
  <c r="J26" i="16"/>
  <c r="I26" i="16"/>
  <c r="G26" i="16"/>
  <c r="F26" i="16"/>
  <c r="D26" i="16"/>
  <c r="C26" i="16"/>
  <c r="M25" i="16"/>
  <c r="L25" i="16"/>
  <c r="N25" i="16" s="1"/>
  <c r="I25" i="16"/>
  <c r="G25" i="16"/>
  <c r="F25" i="16"/>
  <c r="D25" i="16"/>
  <c r="C25" i="16"/>
  <c r="E25" i="16" s="1"/>
  <c r="M24" i="16"/>
  <c r="L24" i="16"/>
  <c r="I24" i="16"/>
  <c r="G24" i="16"/>
  <c r="F24" i="16"/>
  <c r="D24" i="16"/>
  <c r="C24" i="16"/>
  <c r="M23" i="16"/>
  <c r="L23" i="16"/>
  <c r="J23" i="16"/>
  <c r="I23" i="16"/>
  <c r="G23" i="16"/>
  <c r="F23" i="16"/>
  <c r="D23" i="16"/>
  <c r="L22" i="16"/>
  <c r="J22" i="16"/>
  <c r="F22" i="16"/>
  <c r="M21" i="16"/>
  <c r="J21" i="16"/>
  <c r="I21" i="16"/>
  <c r="F21" i="16"/>
  <c r="D21" i="16"/>
  <c r="L20" i="16"/>
  <c r="J20" i="16"/>
  <c r="F20" i="16"/>
  <c r="D20" i="16"/>
  <c r="M19" i="16"/>
  <c r="L19" i="16"/>
  <c r="J19" i="16"/>
  <c r="I19" i="16"/>
  <c r="G19" i="16"/>
  <c r="F19" i="16"/>
  <c r="D19" i="16"/>
  <c r="F17" i="16"/>
  <c r="M16" i="16"/>
  <c r="L16" i="16"/>
  <c r="J16" i="16"/>
  <c r="I16" i="16"/>
  <c r="G16" i="16"/>
  <c r="F16" i="16"/>
  <c r="D16" i="16"/>
  <c r="M15" i="16"/>
  <c r="L15" i="16"/>
  <c r="J15" i="16"/>
  <c r="I15" i="16"/>
  <c r="G15" i="16"/>
  <c r="F15" i="16"/>
  <c r="D15" i="16"/>
  <c r="C15" i="16"/>
  <c r="M14" i="16"/>
  <c r="L14" i="16"/>
  <c r="J14" i="16"/>
  <c r="I14" i="16"/>
  <c r="G14" i="16"/>
  <c r="F14" i="16"/>
  <c r="D14" i="16"/>
  <c r="C14" i="16"/>
  <c r="M12" i="16"/>
  <c r="L12" i="16"/>
  <c r="J12" i="16"/>
  <c r="I12" i="16"/>
  <c r="G12" i="16"/>
  <c r="F12" i="16"/>
  <c r="D12" i="16"/>
  <c r="C12" i="16"/>
  <c r="N286" i="16" l="1"/>
  <c r="K26" i="16"/>
  <c r="H26" i="16"/>
  <c r="H286" i="16"/>
  <c r="E26" i="16"/>
  <c r="E286" i="16"/>
  <c r="K253" i="16"/>
  <c r="K24" i="16" s="1"/>
  <c r="G34" i="16"/>
  <c r="J17" i="16"/>
  <c r="J13" i="16" s="1"/>
  <c r="C23" i="16"/>
  <c r="C236" i="16"/>
  <c r="C16" i="16" s="1"/>
  <c r="K132" i="16"/>
  <c r="K236" i="16"/>
  <c r="K16" i="16" s="1"/>
  <c r="K143" i="16"/>
  <c r="K14" i="16" s="1"/>
  <c r="E153" i="16"/>
  <c r="E15" i="16" s="1"/>
  <c r="K79" i="16"/>
  <c r="K20" i="16" s="1"/>
  <c r="K95" i="16"/>
  <c r="K22" i="16" s="1"/>
  <c r="E95" i="16"/>
  <c r="E22" i="16" s="1"/>
  <c r="K237" i="16"/>
  <c r="E132" i="16"/>
  <c r="E133" i="16"/>
  <c r="E12" i="16" s="1"/>
  <c r="L34" i="16"/>
  <c r="F34" i="16"/>
  <c r="D34" i="16"/>
  <c r="F18" i="16"/>
  <c r="F13" i="16" s="1"/>
  <c r="F11" i="16" s="1"/>
  <c r="F10" i="16" s="1"/>
  <c r="E55" i="16"/>
  <c r="E18" i="16" s="1"/>
  <c r="L18" i="16"/>
  <c r="L13" i="16" s="1"/>
  <c r="L11" i="16" s="1"/>
  <c r="L10" i="16" s="1"/>
  <c r="K55" i="16"/>
  <c r="K18" i="16" s="1"/>
  <c r="C22" i="16"/>
  <c r="K124" i="16"/>
  <c r="K23" i="16" s="1"/>
  <c r="I18" i="16"/>
  <c r="H55" i="16"/>
  <c r="H18" i="16" s="1"/>
  <c r="C18" i="16"/>
  <c r="K153" i="16"/>
  <c r="K15" i="16" s="1"/>
  <c r="K159" i="16"/>
  <c r="E79" i="16"/>
  <c r="E20" i="16" s="1"/>
  <c r="K158" i="16"/>
  <c r="K21" i="16" s="1"/>
  <c r="K194" i="16"/>
  <c r="E194" i="16"/>
  <c r="C20" i="16"/>
  <c r="I20" i="16"/>
  <c r="M34" i="16"/>
  <c r="E35" i="16"/>
  <c r="E17" i="16" s="1"/>
  <c r="G17" i="16"/>
  <c r="I22" i="16"/>
  <c r="K35" i="16"/>
  <c r="K17" i="16" s="1"/>
  <c r="I13" i="16"/>
  <c r="I11" i="16" s="1"/>
  <c r="I10" i="16" s="1"/>
  <c r="C17" i="16"/>
  <c r="H25" i="16"/>
  <c r="K267" i="16"/>
  <c r="K269" i="16"/>
  <c r="K271" i="16"/>
  <c r="K272" i="16"/>
  <c r="K276" i="16"/>
  <c r="K25" i="16"/>
  <c r="K265" i="16"/>
  <c r="N253" i="16"/>
  <c r="N24" i="16" s="1"/>
  <c r="H253" i="16"/>
  <c r="H24" i="16" s="1"/>
  <c r="N246" i="16"/>
  <c r="H246" i="16"/>
  <c r="N236" i="16"/>
  <c r="N16" i="16" s="1"/>
  <c r="N237" i="16"/>
  <c r="G13" i="16"/>
  <c r="G11" i="16" s="1"/>
  <c r="G10" i="16" s="1"/>
  <c r="H236" i="16"/>
  <c r="H16" i="16" s="1"/>
  <c r="H237" i="16"/>
  <c r="D13" i="16"/>
  <c r="D11" i="16" s="1"/>
  <c r="D10" i="16" s="1"/>
  <c r="N194" i="16"/>
  <c r="H194" i="16"/>
  <c r="N188" i="16"/>
  <c r="H188" i="16"/>
  <c r="N158" i="16"/>
  <c r="N21" i="16" s="1"/>
  <c r="N159" i="16"/>
  <c r="H158" i="16"/>
  <c r="H21" i="16" s="1"/>
  <c r="H159" i="16"/>
  <c r="E158" i="16"/>
  <c r="E21" i="16" s="1"/>
  <c r="E159" i="16"/>
  <c r="N153" i="16"/>
  <c r="N15" i="16" s="1"/>
  <c r="H153" i="16"/>
  <c r="H15" i="16" s="1"/>
  <c r="N143" i="16"/>
  <c r="N14" i="16" s="1"/>
  <c r="H143" i="16"/>
  <c r="H14" i="16" s="1"/>
  <c r="N132" i="16"/>
  <c r="N133" i="16"/>
  <c r="N12" i="16" s="1"/>
  <c r="H132" i="16"/>
  <c r="H133" i="16"/>
  <c r="H12" i="16" s="1"/>
  <c r="N124" i="16"/>
  <c r="N23" i="16" s="1"/>
  <c r="H124" i="16"/>
  <c r="H23" i="16" s="1"/>
  <c r="N95" i="16"/>
  <c r="N22" i="16" s="1"/>
  <c r="H95" i="16"/>
  <c r="H22" i="16" s="1"/>
  <c r="N79" i="16"/>
  <c r="N20" i="16" s="1"/>
  <c r="H79" i="16"/>
  <c r="H20" i="16" s="1"/>
  <c r="N69" i="16"/>
  <c r="N19" i="16" s="1"/>
  <c r="K69" i="16"/>
  <c r="K19" i="16" s="1"/>
  <c r="H69" i="16"/>
  <c r="H19" i="16" s="1"/>
  <c r="C19" i="16"/>
  <c r="C34" i="16"/>
  <c r="M13" i="16"/>
  <c r="M11" i="16" s="1"/>
  <c r="M10" i="16" s="1"/>
  <c r="N55" i="16"/>
  <c r="N18" i="16" s="1"/>
  <c r="N34" i="16"/>
  <c r="N35" i="16"/>
  <c r="N17" i="16" s="1"/>
  <c r="I34" i="16"/>
  <c r="K34" i="16" s="1"/>
  <c r="H34" i="16"/>
  <c r="H35" i="16"/>
  <c r="H17" i="16" s="1"/>
  <c r="C35" i="14"/>
  <c r="C34" i="14" s="1"/>
  <c r="E34" i="14" s="1"/>
  <c r="D35" i="14"/>
  <c r="D34" i="14" s="1"/>
  <c r="F35" i="14"/>
  <c r="F34" i="14" s="1"/>
  <c r="G35" i="14"/>
  <c r="G34" i="14" s="1"/>
  <c r="I35" i="14"/>
  <c r="I34" i="14" s="1"/>
  <c r="J35" i="14"/>
  <c r="J34" i="14" s="1"/>
  <c r="K35" i="14"/>
  <c r="L35" i="14"/>
  <c r="L34" i="14" s="1"/>
  <c r="N34" i="14" s="1"/>
  <c r="M35" i="14"/>
  <c r="M34" i="14" s="1"/>
  <c r="E36" i="14"/>
  <c r="H36" i="14"/>
  <c r="K36" i="14"/>
  <c r="N36" i="14"/>
  <c r="H10" i="15"/>
  <c r="H9" i="15"/>
  <c r="H8" i="15"/>
  <c r="J271" i="14"/>
  <c r="I271" i="14"/>
  <c r="K271" i="14" s="1"/>
  <c r="H271" i="14"/>
  <c r="E271" i="14"/>
  <c r="N268" i="14"/>
  <c r="N269" i="14"/>
  <c r="N270" i="14"/>
  <c r="N272" i="14"/>
  <c r="N273" i="14"/>
  <c r="N274" i="14"/>
  <c r="N275" i="14"/>
  <c r="N276" i="14"/>
  <c r="N277" i="14"/>
  <c r="N278" i="14"/>
  <c r="J277" i="14"/>
  <c r="I277" i="14"/>
  <c r="K277" i="14" s="1"/>
  <c r="H277" i="14"/>
  <c r="E277" i="14"/>
  <c r="J276" i="14"/>
  <c r="I276" i="14"/>
  <c r="K276" i="14" s="1"/>
  <c r="H276" i="14"/>
  <c r="E276" i="14"/>
  <c r="J275" i="14"/>
  <c r="I275" i="14"/>
  <c r="K275" i="14" s="1"/>
  <c r="H275" i="14"/>
  <c r="E275" i="14"/>
  <c r="K274" i="14"/>
  <c r="H274" i="14"/>
  <c r="E274" i="14"/>
  <c r="K273" i="14"/>
  <c r="H273" i="14"/>
  <c r="E273" i="14"/>
  <c r="J272" i="14"/>
  <c r="I272" i="14"/>
  <c r="K272" i="14" s="1"/>
  <c r="H272" i="14"/>
  <c r="E272" i="14"/>
  <c r="J270" i="14"/>
  <c r="I270" i="14"/>
  <c r="K270" i="14" s="1"/>
  <c r="H270" i="14"/>
  <c r="E270" i="14"/>
  <c r="J268" i="14"/>
  <c r="I268" i="14"/>
  <c r="K268" i="14" s="1"/>
  <c r="H268" i="14"/>
  <c r="E268" i="14"/>
  <c r="J269" i="14"/>
  <c r="I269" i="14"/>
  <c r="K269" i="14" s="1"/>
  <c r="H269" i="14"/>
  <c r="E269" i="14"/>
  <c r="N267" i="14"/>
  <c r="J267" i="14"/>
  <c r="I267" i="14"/>
  <c r="H267" i="14"/>
  <c r="E267" i="14"/>
  <c r="K266" i="14"/>
  <c r="H266" i="14"/>
  <c r="E266" i="14"/>
  <c r="E34" i="16" l="1"/>
  <c r="C13" i="16"/>
  <c r="E13" i="16" s="1"/>
  <c r="E236" i="16"/>
  <c r="E16" i="16" s="1"/>
  <c r="H13" i="16"/>
  <c r="H10" i="16"/>
  <c r="K13" i="16"/>
  <c r="N10" i="16"/>
  <c r="N13" i="16"/>
  <c r="N11" i="16"/>
  <c r="J11" i="16"/>
  <c r="J10" i="16" s="1"/>
  <c r="K10" i="16" s="1"/>
  <c r="H11" i="16"/>
  <c r="E35" i="14"/>
  <c r="K34" i="14"/>
  <c r="H34" i="14"/>
  <c r="N35" i="14"/>
  <c r="H35" i="14"/>
  <c r="F7" i="15"/>
  <c r="H6" i="15" s="1"/>
  <c r="K267" i="14"/>
  <c r="C11" i="16" l="1"/>
  <c r="E11" i="16" s="1"/>
  <c r="K11" i="16"/>
  <c r="H7" i="15"/>
  <c r="M79" i="14"/>
  <c r="L79" i="14"/>
  <c r="J79" i="14"/>
  <c r="I79" i="14"/>
  <c r="G79" i="14"/>
  <c r="F79" i="14"/>
  <c r="D79" i="14"/>
  <c r="C79" i="14"/>
  <c r="N93" i="14"/>
  <c r="K93" i="14"/>
  <c r="H93" i="14"/>
  <c r="E93" i="14"/>
  <c r="N91" i="14"/>
  <c r="K91" i="14"/>
  <c r="H91" i="14"/>
  <c r="E91" i="14"/>
  <c r="N65" i="14"/>
  <c r="K65" i="14"/>
  <c r="H65" i="14"/>
  <c r="E65" i="14"/>
  <c r="N83" i="14"/>
  <c r="K83" i="14"/>
  <c r="H83" i="14"/>
  <c r="E83" i="14"/>
  <c r="C10" i="16" l="1"/>
  <c r="E10" i="16" s="1"/>
  <c r="E163" i="14"/>
  <c r="N233" i="14" l="1"/>
  <c r="K233" i="14"/>
  <c r="H233" i="14"/>
  <c r="E233" i="14"/>
  <c r="N185" i="14"/>
  <c r="K185" i="14"/>
  <c r="H185" i="14"/>
  <c r="E185" i="14"/>
  <c r="N184" i="14"/>
  <c r="K184" i="14"/>
  <c r="H184" i="14"/>
  <c r="E184" i="14"/>
  <c r="N232" i="14"/>
  <c r="K232" i="14"/>
  <c r="H232" i="14"/>
  <c r="E232" i="14"/>
  <c r="N178" i="14" l="1"/>
  <c r="K178" i="14"/>
  <c r="H178" i="14"/>
  <c r="E178" i="14"/>
  <c r="K295" i="14" l="1"/>
  <c r="H295" i="14"/>
  <c r="E295" i="14"/>
  <c r="M294" i="14"/>
  <c r="M27" i="14" s="1"/>
  <c r="L294" i="14"/>
  <c r="L27" i="14" s="1"/>
  <c r="J294" i="14"/>
  <c r="I294" i="14"/>
  <c r="G294" i="14"/>
  <c r="F294" i="14"/>
  <c r="D294" i="14"/>
  <c r="D27" i="14" s="1"/>
  <c r="C294" i="14"/>
  <c r="N291" i="14"/>
  <c r="K291" i="14"/>
  <c r="H291" i="14"/>
  <c r="E291" i="14"/>
  <c r="N290" i="14"/>
  <c r="K290" i="14"/>
  <c r="H290" i="14"/>
  <c r="E290" i="14"/>
  <c r="N289" i="14"/>
  <c r="K289" i="14"/>
  <c r="H289" i="14"/>
  <c r="E289" i="14"/>
  <c r="N288" i="14"/>
  <c r="K288" i="14"/>
  <c r="H288" i="14"/>
  <c r="E288" i="14"/>
  <c r="N287" i="14"/>
  <c r="K287" i="14"/>
  <c r="H287" i="14"/>
  <c r="E287" i="14"/>
  <c r="M286" i="14"/>
  <c r="M26" i="14" s="1"/>
  <c r="L286" i="14"/>
  <c r="L26" i="14" s="1"/>
  <c r="J286" i="14"/>
  <c r="J26" i="14" s="1"/>
  <c r="I286" i="14"/>
  <c r="I26" i="14" s="1"/>
  <c r="G286" i="14"/>
  <c r="G26" i="14" s="1"/>
  <c r="F286" i="14"/>
  <c r="F26" i="14" s="1"/>
  <c r="D286" i="14"/>
  <c r="D26" i="14" s="1"/>
  <c r="C286" i="14"/>
  <c r="C26" i="14" s="1"/>
  <c r="N283" i="14"/>
  <c r="K283" i="14"/>
  <c r="H283" i="14"/>
  <c r="E283" i="14"/>
  <c r="N281" i="14"/>
  <c r="K281" i="14"/>
  <c r="H281" i="14"/>
  <c r="E281" i="14"/>
  <c r="N280" i="14"/>
  <c r="K280" i="14"/>
  <c r="H280" i="14"/>
  <c r="E280" i="14"/>
  <c r="N282" i="14"/>
  <c r="K282" i="14"/>
  <c r="H282" i="14"/>
  <c r="E282" i="14"/>
  <c r="N279" i="14"/>
  <c r="K279" i="14"/>
  <c r="H279" i="14"/>
  <c r="E279" i="14"/>
  <c r="M265" i="14"/>
  <c r="M25" i="14" s="1"/>
  <c r="L265" i="14"/>
  <c r="L25" i="14" s="1"/>
  <c r="J265" i="14"/>
  <c r="J25" i="14" s="1"/>
  <c r="I265" i="14"/>
  <c r="I25" i="14" s="1"/>
  <c r="G265" i="14"/>
  <c r="F265" i="14"/>
  <c r="D265" i="14"/>
  <c r="D25" i="14" s="1"/>
  <c r="C265" i="14"/>
  <c r="C25" i="14" s="1"/>
  <c r="N262" i="14"/>
  <c r="K262" i="14"/>
  <c r="H262" i="14"/>
  <c r="E262" i="14"/>
  <c r="N261" i="14"/>
  <c r="K261" i="14"/>
  <c r="H261" i="14"/>
  <c r="E261" i="14"/>
  <c r="N260" i="14"/>
  <c r="K260" i="14"/>
  <c r="H260" i="14"/>
  <c r="E260" i="14"/>
  <c r="N259" i="14"/>
  <c r="K259" i="14"/>
  <c r="H259" i="14"/>
  <c r="E259" i="14"/>
  <c r="N258" i="14"/>
  <c r="K258" i="14"/>
  <c r="H258" i="14"/>
  <c r="E258" i="14"/>
  <c r="N257" i="14"/>
  <c r="K257" i="14"/>
  <c r="H257" i="14"/>
  <c r="E257" i="14"/>
  <c r="N256" i="14"/>
  <c r="K256" i="14"/>
  <c r="H256" i="14"/>
  <c r="E256" i="14"/>
  <c r="N255" i="14"/>
  <c r="K255" i="14"/>
  <c r="H255" i="14"/>
  <c r="E255" i="14"/>
  <c r="N254" i="14"/>
  <c r="K254" i="14"/>
  <c r="H254" i="14"/>
  <c r="E254" i="14"/>
  <c r="M253" i="14"/>
  <c r="M24" i="14" s="1"/>
  <c r="L253" i="14"/>
  <c r="L24" i="14" s="1"/>
  <c r="J253" i="14"/>
  <c r="J24" i="14" s="1"/>
  <c r="I253" i="14"/>
  <c r="G253" i="14"/>
  <c r="G24" i="14" s="1"/>
  <c r="F253" i="14"/>
  <c r="D253" i="14"/>
  <c r="D24" i="14" s="1"/>
  <c r="C253" i="14"/>
  <c r="N251" i="14"/>
  <c r="K251" i="14"/>
  <c r="H251" i="14"/>
  <c r="E251" i="14"/>
  <c r="N250" i="14"/>
  <c r="K250" i="14"/>
  <c r="H250" i="14"/>
  <c r="E250" i="14"/>
  <c r="N249" i="14"/>
  <c r="K249" i="14"/>
  <c r="H249" i="14"/>
  <c r="E249" i="14"/>
  <c r="N248" i="14"/>
  <c r="K248" i="14"/>
  <c r="H248" i="14"/>
  <c r="E248" i="14"/>
  <c r="N247" i="14"/>
  <c r="K247" i="14"/>
  <c r="H247" i="14"/>
  <c r="E247" i="14"/>
  <c r="M246" i="14"/>
  <c r="L246" i="14"/>
  <c r="J246" i="14"/>
  <c r="I246" i="14"/>
  <c r="G246" i="14"/>
  <c r="F246" i="14"/>
  <c r="D246" i="14"/>
  <c r="C246" i="14"/>
  <c r="N244" i="14"/>
  <c r="K244" i="14"/>
  <c r="H244" i="14"/>
  <c r="E244" i="14"/>
  <c r="N243" i="14"/>
  <c r="K243" i="14"/>
  <c r="H243" i="14"/>
  <c r="E243" i="14"/>
  <c r="N242" i="14"/>
  <c r="K242" i="14"/>
  <c r="H242" i="14"/>
  <c r="E242" i="14"/>
  <c r="N241" i="14"/>
  <c r="K241" i="14"/>
  <c r="H241" i="14"/>
  <c r="E241" i="14"/>
  <c r="N240" i="14"/>
  <c r="K240" i="14"/>
  <c r="H240" i="14"/>
  <c r="E240" i="14"/>
  <c r="N239" i="14"/>
  <c r="K239" i="14"/>
  <c r="H239" i="14"/>
  <c r="E239" i="14"/>
  <c r="N238" i="14"/>
  <c r="K238" i="14"/>
  <c r="H238" i="14"/>
  <c r="E238" i="14"/>
  <c r="M237" i="14"/>
  <c r="L237" i="14"/>
  <c r="J237" i="14"/>
  <c r="I237" i="14"/>
  <c r="G237" i="14"/>
  <c r="G236" i="14" s="1"/>
  <c r="G16" i="14" s="1"/>
  <c r="F237" i="14"/>
  <c r="D237" i="14"/>
  <c r="D236" i="14" s="1"/>
  <c r="D16" i="14" s="1"/>
  <c r="C237" i="14"/>
  <c r="N234" i="14"/>
  <c r="K234" i="14"/>
  <c r="H234" i="14"/>
  <c r="E234" i="14"/>
  <c r="N231" i="14"/>
  <c r="K231" i="14"/>
  <c r="H231" i="14"/>
  <c r="E231" i="14"/>
  <c r="N230" i="14"/>
  <c r="K230" i="14"/>
  <c r="H230" i="14"/>
  <c r="E230" i="14"/>
  <c r="N229" i="14"/>
  <c r="K229" i="14"/>
  <c r="H229" i="14"/>
  <c r="E229" i="14"/>
  <c r="N228" i="14"/>
  <c r="K228" i="14"/>
  <c r="H228" i="14"/>
  <c r="E228" i="14"/>
  <c r="N227" i="14"/>
  <c r="K227" i="14"/>
  <c r="H227" i="14"/>
  <c r="E227" i="14"/>
  <c r="N226" i="14"/>
  <c r="K226" i="14"/>
  <c r="H226" i="14"/>
  <c r="E226" i="14"/>
  <c r="N225" i="14"/>
  <c r="K225" i="14"/>
  <c r="H225" i="14"/>
  <c r="E225" i="14"/>
  <c r="N224" i="14"/>
  <c r="K224" i="14"/>
  <c r="H224" i="14"/>
  <c r="E224" i="14"/>
  <c r="N223" i="14"/>
  <c r="K223" i="14"/>
  <c r="H223" i="14"/>
  <c r="E223" i="14"/>
  <c r="N222" i="14"/>
  <c r="K222" i="14"/>
  <c r="H222" i="14"/>
  <c r="E222" i="14"/>
  <c r="N221" i="14"/>
  <c r="K221" i="14"/>
  <c r="H221" i="14"/>
  <c r="E221" i="14"/>
  <c r="N220" i="14"/>
  <c r="K220" i="14"/>
  <c r="H220" i="14"/>
  <c r="E220" i="14"/>
  <c r="N219" i="14"/>
  <c r="K219" i="14"/>
  <c r="H219" i="14"/>
  <c r="E219" i="14"/>
  <c r="N218" i="14"/>
  <c r="K218" i="14"/>
  <c r="H218" i="14"/>
  <c r="E218" i="14"/>
  <c r="N217" i="14"/>
  <c r="K217" i="14"/>
  <c r="H217" i="14"/>
  <c r="E217" i="14"/>
  <c r="N216" i="14"/>
  <c r="K216" i="14"/>
  <c r="H216" i="14"/>
  <c r="E216" i="14"/>
  <c r="N215" i="14"/>
  <c r="K215" i="14"/>
  <c r="H215" i="14"/>
  <c r="E215" i="14"/>
  <c r="N214" i="14"/>
  <c r="K214" i="14"/>
  <c r="H214" i="14"/>
  <c r="E214" i="14"/>
  <c r="N213" i="14"/>
  <c r="K213" i="14"/>
  <c r="H213" i="14"/>
  <c r="E213" i="14"/>
  <c r="N212" i="14"/>
  <c r="K212" i="14"/>
  <c r="H212" i="14"/>
  <c r="E212" i="14"/>
  <c r="N211" i="14"/>
  <c r="K211" i="14"/>
  <c r="H211" i="14"/>
  <c r="E211" i="14"/>
  <c r="N210" i="14"/>
  <c r="K210" i="14"/>
  <c r="H210" i="14"/>
  <c r="E210" i="14"/>
  <c r="N209" i="14"/>
  <c r="K209" i="14"/>
  <c r="H209" i="14"/>
  <c r="E209" i="14"/>
  <c r="N208" i="14"/>
  <c r="K208" i="14"/>
  <c r="H208" i="14"/>
  <c r="E208" i="14"/>
  <c r="N207" i="14"/>
  <c r="K207" i="14"/>
  <c r="H207" i="14"/>
  <c r="E207" i="14"/>
  <c r="N206" i="14"/>
  <c r="K206" i="14"/>
  <c r="H206" i="14"/>
  <c r="E206" i="14"/>
  <c r="N205" i="14"/>
  <c r="K205" i="14"/>
  <c r="H205" i="14"/>
  <c r="E205" i="14"/>
  <c r="N204" i="14"/>
  <c r="K204" i="14"/>
  <c r="H204" i="14"/>
  <c r="E204" i="14"/>
  <c r="N203" i="14"/>
  <c r="K203" i="14"/>
  <c r="H203" i="14"/>
  <c r="E203" i="14"/>
  <c r="N202" i="14"/>
  <c r="K202" i="14"/>
  <c r="H202" i="14"/>
  <c r="E202" i="14"/>
  <c r="N201" i="14"/>
  <c r="K201" i="14"/>
  <c r="H201" i="14"/>
  <c r="E201" i="14"/>
  <c r="N200" i="14"/>
  <c r="K200" i="14"/>
  <c r="H200" i="14"/>
  <c r="E200" i="14"/>
  <c r="N199" i="14"/>
  <c r="K199" i="14"/>
  <c r="H199" i="14"/>
  <c r="E199" i="14"/>
  <c r="N198" i="14"/>
  <c r="K198" i="14"/>
  <c r="H198" i="14"/>
  <c r="E198" i="14"/>
  <c r="N197" i="14"/>
  <c r="K197" i="14"/>
  <c r="H197" i="14"/>
  <c r="E197" i="14"/>
  <c r="N196" i="14"/>
  <c r="K196" i="14"/>
  <c r="H196" i="14"/>
  <c r="E196" i="14"/>
  <c r="N195" i="14"/>
  <c r="K195" i="14"/>
  <c r="H195" i="14"/>
  <c r="E195" i="14"/>
  <c r="M194" i="14"/>
  <c r="L194" i="14"/>
  <c r="J194" i="14"/>
  <c r="I194" i="14"/>
  <c r="G194" i="14"/>
  <c r="F194" i="14"/>
  <c r="D194" i="14"/>
  <c r="C194" i="14"/>
  <c r="N192" i="14"/>
  <c r="K192" i="14"/>
  <c r="H192" i="14"/>
  <c r="E192" i="14"/>
  <c r="N191" i="14"/>
  <c r="K191" i="14"/>
  <c r="H191" i="14"/>
  <c r="E191" i="14"/>
  <c r="N190" i="14"/>
  <c r="K190" i="14"/>
  <c r="H190" i="14"/>
  <c r="E190" i="14"/>
  <c r="N189" i="14"/>
  <c r="K189" i="14"/>
  <c r="H189" i="14"/>
  <c r="E189" i="14"/>
  <c r="M188" i="14"/>
  <c r="L188" i="14"/>
  <c r="J188" i="14"/>
  <c r="I188" i="14"/>
  <c r="G188" i="14"/>
  <c r="F188" i="14"/>
  <c r="D188" i="14"/>
  <c r="C188" i="14"/>
  <c r="N186" i="14"/>
  <c r="K186" i="14"/>
  <c r="H186" i="14"/>
  <c r="E186" i="14"/>
  <c r="N183" i="14"/>
  <c r="K183" i="14"/>
  <c r="H183" i="14"/>
  <c r="E183" i="14"/>
  <c r="N182" i="14"/>
  <c r="K182" i="14"/>
  <c r="H182" i="14"/>
  <c r="E182" i="14"/>
  <c r="N181" i="14"/>
  <c r="K181" i="14"/>
  <c r="H181" i="14"/>
  <c r="E181" i="14"/>
  <c r="N180" i="14"/>
  <c r="K180" i="14"/>
  <c r="H180" i="14"/>
  <c r="E180" i="14"/>
  <c r="N179" i="14"/>
  <c r="K179" i="14"/>
  <c r="H179" i="14"/>
  <c r="E179" i="14"/>
  <c r="N177" i="14"/>
  <c r="K177" i="14"/>
  <c r="H177" i="14"/>
  <c r="E177" i="14"/>
  <c r="N176" i="14"/>
  <c r="K176" i="14"/>
  <c r="H176" i="14"/>
  <c r="E176" i="14"/>
  <c r="N175" i="14"/>
  <c r="K175" i="14"/>
  <c r="H175" i="14"/>
  <c r="E175" i="14"/>
  <c r="N174" i="14"/>
  <c r="K174" i="14"/>
  <c r="H174" i="14"/>
  <c r="E174" i="14"/>
  <c r="N173" i="14"/>
  <c r="K173" i="14"/>
  <c r="H173" i="14"/>
  <c r="E173" i="14"/>
  <c r="N172" i="14"/>
  <c r="K172" i="14"/>
  <c r="H172" i="14"/>
  <c r="E172" i="14"/>
  <c r="N171" i="14"/>
  <c r="K171" i="14"/>
  <c r="H171" i="14"/>
  <c r="E171" i="14"/>
  <c r="N170" i="14"/>
  <c r="K170" i="14"/>
  <c r="H170" i="14"/>
  <c r="E170" i="14"/>
  <c r="N169" i="14"/>
  <c r="K169" i="14"/>
  <c r="H169" i="14"/>
  <c r="E169" i="14"/>
  <c r="N168" i="14"/>
  <c r="K168" i="14"/>
  <c r="H168" i="14"/>
  <c r="E168" i="14"/>
  <c r="N167" i="14"/>
  <c r="K167" i="14"/>
  <c r="H167" i="14"/>
  <c r="E167" i="14"/>
  <c r="N166" i="14"/>
  <c r="K166" i="14"/>
  <c r="H166" i="14"/>
  <c r="E166" i="14"/>
  <c r="N165" i="14"/>
  <c r="K165" i="14"/>
  <c r="H165" i="14"/>
  <c r="E165" i="14"/>
  <c r="N164" i="14"/>
  <c r="K164" i="14"/>
  <c r="H164" i="14"/>
  <c r="E164" i="14"/>
  <c r="N163" i="14"/>
  <c r="K163" i="14"/>
  <c r="H163" i="14"/>
  <c r="N162" i="14"/>
  <c r="K162" i="14"/>
  <c r="H162" i="14"/>
  <c r="E162" i="14"/>
  <c r="N161" i="14"/>
  <c r="K161" i="14"/>
  <c r="H161" i="14"/>
  <c r="E161" i="14"/>
  <c r="N160" i="14"/>
  <c r="K160" i="14"/>
  <c r="H160" i="14"/>
  <c r="E160" i="14"/>
  <c r="M159" i="14"/>
  <c r="L159" i="14"/>
  <c r="J159" i="14"/>
  <c r="I159" i="14"/>
  <c r="G159" i="14"/>
  <c r="F159" i="14"/>
  <c r="D159" i="14"/>
  <c r="C159" i="14"/>
  <c r="N156" i="14"/>
  <c r="K156" i="14"/>
  <c r="H156" i="14"/>
  <c r="E156" i="14"/>
  <c r="N155" i="14"/>
  <c r="K155" i="14"/>
  <c r="H155" i="14"/>
  <c r="E155" i="14"/>
  <c r="N154" i="14"/>
  <c r="K154" i="14"/>
  <c r="H154" i="14"/>
  <c r="E154" i="14"/>
  <c r="M153" i="14"/>
  <c r="M15" i="14" s="1"/>
  <c r="L153" i="14"/>
  <c r="L15" i="14" s="1"/>
  <c r="J153" i="14"/>
  <c r="J15" i="14" s="1"/>
  <c r="I153" i="14"/>
  <c r="I15" i="14" s="1"/>
  <c r="G153" i="14"/>
  <c r="G15" i="14" s="1"/>
  <c r="F153" i="14"/>
  <c r="F15" i="14" s="1"/>
  <c r="D153" i="14"/>
  <c r="D15" i="14" s="1"/>
  <c r="C153" i="14"/>
  <c r="C15" i="14" s="1"/>
  <c r="N151" i="14"/>
  <c r="K151" i="14"/>
  <c r="H151" i="14"/>
  <c r="E151" i="14"/>
  <c r="N150" i="14"/>
  <c r="K150" i="14"/>
  <c r="H150" i="14"/>
  <c r="E150" i="14"/>
  <c r="N149" i="14"/>
  <c r="K149" i="14"/>
  <c r="H149" i="14"/>
  <c r="E149" i="14"/>
  <c r="N148" i="14"/>
  <c r="K148" i="14"/>
  <c r="H148" i="14"/>
  <c r="E148" i="14"/>
  <c r="N147" i="14"/>
  <c r="K147" i="14"/>
  <c r="H147" i="14"/>
  <c r="E147" i="14"/>
  <c r="N146" i="14"/>
  <c r="K146" i="14"/>
  <c r="H146" i="14"/>
  <c r="E146" i="14"/>
  <c r="N145" i="14"/>
  <c r="K145" i="14"/>
  <c r="H145" i="14"/>
  <c r="E145" i="14"/>
  <c r="N144" i="14"/>
  <c r="K144" i="14"/>
  <c r="H144" i="14"/>
  <c r="E144" i="14"/>
  <c r="M143" i="14"/>
  <c r="M14" i="14" s="1"/>
  <c r="L143" i="14"/>
  <c r="L14" i="14" s="1"/>
  <c r="J143" i="14"/>
  <c r="J14" i="14" s="1"/>
  <c r="I143" i="14"/>
  <c r="I14" i="14" s="1"/>
  <c r="G143" i="14"/>
  <c r="F143" i="14"/>
  <c r="D143" i="14"/>
  <c r="D14" i="14" s="1"/>
  <c r="C143" i="14"/>
  <c r="N141" i="14"/>
  <c r="K141" i="14"/>
  <c r="H141" i="14"/>
  <c r="E141" i="14"/>
  <c r="N140" i="14"/>
  <c r="K140" i="14"/>
  <c r="H140" i="14"/>
  <c r="E140" i="14"/>
  <c r="N139" i="14"/>
  <c r="K139" i="14"/>
  <c r="H139" i="14"/>
  <c r="E139" i="14"/>
  <c r="N138" i="14"/>
  <c r="K138" i="14"/>
  <c r="H138" i="14"/>
  <c r="E138" i="14"/>
  <c r="N137" i="14"/>
  <c r="K137" i="14"/>
  <c r="H137" i="14"/>
  <c r="E137" i="14"/>
  <c r="N136" i="14"/>
  <c r="K136" i="14"/>
  <c r="H136" i="14"/>
  <c r="E136" i="14"/>
  <c r="N135" i="14"/>
  <c r="K135" i="14"/>
  <c r="H135" i="14"/>
  <c r="E135" i="14"/>
  <c r="N134" i="14"/>
  <c r="K134" i="14"/>
  <c r="H134" i="14"/>
  <c r="E134" i="14"/>
  <c r="M133" i="14"/>
  <c r="L133" i="14"/>
  <c r="L12" i="14" s="1"/>
  <c r="J133" i="14"/>
  <c r="J12" i="14" s="1"/>
  <c r="I133" i="14"/>
  <c r="G133" i="14"/>
  <c r="G12" i="14" s="1"/>
  <c r="F133" i="14"/>
  <c r="F132" i="14" s="1"/>
  <c r="D133" i="14"/>
  <c r="D12" i="14" s="1"/>
  <c r="C133" i="14"/>
  <c r="N130" i="14"/>
  <c r="K130" i="14"/>
  <c r="H130" i="14"/>
  <c r="E130" i="14"/>
  <c r="N129" i="14"/>
  <c r="K129" i="14"/>
  <c r="H129" i="14"/>
  <c r="E129" i="14"/>
  <c r="N128" i="14"/>
  <c r="K128" i="14"/>
  <c r="H128" i="14"/>
  <c r="E128" i="14"/>
  <c r="N127" i="14"/>
  <c r="K127" i="14"/>
  <c r="H127" i="14"/>
  <c r="E127" i="14"/>
  <c r="N126" i="14"/>
  <c r="K126" i="14"/>
  <c r="H126" i="14"/>
  <c r="E126" i="14"/>
  <c r="N125" i="14"/>
  <c r="K125" i="14"/>
  <c r="H125" i="14"/>
  <c r="E125" i="14"/>
  <c r="M124" i="14"/>
  <c r="M23" i="14" s="1"/>
  <c r="L124" i="14"/>
  <c r="L23" i="14" s="1"/>
  <c r="J124" i="14"/>
  <c r="J23" i="14" s="1"/>
  <c r="I124" i="14"/>
  <c r="I23" i="14" s="1"/>
  <c r="G124" i="14"/>
  <c r="G23" i="14" s="1"/>
  <c r="F124" i="14"/>
  <c r="F23" i="14" s="1"/>
  <c r="D124" i="14"/>
  <c r="D23" i="14" s="1"/>
  <c r="C124" i="14"/>
  <c r="C23" i="14" s="1"/>
  <c r="N122" i="14"/>
  <c r="K122" i="14"/>
  <c r="H122" i="14"/>
  <c r="E122" i="14"/>
  <c r="N121" i="14"/>
  <c r="K121" i="14"/>
  <c r="H121" i="14"/>
  <c r="E121" i="14"/>
  <c r="N120" i="14"/>
  <c r="K120" i="14"/>
  <c r="H120" i="14"/>
  <c r="E120" i="14"/>
  <c r="N119" i="14"/>
  <c r="K119" i="14"/>
  <c r="H119" i="14"/>
  <c r="E119" i="14"/>
  <c r="N118" i="14"/>
  <c r="K118" i="14"/>
  <c r="H118" i="14"/>
  <c r="E118" i="14"/>
  <c r="N117" i="14"/>
  <c r="K117" i="14"/>
  <c r="H117" i="14"/>
  <c r="E117" i="14"/>
  <c r="N116" i="14"/>
  <c r="K116" i="14"/>
  <c r="H116" i="14"/>
  <c r="E116" i="14"/>
  <c r="N115" i="14"/>
  <c r="K115" i="14"/>
  <c r="H115" i="14"/>
  <c r="E115" i="14"/>
  <c r="N114" i="14"/>
  <c r="K114" i="14"/>
  <c r="H114" i="14"/>
  <c r="E114" i="14"/>
  <c r="N113" i="14"/>
  <c r="K113" i="14"/>
  <c r="H113" i="14"/>
  <c r="E113" i="14"/>
  <c r="N112" i="14"/>
  <c r="K112" i="14"/>
  <c r="H112" i="14"/>
  <c r="E112" i="14"/>
  <c r="N111" i="14"/>
  <c r="K111" i="14"/>
  <c r="H111" i="14"/>
  <c r="E111" i="14"/>
  <c r="N110" i="14"/>
  <c r="K110" i="14"/>
  <c r="H110" i="14"/>
  <c r="E110" i="14"/>
  <c r="N109" i="14"/>
  <c r="K109" i="14"/>
  <c r="H109" i="14"/>
  <c r="E109" i="14"/>
  <c r="N108" i="14"/>
  <c r="K108" i="14"/>
  <c r="H108" i="14"/>
  <c r="E108" i="14"/>
  <c r="N107" i="14"/>
  <c r="K107" i="14"/>
  <c r="H107" i="14"/>
  <c r="E107" i="14"/>
  <c r="N106" i="14"/>
  <c r="K106" i="14"/>
  <c r="H106" i="14"/>
  <c r="E106" i="14"/>
  <c r="N105" i="14"/>
  <c r="K105" i="14"/>
  <c r="H105" i="14"/>
  <c r="E105" i="14"/>
  <c r="N104" i="14"/>
  <c r="K104" i="14"/>
  <c r="H104" i="14"/>
  <c r="E104" i="14"/>
  <c r="N103" i="14"/>
  <c r="K103" i="14"/>
  <c r="H103" i="14"/>
  <c r="E103" i="14"/>
  <c r="N102" i="14"/>
  <c r="K102" i="14"/>
  <c r="H102" i="14"/>
  <c r="E102" i="14"/>
  <c r="N101" i="14"/>
  <c r="K101" i="14"/>
  <c r="H101" i="14"/>
  <c r="E101" i="14"/>
  <c r="N100" i="14"/>
  <c r="K100" i="14"/>
  <c r="H100" i="14"/>
  <c r="E100" i="14"/>
  <c r="N99" i="14"/>
  <c r="K99" i="14"/>
  <c r="H99" i="14"/>
  <c r="E99" i="14"/>
  <c r="N98" i="14"/>
  <c r="K98" i="14"/>
  <c r="H98" i="14"/>
  <c r="E98" i="14"/>
  <c r="N97" i="14"/>
  <c r="K97" i="14"/>
  <c r="H97" i="14"/>
  <c r="E97" i="14"/>
  <c r="N96" i="14"/>
  <c r="K96" i="14"/>
  <c r="H96" i="14"/>
  <c r="E96" i="14"/>
  <c r="M95" i="14"/>
  <c r="M22" i="14" s="1"/>
  <c r="L95" i="14"/>
  <c r="L22" i="14" s="1"/>
  <c r="J95" i="14"/>
  <c r="J22" i="14" s="1"/>
  <c r="I95" i="14"/>
  <c r="I22" i="14" s="1"/>
  <c r="G95" i="14"/>
  <c r="F95" i="14"/>
  <c r="F22" i="14" s="1"/>
  <c r="D95" i="14"/>
  <c r="D22" i="14" s="1"/>
  <c r="C95" i="14"/>
  <c r="N92" i="14"/>
  <c r="K92" i="14"/>
  <c r="H92" i="14"/>
  <c r="E92" i="14"/>
  <c r="N90" i="14"/>
  <c r="K90" i="14"/>
  <c r="H90" i="14"/>
  <c r="E90" i="14"/>
  <c r="N89" i="14"/>
  <c r="K89" i="14"/>
  <c r="H89" i="14"/>
  <c r="E89" i="14"/>
  <c r="N88" i="14"/>
  <c r="K88" i="14"/>
  <c r="H88" i="14"/>
  <c r="E88" i="14"/>
  <c r="N87" i="14"/>
  <c r="K87" i="14"/>
  <c r="H87" i="14"/>
  <c r="E87" i="14"/>
  <c r="N86" i="14"/>
  <c r="K86" i="14"/>
  <c r="H86" i="14"/>
  <c r="E86" i="14"/>
  <c r="N85" i="14"/>
  <c r="K85" i="14"/>
  <c r="H85" i="14"/>
  <c r="E85" i="14"/>
  <c r="N84" i="14"/>
  <c r="K84" i="14"/>
  <c r="H84" i="14"/>
  <c r="E84" i="14"/>
  <c r="N82" i="14"/>
  <c r="K82" i="14"/>
  <c r="H82" i="14"/>
  <c r="E82" i="14"/>
  <c r="N81" i="14"/>
  <c r="K81" i="14"/>
  <c r="H81" i="14"/>
  <c r="E81" i="14"/>
  <c r="N80" i="14"/>
  <c r="K80" i="14"/>
  <c r="H80" i="14"/>
  <c r="E80" i="14"/>
  <c r="M20" i="14"/>
  <c r="L20" i="14"/>
  <c r="J20" i="14"/>
  <c r="G20" i="14"/>
  <c r="F20" i="14"/>
  <c r="D20" i="14"/>
  <c r="N77" i="14"/>
  <c r="K77" i="14"/>
  <c r="H77" i="14"/>
  <c r="E77" i="14"/>
  <c r="N76" i="14"/>
  <c r="K76" i="14"/>
  <c r="H76" i="14"/>
  <c r="E76" i="14"/>
  <c r="N75" i="14"/>
  <c r="K75" i="14"/>
  <c r="H75" i="14"/>
  <c r="E75" i="14"/>
  <c r="N74" i="14"/>
  <c r="K74" i="14"/>
  <c r="H74" i="14"/>
  <c r="E74" i="14"/>
  <c r="N73" i="14"/>
  <c r="K73" i="14"/>
  <c r="H73" i="14"/>
  <c r="E73" i="14"/>
  <c r="N72" i="14"/>
  <c r="K72" i="14"/>
  <c r="H72" i="14"/>
  <c r="E72" i="14"/>
  <c r="N71" i="14"/>
  <c r="K71" i="14"/>
  <c r="H71" i="14"/>
  <c r="E71" i="14"/>
  <c r="N70" i="14"/>
  <c r="K70" i="14"/>
  <c r="H70" i="14"/>
  <c r="E70" i="14"/>
  <c r="M69" i="14"/>
  <c r="M19" i="14" s="1"/>
  <c r="L69" i="14"/>
  <c r="L19" i="14" s="1"/>
  <c r="J69" i="14"/>
  <c r="J19" i="14" s="1"/>
  <c r="I69" i="14"/>
  <c r="G69" i="14"/>
  <c r="F69" i="14"/>
  <c r="D69" i="14"/>
  <c r="D19" i="14" s="1"/>
  <c r="C69" i="14"/>
  <c r="C19" i="14" s="1"/>
  <c r="N67" i="14"/>
  <c r="K67" i="14"/>
  <c r="H67" i="14"/>
  <c r="E67" i="14"/>
  <c r="N66" i="14"/>
  <c r="K66" i="14"/>
  <c r="H66" i="14"/>
  <c r="E66" i="14"/>
  <c r="N64" i="14"/>
  <c r="H64" i="14"/>
  <c r="E64" i="14"/>
  <c r="N63" i="14"/>
  <c r="K63" i="14"/>
  <c r="H63" i="14"/>
  <c r="E63" i="14"/>
  <c r="N62" i="14"/>
  <c r="K62" i="14"/>
  <c r="H62" i="14"/>
  <c r="E62" i="14"/>
  <c r="N61" i="14"/>
  <c r="K61" i="14"/>
  <c r="H61" i="14"/>
  <c r="E61" i="14"/>
  <c r="N60" i="14"/>
  <c r="H60" i="14"/>
  <c r="E60" i="14"/>
  <c r="N59" i="14"/>
  <c r="K59" i="14"/>
  <c r="H59" i="14"/>
  <c r="E59" i="14"/>
  <c r="N58" i="14"/>
  <c r="K58" i="14"/>
  <c r="H58" i="14"/>
  <c r="E58" i="14"/>
  <c r="N57" i="14"/>
  <c r="K57" i="14"/>
  <c r="H57" i="14"/>
  <c r="E57" i="14"/>
  <c r="N56" i="14"/>
  <c r="K56" i="14"/>
  <c r="H56" i="14"/>
  <c r="E56" i="14"/>
  <c r="M55" i="14"/>
  <c r="L55" i="14"/>
  <c r="J55" i="14"/>
  <c r="I55" i="14"/>
  <c r="G55" i="14"/>
  <c r="F55" i="14"/>
  <c r="D55" i="14"/>
  <c r="C55" i="14"/>
  <c r="N53" i="14"/>
  <c r="K53" i="14"/>
  <c r="H53" i="14"/>
  <c r="E53" i="14"/>
  <c r="N52" i="14"/>
  <c r="K52" i="14"/>
  <c r="H52" i="14"/>
  <c r="E52" i="14"/>
  <c r="N51" i="14"/>
  <c r="K51" i="14"/>
  <c r="H51" i="14"/>
  <c r="E51" i="14"/>
  <c r="N50" i="14"/>
  <c r="K50" i="14"/>
  <c r="H50" i="14"/>
  <c r="E50" i="14"/>
  <c r="N49" i="14"/>
  <c r="K49" i="14"/>
  <c r="H49" i="14"/>
  <c r="E49" i="14"/>
  <c r="N48" i="14"/>
  <c r="K48" i="14"/>
  <c r="H48" i="14"/>
  <c r="E48" i="14"/>
  <c r="N47" i="14"/>
  <c r="K47" i="14"/>
  <c r="H47" i="14"/>
  <c r="E47" i="14"/>
  <c r="N46" i="14"/>
  <c r="K46" i="14"/>
  <c r="H46" i="14"/>
  <c r="E46" i="14"/>
  <c r="N45" i="14"/>
  <c r="K45" i="14"/>
  <c r="H45" i="14"/>
  <c r="E45" i="14"/>
  <c r="N44" i="14"/>
  <c r="K44" i="14"/>
  <c r="H44" i="14"/>
  <c r="E44" i="14"/>
  <c r="N43" i="14"/>
  <c r="K43" i="14"/>
  <c r="H43" i="14"/>
  <c r="E43" i="14"/>
  <c r="N42" i="14"/>
  <c r="K42" i="14"/>
  <c r="H42" i="14"/>
  <c r="E42" i="14"/>
  <c r="N41" i="14"/>
  <c r="K41" i="14"/>
  <c r="H41" i="14"/>
  <c r="E41" i="14"/>
  <c r="N40" i="14"/>
  <c r="K40" i="14"/>
  <c r="H40" i="14"/>
  <c r="E40" i="14"/>
  <c r="N39" i="14"/>
  <c r="K39" i="14"/>
  <c r="H39" i="14"/>
  <c r="E39" i="14"/>
  <c r="N38" i="14"/>
  <c r="K38" i="14"/>
  <c r="H38" i="14"/>
  <c r="E38" i="14"/>
  <c r="N37" i="14"/>
  <c r="K37" i="14"/>
  <c r="H37" i="14"/>
  <c r="E37" i="14"/>
  <c r="M17" i="14"/>
  <c r="G17" i="14"/>
  <c r="D17" i="14"/>
  <c r="J27" i="14"/>
  <c r="F27" i="14"/>
  <c r="G25" i="14"/>
  <c r="I24" i="14"/>
  <c r="F24" i="14"/>
  <c r="F14" i="14"/>
  <c r="E294" i="14" l="1"/>
  <c r="K294" i="14"/>
  <c r="D18" i="14"/>
  <c r="G18" i="14"/>
  <c r="J18" i="14"/>
  <c r="M18" i="14"/>
  <c r="H143" i="14"/>
  <c r="H14" i="14" s="1"/>
  <c r="C132" i="14"/>
  <c r="H294" i="14"/>
  <c r="K253" i="14"/>
  <c r="K24" i="14" s="1"/>
  <c r="E253" i="14"/>
  <c r="E24" i="14" s="1"/>
  <c r="K286" i="14"/>
  <c r="K26" i="14"/>
  <c r="J236" i="14"/>
  <c r="J16" i="14" s="1"/>
  <c r="K143" i="14"/>
  <c r="K14" i="14" s="1"/>
  <c r="E143" i="14"/>
  <c r="E14" i="14" s="1"/>
  <c r="K79" i="14"/>
  <c r="K20" i="14" s="1"/>
  <c r="K237" i="14"/>
  <c r="G27" i="14"/>
  <c r="H27" i="14" s="1"/>
  <c r="E26" i="14"/>
  <c r="C14" i="14"/>
  <c r="C24" i="14"/>
  <c r="E55" i="14"/>
  <c r="E18" i="14" s="1"/>
  <c r="K55" i="14"/>
  <c r="K18" i="14" s="1"/>
  <c r="H265" i="14"/>
  <c r="N25" i="14"/>
  <c r="H26" i="14"/>
  <c r="N237" i="14"/>
  <c r="H237" i="14"/>
  <c r="H246" i="14"/>
  <c r="H188" i="14"/>
  <c r="H159" i="14"/>
  <c r="N194" i="14"/>
  <c r="L132" i="14"/>
  <c r="J132" i="14"/>
  <c r="K133" i="14"/>
  <c r="K12" i="14" s="1"/>
  <c r="F12" i="14"/>
  <c r="H133" i="14"/>
  <c r="H12" i="14" s="1"/>
  <c r="K159" i="14"/>
  <c r="D158" i="14"/>
  <c r="D21" i="14" s="1"/>
  <c r="D13" i="14" s="1"/>
  <c r="D11" i="14" s="1"/>
  <c r="D10" i="14" s="1"/>
  <c r="E159" i="14"/>
  <c r="K188" i="14"/>
  <c r="G158" i="14"/>
  <c r="G21" i="14" s="1"/>
  <c r="E188" i="14"/>
  <c r="J158" i="14"/>
  <c r="J21" i="14" s="1"/>
  <c r="K194" i="14"/>
  <c r="E194" i="14"/>
  <c r="C158" i="14"/>
  <c r="C21" i="14" s="1"/>
  <c r="M236" i="14"/>
  <c r="M16" i="14" s="1"/>
  <c r="L236" i="14"/>
  <c r="L16" i="14" s="1"/>
  <c r="H79" i="14"/>
  <c r="H20" i="14" s="1"/>
  <c r="E79" i="14"/>
  <c r="E20" i="14" s="1"/>
  <c r="H17" i="14"/>
  <c r="K246" i="14"/>
  <c r="F236" i="14"/>
  <c r="F16" i="14" s="1"/>
  <c r="E246" i="14"/>
  <c r="K69" i="14"/>
  <c r="K19" i="14" s="1"/>
  <c r="G19" i="14"/>
  <c r="H69" i="14"/>
  <c r="H19" i="14" s="1"/>
  <c r="I27" i="14"/>
  <c r="K27" i="14" s="1"/>
  <c r="C27" i="14"/>
  <c r="E27" i="14" s="1"/>
  <c r="N26" i="14"/>
  <c r="H286" i="14"/>
  <c r="F25" i="14"/>
  <c r="H25" i="14" s="1"/>
  <c r="K25" i="14"/>
  <c r="K265" i="14"/>
  <c r="E265" i="14"/>
  <c r="E25" i="14"/>
  <c r="H253" i="14"/>
  <c r="H24" i="14" s="1"/>
  <c r="N246" i="14"/>
  <c r="C236" i="14"/>
  <c r="C16" i="14" s="1"/>
  <c r="I236" i="14"/>
  <c r="E237" i="14"/>
  <c r="M158" i="14"/>
  <c r="M21" i="14" s="1"/>
  <c r="H194" i="14"/>
  <c r="N188" i="14"/>
  <c r="N159" i="14"/>
  <c r="I158" i="14"/>
  <c r="F158" i="14"/>
  <c r="K153" i="14"/>
  <c r="K15" i="14" s="1"/>
  <c r="H153" i="14"/>
  <c r="H15" i="14" s="1"/>
  <c r="E153" i="14"/>
  <c r="E15" i="14" s="1"/>
  <c r="M132" i="14"/>
  <c r="G132" i="14"/>
  <c r="H132" i="14" s="1"/>
  <c r="G14" i="14"/>
  <c r="D132" i="14"/>
  <c r="M12" i="14"/>
  <c r="I12" i="14"/>
  <c r="I132" i="14"/>
  <c r="C12" i="14"/>
  <c r="K124" i="14"/>
  <c r="K23" i="14" s="1"/>
  <c r="H124" i="14"/>
  <c r="H23" i="14" s="1"/>
  <c r="E95" i="14"/>
  <c r="E22" i="14" s="1"/>
  <c r="H95" i="14"/>
  <c r="H22" i="14" s="1"/>
  <c r="G22" i="14"/>
  <c r="K95" i="14"/>
  <c r="K22" i="14" s="1"/>
  <c r="C22" i="14"/>
  <c r="I20" i="14"/>
  <c r="C20" i="14"/>
  <c r="I19" i="14"/>
  <c r="F19" i="14"/>
  <c r="M13" i="14"/>
  <c r="N55" i="14"/>
  <c r="N18" i="14" s="1"/>
  <c r="L18" i="14"/>
  <c r="I18" i="14"/>
  <c r="H55" i="14"/>
  <c r="H18" i="14" s="1"/>
  <c r="N17" i="14"/>
  <c r="I17" i="14"/>
  <c r="K17" i="14"/>
  <c r="L17" i="14"/>
  <c r="E17" i="14"/>
  <c r="L158" i="14"/>
  <c r="F17" i="14"/>
  <c r="E69" i="14"/>
  <c r="E19" i="14" s="1"/>
  <c r="E124" i="14"/>
  <c r="E23" i="14" s="1"/>
  <c r="E133" i="14"/>
  <c r="E12" i="14" s="1"/>
  <c r="E286" i="14"/>
  <c r="J17" i="14"/>
  <c r="F18" i="14"/>
  <c r="C17" i="14"/>
  <c r="C18" i="14"/>
  <c r="N69" i="14"/>
  <c r="N19" i="14" s="1"/>
  <c r="N79" i="14"/>
  <c r="N20" i="14" s="1"/>
  <c r="N95" i="14"/>
  <c r="N22" i="14" s="1"/>
  <c r="N124" i="14"/>
  <c r="N23" i="14" s="1"/>
  <c r="N133" i="14"/>
  <c r="N12" i="14" s="1"/>
  <c r="N143" i="14"/>
  <c r="N14" i="14" s="1"/>
  <c r="N153" i="14"/>
  <c r="N15" i="14" s="1"/>
  <c r="N253" i="14"/>
  <c r="N24" i="14" s="1"/>
  <c r="N265" i="14"/>
  <c r="N286" i="14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33" i="11"/>
  <c r="N234" i="11"/>
  <c r="N235" i="11"/>
  <c r="N236" i="11"/>
  <c r="N237" i="11"/>
  <c r="N238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54" i="11"/>
  <c r="N155" i="11"/>
  <c r="N144" i="11"/>
  <c r="N145" i="11"/>
  <c r="N146" i="11"/>
  <c r="N147" i="11"/>
  <c r="N148" i="11"/>
  <c r="N149" i="11"/>
  <c r="N150" i="11"/>
  <c r="N134" i="11"/>
  <c r="N135" i="11"/>
  <c r="N136" i="11"/>
  <c r="N137" i="11"/>
  <c r="N138" i="11"/>
  <c r="N139" i="11"/>
  <c r="N140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71" i="11"/>
  <c r="N72" i="11"/>
  <c r="N73" i="11"/>
  <c r="N74" i="11"/>
  <c r="N75" i="11"/>
  <c r="N76" i="11"/>
  <c r="N77" i="11"/>
  <c r="N57" i="11"/>
  <c r="N58" i="11"/>
  <c r="N59" i="11"/>
  <c r="N60" i="11"/>
  <c r="N61" i="11"/>
  <c r="N62" i="11"/>
  <c r="N63" i="11"/>
  <c r="N64" i="11"/>
  <c r="N65" i="11"/>
  <c r="N66" i="11"/>
  <c r="N67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82" i="11"/>
  <c r="N283" i="11"/>
  <c r="N284" i="11"/>
  <c r="N285" i="11"/>
  <c r="K282" i="11"/>
  <c r="K283" i="11"/>
  <c r="K284" i="11"/>
  <c r="K285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49" i="11"/>
  <c r="K250" i="11"/>
  <c r="K251" i="11"/>
  <c r="K252" i="11"/>
  <c r="K253" i="11"/>
  <c r="K254" i="11"/>
  <c r="K255" i="11"/>
  <c r="K256" i="11"/>
  <c r="K242" i="11"/>
  <c r="K243" i="11"/>
  <c r="K244" i="11"/>
  <c r="K245" i="11"/>
  <c r="K233" i="11"/>
  <c r="K234" i="11"/>
  <c r="K235" i="11"/>
  <c r="K236" i="11"/>
  <c r="K237" i="11"/>
  <c r="K238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186" i="11"/>
  <c r="K187" i="11"/>
  <c r="K188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44" i="11"/>
  <c r="K145" i="11"/>
  <c r="K146" i="11"/>
  <c r="K147" i="11"/>
  <c r="K148" i="11"/>
  <c r="K149" i="11"/>
  <c r="K150" i="11"/>
  <c r="K134" i="11"/>
  <c r="K135" i="11"/>
  <c r="K136" i="11"/>
  <c r="K137" i="11"/>
  <c r="K138" i="11"/>
  <c r="K139" i="11"/>
  <c r="K140" i="11"/>
  <c r="K125" i="11"/>
  <c r="K126" i="11"/>
  <c r="K127" i="11"/>
  <c r="K128" i="11"/>
  <c r="K129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71" i="11"/>
  <c r="K72" i="11"/>
  <c r="K73" i="11"/>
  <c r="K74" i="11"/>
  <c r="K75" i="11"/>
  <c r="K76" i="11"/>
  <c r="K77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H282" i="11"/>
  <c r="H283" i="11"/>
  <c r="H284" i="11"/>
  <c r="H285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49" i="11"/>
  <c r="H250" i="11"/>
  <c r="H251" i="11"/>
  <c r="H252" i="11"/>
  <c r="H253" i="11"/>
  <c r="H254" i="11"/>
  <c r="H255" i="11"/>
  <c r="H256" i="11"/>
  <c r="H242" i="11"/>
  <c r="H243" i="11"/>
  <c r="H244" i="11"/>
  <c r="H245" i="11"/>
  <c r="H233" i="11"/>
  <c r="H234" i="11"/>
  <c r="H235" i="11"/>
  <c r="H236" i="11"/>
  <c r="H237" i="11"/>
  <c r="H238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186" i="11"/>
  <c r="H187" i="11"/>
  <c r="H188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54" i="11"/>
  <c r="H155" i="11"/>
  <c r="H144" i="11"/>
  <c r="H145" i="11"/>
  <c r="H146" i="11"/>
  <c r="H147" i="11"/>
  <c r="H148" i="11"/>
  <c r="H149" i="11"/>
  <c r="H150" i="11"/>
  <c r="H134" i="11"/>
  <c r="H135" i="11"/>
  <c r="H136" i="11"/>
  <c r="H137" i="11"/>
  <c r="H138" i="11"/>
  <c r="H139" i="11"/>
  <c r="H140" i="11"/>
  <c r="H125" i="11"/>
  <c r="H126" i="11"/>
  <c r="H127" i="11"/>
  <c r="H128" i="11"/>
  <c r="H129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71" i="11"/>
  <c r="H72" i="11"/>
  <c r="H73" i="11"/>
  <c r="H74" i="11"/>
  <c r="H75" i="11"/>
  <c r="H76" i="11"/>
  <c r="H77" i="11"/>
  <c r="H57" i="11"/>
  <c r="H58" i="11"/>
  <c r="H59" i="11"/>
  <c r="H60" i="11"/>
  <c r="H61" i="11"/>
  <c r="H62" i="11"/>
  <c r="H63" i="11"/>
  <c r="H64" i="11"/>
  <c r="H65" i="11"/>
  <c r="H66" i="11"/>
  <c r="H67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E282" i="11"/>
  <c r="E283" i="11"/>
  <c r="E284" i="11"/>
  <c r="E285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49" i="11"/>
  <c r="E250" i="11"/>
  <c r="E251" i="11"/>
  <c r="E252" i="11"/>
  <c r="E253" i="11"/>
  <c r="E254" i="11"/>
  <c r="E255" i="11"/>
  <c r="E256" i="11"/>
  <c r="E242" i="11"/>
  <c r="E243" i="11"/>
  <c r="E244" i="11"/>
  <c r="E245" i="11"/>
  <c r="E233" i="11"/>
  <c r="E234" i="11"/>
  <c r="E235" i="11"/>
  <c r="E236" i="11"/>
  <c r="E237" i="11"/>
  <c r="E238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186" i="11"/>
  <c r="E187" i="11"/>
  <c r="E188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44" i="11"/>
  <c r="E145" i="11"/>
  <c r="E146" i="11"/>
  <c r="E147" i="11"/>
  <c r="E148" i="11"/>
  <c r="E149" i="11"/>
  <c r="E150" i="11"/>
  <c r="E134" i="11"/>
  <c r="E135" i="11"/>
  <c r="E136" i="11"/>
  <c r="E137" i="11"/>
  <c r="E138" i="11"/>
  <c r="E139" i="11"/>
  <c r="E140" i="11"/>
  <c r="E125" i="11"/>
  <c r="E126" i="11"/>
  <c r="E127" i="11"/>
  <c r="E128" i="11"/>
  <c r="E129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71" i="11"/>
  <c r="E72" i="11"/>
  <c r="E73" i="11"/>
  <c r="E74" i="11"/>
  <c r="E75" i="11"/>
  <c r="E76" i="11"/>
  <c r="E77" i="11"/>
  <c r="E57" i="11"/>
  <c r="E58" i="11"/>
  <c r="E59" i="11"/>
  <c r="E60" i="11"/>
  <c r="E61" i="11"/>
  <c r="E62" i="11"/>
  <c r="E63" i="11"/>
  <c r="E64" i="11"/>
  <c r="E65" i="11"/>
  <c r="E66" i="11"/>
  <c r="E67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132" i="14" l="1"/>
  <c r="K236" i="14"/>
  <c r="K16" i="14" s="1"/>
  <c r="K132" i="14"/>
  <c r="G13" i="14"/>
  <c r="G11" i="14" s="1"/>
  <c r="G10" i="14" s="1"/>
  <c r="H236" i="14"/>
  <c r="H16" i="14" s="1"/>
  <c r="N132" i="14"/>
  <c r="J13" i="14"/>
  <c r="J11" i="14" s="1"/>
  <c r="J10" i="14" s="1"/>
  <c r="E158" i="14"/>
  <c r="E21" i="14" s="1"/>
  <c r="N236" i="14"/>
  <c r="N16" i="14" s="1"/>
  <c r="E236" i="14"/>
  <c r="E16" i="14" s="1"/>
  <c r="I16" i="14"/>
  <c r="K158" i="14"/>
  <c r="K21" i="14" s="1"/>
  <c r="I21" i="14"/>
  <c r="H158" i="14"/>
  <c r="H21" i="14" s="1"/>
  <c r="F21" i="14"/>
  <c r="F13" i="14" s="1"/>
  <c r="M11" i="14"/>
  <c r="M10" i="14" s="1"/>
  <c r="C13" i="14"/>
  <c r="C11" i="14" s="1"/>
  <c r="L21" i="14"/>
  <c r="L13" i="14" s="1"/>
  <c r="N158" i="14"/>
  <c r="N21" i="14" s="1"/>
  <c r="N124" i="11"/>
  <c r="N125" i="11"/>
  <c r="N126" i="11"/>
  <c r="N127" i="11"/>
  <c r="N128" i="11"/>
  <c r="N129" i="11"/>
  <c r="N186" i="11"/>
  <c r="N187" i="11"/>
  <c r="N188" i="11"/>
  <c r="N249" i="11"/>
  <c r="N250" i="11"/>
  <c r="N251" i="11"/>
  <c r="N252" i="11"/>
  <c r="N253" i="11"/>
  <c r="N254" i="11"/>
  <c r="N255" i="11"/>
  <c r="N256" i="11"/>
  <c r="N248" i="11"/>
  <c r="N242" i="11"/>
  <c r="N243" i="11"/>
  <c r="N244" i="11"/>
  <c r="N245" i="11"/>
  <c r="I13" i="14" l="1"/>
  <c r="I11" i="14" s="1"/>
  <c r="I10" i="14" s="1"/>
  <c r="K10" i="14" s="1"/>
  <c r="E13" i="14"/>
  <c r="N13" i="14"/>
  <c r="L11" i="14"/>
  <c r="H13" i="14"/>
  <c r="F11" i="14"/>
  <c r="C10" i="14"/>
  <c r="E10" i="14" s="1"/>
  <c r="E11" i="14"/>
  <c r="G288" i="11"/>
  <c r="G27" i="11" s="1"/>
  <c r="F288" i="11"/>
  <c r="D288" i="11"/>
  <c r="D27" i="11" s="1"/>
  <c r="C288" i="11"/>
  <c r="C27" i="11" s="1"/>
  <c r="H289" i="11"/>
  <c r="E289" i="11"/>
  <c r="M158" i="11"/>
  <c r="L158" i="11"/>
  <c r="J158" i="11"/>
  <c r="I158" i="11"/>
  <c r="G158" i="11"/>
  <c r="F158" i="11"/>
  <c r="D158" i="11"/>
  <c r="C158" i="11"/>
  <c r="M190" i="11"/>
  <c r="L190" i="11"/>
  <c r="J190" i="11"/>
  <c r="I190" i="11"/>
  <c r="G190" i="11"/>
  <c r="F190" i="11"/>
  <c r="D190" i="11"/>
  <c r="C190" i="11"/>
  <c r="K11" i="14" l="1"/>
  <c r="K13" i="14"/>
  <c r="H11" i="14"/>
  <c r="F10" i="14"/>
  <c r="H10" i="14" s="1"/>
  <c r="L10" i="14"/>
  <c r="N10" i="14" s="1"/>
  <c r="N11" i="14"/>
  <c r="H288" i="11"/>
  <c r="E27" i="11"/>
  <c r="E288" i="11"/>
  <c r="F27" i="11"/>
  <c r="H27" i="11" s="1"/>
  <c r="N260" i="11"/>
  <c r="N281" i="11"/>
  <c r="K281" i="11"/>
  <c r="H281" i="11"/>
  <c r="E281" i="11"/>
  <c r="H70" i="11" l="1"/>
  <c r="K289" i="11" l="1"/>
  <c r="M288" i="11"/>
  <c r="L288" i="11"/>
  <c r="L27" i="11" s="1"/>
  <c r="J288" i="11"/>
  <c r="J27" i="11" s="1"/>
  <c r="I288" i="11"/>
  <c r="M280" i="11"/>
  <c r="M26" i="11" s="1"/>
  <c r="L280" i="11"/>
  <c r="J280" i="11"/>
  <c r="J26" i="11" s="1"/>
  <c r="I280" i="11"/>
  <c r="G280" i="11"/>
  <c r="F280" i="11"/>
  <c r="D280" i="11"/>
  <c r="D26" i="11" s="1"/>
  <c r="C280" i="11"/>
  <c r="K260" i="11"/>
  <c r="H260" i="11"/>
  <c r="E260" i="11"/>
  <c r="M259" i="11"/>
  <c r="M25" i="11" s="1"/>
  <c r="L259" i="11"/>
  <c r="J259" i="11"/>
  <c r="I259" i="11"/>
  <c r="G259" i="11"/>
  <c r="G25" i="11" s="1"/>
  <c r="F259" i="11"/>
  <c r="F25" i="11" s="1"/>
  <c r="D259" i="11"/>
  <c r="D25" i="11" s="1"/>
  <c r="C259" i="11"/>
  <c r="K248" i="11"/>
  <c r="H248" i="11"/>
  <c r="E248" i="11"/>
  <c r="M247" i="11"/>
  <c r="M24" i="11" s="1"/>
  <c r="L247" i="11"/>
  <c r="L24" i="11" s="1"/>
  <c r="J247" i="11"/>
  <c r="J24" i="11" s="1"/>
  <c r="I247" i="11"/>
  <c r="I24" i="11" s="1"/>
  <c r="G247" i="11"/>
  <c r="G24" i="11" s="1"/>
  <c r="F247" i="11"/>
  <c r="F24" i="11" s="1"/>
  <c r="D247" i="11"/>
  <c r="D24" i="11" s="1"/>
  <c r="C247" i="11"/>
  <c r="C24" i="11" s="1"/>
  <c r="N241" i="11"/>
  <c r="K241" i="11"/>
  <c r="H241" i="11"/>
  <c r="E241" i="11"/>
  <c r="M240" i="11"/>
  <c r="L240" i="11"/>
  <c r="J240" i="11"/>
  <c r="I240" i="11"/>
  <c r="G240" i="11"/>
  <c r="F240" i="11"/>
  <c r="D240" i="11"/>
  <c r="C240" i="11"/>
  <c r="N232" i="11"/>
  <c r="K232" i="11"/>
  <c r="H232" i="11"/>
  <c r="E232" i="11"/>
  <c r="M231" i="11"/>
  <c r="L231" i="11"/>
  <c r="J231" i="11"/>
  <c r="I231" i="11"/>
  <c r="G231" i="11"/>
  <c r="F231" i="11"/>
  <c r="D231" i="11"/>
  <c r="C231" i="11"/>
  <c r="N191" i="11"/>
  <c r="K191" i="11"/>
  <c r="H191" i="11"/>
  <c r="E191" i="11"/>
  <c r="N185" i="11"/>
  <c r="K185" i="11"/>
  <c r="H185" i="11"/>
  <c r="E185" i="11"/>
  <c r="M184" i="11"/>
  <c r="L184" i="11"/>
  <c r="J184" i="11"/>
  <c r="I184" i="11"/>
  <c r="G184" i="11"/>
  <c r="F184" i="11"/>
  <c r="D184" i="11"/>
  <c r="C184" i="11"/>
  <c r="N159" i="11"/>
  <c r="K159" i="11"/>
  <c r="H159" i="11"/>
  <c r="E159" i="11"/>
  <c r="K155" i="11"/>
  <c r="E155" i="11"/>
  <c r="K154" i="11"/>
  <c r="E154" i="11"/>
  <c r="N153" i="11"/>
  <c r="K153" i="11"/>
  <c r="H153" i="11"/>
  <c r="E153" i="11"/>
  <c r="M152" i="11"/>
  <c r="M15" i="11" s="1"/>
  <c r="L152" i="11"/>
  <c r="J152" i="11"/>
  <c r="J15" i="11" s="1"/>
  <c r="I152" i="11"/>
  <c r="I15" i="11" s="1"/>
  <c r="G152" i="11"/>
  <c r="G15" i="11" s="1"/>
  <c r="F152" i="11"/>
  <c r="F15" i="11" s="1"/>
  <c r="D152" i="11"/>
  <c r="D15" i="11" s="1"/>
  <c r="C152" i="11"/>
  <c r="C15" i="11" s="1"/>
  <c r="N143" i="11"/>
  <c r="K143" i="11"/>
  <c r="H143" i="11"/>
  <c r="E143" i="11"/>
  <c r="M142" i="11"/>
  <c r="M14" i="11" s="1"/>
  <c r="L142" i="11"/>
  <c r="L14" i="11" s="1"/>
  <c r="J142" i="11"/>
  <c r="J14" i="11" s="1"/>
  <c r="I142" i="11"/>
  <c r="I14" i="11" s="1"/>
  <c r="G142" i="11"/>
  <c r="G14" i="11" s="1"/>
  <c r="F142" i="11"/>
  <c r="F14" i="11" s="1"/>
  <c r="D142" i="11"/>
  <c r="D14" i="11" s="1"/>
  <c r="C142" i="11"/>
  <c r="N133" i="11"/>
  <c r="K133" i="11"/>
  <c r="H133" i="11"/>
  <c r="E133" i="11"/>
  <c r="M132" i="11"/>
  <c r="L132" i="11"/>
  <c r="J132" i="11"/>
  <c r="J12" i="11" s="1"/>
  <c r="I132" i="11"/>
  <c r="G132" i="11"/>
  <c r="G12" i="11" s="1"/>
  <c r="F132" i="11"/>
  <c r="D132" i="11"/>
  <c r="C132" i="11"/>
  <c r="K124" i="11"/>
  <c r="H124" i="11"/>
  <c r="E124" i="11"/>
  <c r="M123" i="11"/>
  <c r="M23" i="11" s="1"/>
  <c r="L123" i="11"/>
  <c r="J123" i="11"/>
  <c r="J23" i="11" s="1"/>
  <c r="I123" i="11"/>
  <c r="I23" i="11" s="1"/>
  <c r="G123" i="11"/>
  <c r="G23" i="11" s="1"/>
  <c r="F123" i="11"/>
  <c r="F23" i="11" s="1"/>
  <c r="D123" i="11"/>
  <c r="D23" i="11" s="1"/>
  <c r="C123" i="11"/>
  <c r="C23" i="11" s="1"/>
  <c r="N95" i="11"/>
  <c r="K95" i="11"/>
  <c r="H95" i="11"/>
  <c r="E95" i="11"/>
  <c r="M94" i="11"/>
  <c r="M22" i="11" s="1"/>
  <c r="L94" i="11"/>
  <c r="L22" i="11" s="1"/>
  <c r="J94" i="11"/>
  <c r="J22" i="11" s="1"/>
  <c r="I94" i="11"/>
  <c r="G94" i="11"/>
  <c r="G22" i="11" s="1"/>
  <c r="F94" i="11"/>
  <c r="F22" i="11" s="1"/>
  <c r="D94" i="11"/>
  <c r="D22" i="11" s="1"/>
  <c r="C94" i="11"/>
  <c r="C22" i="11" s="1"/>
  <c r="N80" i="11"/>
  <c r="K80" i="11"/>
  <c r="H80" i="11"/>
  <c r="E80" i="11"/>
  <c r="M79" i="11"/>
  <c r="M20" i="11" s="1"/>
  <c r="L79" i="11"/>
  <c r="L20" i="11" s="1"/>
  <c r="J79" i="11"/>
  <c r="J20" i="11" s="1"/>
  <c r="I79" i="11"/>
  <c r="I20" i="11" s="1"/>
  <c r="G79" i="11"/>
  <c r="G20" i="11" s="1"/>
  <c r="F79" i="11"/>
  <c r="F20" i="11" s="1"/>
  <c r="D79" i="11"/>
  <c r="D20" i="11" s="1"/>
  <c r="C79" i="11"/>
  <c r="C20" i="11" s="1"/>
  <c r="N70" i="11"/>
  <c r="K70" i="11"/>
  <c r="E70" i="11"/>
  <c r="M69" i="11"/>
  <c r="M19" i="11" s="1"/>
  <c r="L69" i="11"/>
  <c r="L19" i="11" s="1"/>
  <c r="J69" i="11"/>
  <c r="J19" i="11" s="1"/>
  <c r="I69" i="11"/>
  <c r="I19" i="11" s="1"/>
  <c r="G69" i="11"/>
  <c r="G19" i="11" s="1"/>
  <c r="F69" i="11"/>
  <c r="F19" i="11" s="1"/>
  <c r="D69" i="11"/>
  <c r="D19" i="11" s="1"/>
  <c r="C69" i="11"/>
  <c r="C19" i="11" s="1"/>
  <c r="K67" i="11"/>
  <c r="K66" i="11"/>
  <c r="K65" i="11"/>
  <c r="K63" i="11"/>
  <c r="K62" i="11"/>
  <c r="K61" i="11"/>
  <c r="K59" i="11"/>
  <c r="K58" i="11"/>
  <c r="K57" i="11"/>
  <c r="N56" i="11"/>
  <c r="K56" i="11"/>
  <c r="H56" i="11"/>
  <c r="E56" i="11"/>
  <c r="M55" i="11"/>
  <c r="M18" i="11" s="1"/>
  <c r="L55" i="11"/>
  <c r="L18" i="11" s="1"/>
  <c r="J55" i="11"/>
  <c r="J18" i="11" s="1"/>
  <c r="I55" i="11"/>
  <c r="I18" i="11" s="1"/>
  <c r="G55" i="11"/>
  <c r="G18" i="11" s="1"/>
  <c r="F55" i="11"/>
  <c r="F18" i="11" s="1"/>
  <c r="D55" i="11"/>
  <c r="D18" i="11" s="1"/>
  <c r="C55" i="11"/>
  <c r="C18" i="11" s="1"/>
  <c r="N36" i="11"/>
  <c r="K36" i="11"/>
  <c r="H36" i="11"/>
  <c r="E36" i="11"/>
  <c r="M35" i="11"/>
  <c r="M17" i="11" s="1"/>
  <c r="L35" i="11"/>
  <c r="L17" i="11" s="1"/>
  <c r="J35" i="11"/>
  <c r="J17" i="11" s="1"/>
  <c r="I35" i="11"/>
  <c r="I17" i="11" s="1"/>
  <c r="G35" i="11"/>
  <c r="G17" i="11" s="1"/>
  <c r="F35" i="11"/>
  <c r="F17" i="11" s="1"/>
  <c r="D35" i="11"/>
  <c r="D17" i="11" s="1"/>
  <c r="C35" i="11"/>
  <c r="C17" i="11" s="1"/>
  <c r="M27" i="11"/>
  <c r="I27" i="11"/>
  <c r="L26" i="11"/>
  <c r="F26" i="11"/>
  <c r="J25" i="11"/>
  <c r="I25" i="11"/>
  <c r="C25" i="11"/>
  <c r="I22" i="11" l="1"/>
  <c r="K94" i="11"/>
  <c r="L23" i="11"/>
  <c r="N123" i="11"/>
  <c r="N23" i="11" s="1"/>
  <c r="K25" i="11"/>
  <c r="E142" i="11"/>
  <c r="E14" i="11" s="1"/>
  <c r="C14" i="11"/>
  <c r="N152" i="11"/>
  <c r="N15" i="11" s="1"/>
  <c r="L15" i="11"/>
  <c r="H184" i="11"/>
  <c r="H280" i="11"/>
  <c r="E280" i="11"/>
  <c r="K280" i="11"/>
  <c r="E69" i="11"/>
  <c r="E19" i="11" s="1"/>
  <c r="H55" i="11"/>
  <c r="H18" i="11" s="1"/>
  <c r="D131" i="11"/>
  <c r="K190" i="11"/>
  <c r="K288" i="11"/>
  <c r="K27" i="11"/>
  <c r="E184" i="11"/>
  <c r="H79" i="11"/>
  <c r="H20" i="11" s="1"/>
  <c r="N240" i="11"/>
  <c r="M131" i="11"/>
  <c r="N142" i="11"/>
  <c r="N14" i="11" s="1"/>
  <c r="K142" i="11"/>
  <c r="K14" i="11" s="1"/>
  <c r="I131" i="11"/>
  <c r="I157" i="11"/>
  <c r="I21" i="11" s="1"/>
  <c r="E152" i="11"/>
  <c r="E15" i="11" s="1"/>
  <c r="K247" i="11"/>
  <c r="K24" i="11" s="1"/>
  <c r="H247" i="11"/>
  <c r="H24" i="11" s="1"/>
  <c r="E247" i="11"/>
  <c r="E24" i="11" s="1"/>
  <c r="M34" i="11"/>
  <c r="N69" i="11"/>
  <c r="N19" i="11" s="1"/>
  <c r="G34" i="11"/>
  <c r="J230" i="11"/>
  <c r="J16" i="11" s="1"/>
  <c r="K79" i="11"/>
  <c r="K20" i="11" s="1"/>
  <c r="N26" i="11"/>
  <c r="N280" i="11"/>
  <c r="I26" i="11"/>
  <c r="K26" i="11" s="1"/>
  <c r="C26" i="11"/>
  <c r="E26" i="11" s="1"/>
  <c r="K259" i="11"/>
  <c r="E259" i="11"/>
  <c r="E25" i="11"/>
  <c r="N247" i="11"/>
  <c r="N24" i="11" s="1"/>
  <c r="K240" i="11"/>
  <c r="F230" i="11"/>
  <c r="F16" i="11" s="1"/>
  <c r="H240" i="11"/>
  <c r="E240" i="11"/>
  <c r="M230" i="11"/>
  <c r="M16" i="11" s="1"/>
  <c r="L230" i="11"/>
  <c r="L16" i="11" s="1"/>
  <c r="G230" i="11"/>
  <c r="G16" i="11" s="1"/>
  <c r="C230" i="11"/>
  <c r="C16" i="11" s="1"/>
  <c r="H231" i="11"/>
  <c r="E231" i="11"/>
  <c r="N190" i="11"/>
  <c r="D157" i="11"/>
  <c r="D21" i="11" s="1"/>
  <c r="N184" i="11"/>
  <c r="L157" i="11"/>
  <c r="L21" i="11" s="1"/>
  <c r="K158" i="11"/>
  <c r="E158" i="11"/>
  <c r="N158" i="11"/>
  <c r="G157" i="11"/>
  <c r="G21" i="11" s="1"/>
  <c r="H132" i="11"/>
  <c r="H12" i="11" s="1"/>
  <c r="M12" i="11"/>
  <c r="J131" i="11"/>
  <c r="I12" i="11"/>
  <c r="K132" i="11"/>
  <c r="K12" i="11" s="1"/>
  <c r="F12" i="11"/>
  <c r="F131" i="11"/>
  <c r="G131" i="11"/>
  <c r="E132" i="11"/>
  <c r="E12" i="11" s="1"/>
  <c r="K123" i="11"/>
  <c r="K23" i="11" s="1"/>
  <c r="E123" i="11"/>
  <c r="E23" i="11" s="1"/>
  <c r="E94" i="11"/>
  <c r="E22" i="11" s="1"/>
  <c r="H94" i="11"/>
  <c r="H22" i="11" s="1"/>
  <c r="N79" i="11"/>
  <c r="N20" i="11" s="1"/>
  <c r="E79" i="11"/>
  <c r="E20" i="11" s="1"/>
  <c r="J34" i="11"/>
  <c r="K69" i="11"/>
  <c r="K19" i="11" s="1"/>
  <c r="F34" i="11"/>
  <c r="C34" i="11"/>
  <c r="E55" i="11"/>
  <c r="E18" i="11" s="1"/>
  <c r="N55" i="11"/>
  <c r="N18" i="11" s="1"/>
  <c r="E35" i="11"/>
  <c r="E17" i="11" s="1"/>
  <c r="N35" i="11"/>
  <c r="N17" i="11" s="1"/>
  <c r="D34" i="11"/>
  <c r="L34" i="11"/>
  <c r="K35" i="11"/>
  <c r="K17" i="11" s="1"/>
  <c r="K55" i="11"/>
  <c r="K18" i="11" s="1"/>
  <c r="H123" i="11"/>
  <c r="H23" i="11" s="1"/>
  <c r="H142" i="11"/>
  <c r="H14" i="11" s="1"/>
  <c r="H152" i="11"/>
  <c r="H15" i="11" s="1"/>
  <c r="K152" i="11"/>
  <c r="K15" i="11" s="1"/>
  <c r="I230" i="11"/>
  <c r="I16" i="11" s="1"/>
  <c r="K231" i="11"/>
  <c r="L25" i="11"/>
  <c r="N25" i="11" s="1"/>
  <c r="N259" i="11"/>
  <c r="G13" i="11"/>
  <c r="G11" i="11" s="1"/>
  <c r="G10" i="11" s="1"/>
  <c r="H25" i="11"/>
  <c r="G26" i="11"/>
  <c r="H26" i="11" s="1"/>
  <c r="H69" i="11"/>
  <c r="H19" i="11" s="1"/>
  <c r="M157" i="11"/>
  <c r="D230" i="11"/>
  <c r="L131" i="11"/>
  <c r="N132" i="11"/>
  <c r="N12" i="11" s="1"/>
  <c r="F157" i="11"/>
  <c r="F21" i="11" s="1"/>
  <c r="H158" i="11"/>
  <c r="E190" i="11"/>
  <c r="C157" i="11"/>
  <c r="C21" i="11" s="1"/>
  <c r="H190" i="11"/>
  <c r="H259" i="11"/>
  <c r="C12" i="11"/>
  <c r="D12" i="11"/>
  <c r="L12" i="11"/>
  <c r="I34" i="11"/>
  <c r="H35" i="11"/>
  <c r="H17" i="11" s="1"/>
  <c r="K22" i="11"/>
  <c r="N94" i="11"/>
  <c r="N22" i="11" s="1"/>
  <c r="C131" i="11"/>
  <c r="J157" i="11"/>
  <c r="J21" i="11" s="1"/>
  <c r="J13" i="11" s="1"/>
  <c r="J11" i="11" s="1"/>
  <c r="J10" i="11" s="1"/>
  <c r="K184" i="11"/>
  <c r="N231" i="11"/>
  <c r="Q287" i="9"/>
  <c r="K287" i="9"/>
  <c r="H287" i="9"/>
  <c r="E287" i="9"/>
  <c r="Q286" i="9"/>
  <c r="K286" i="9"/>
  <c r="H286" i="9"/>
  <c r="E286" i="9"/>
  <c r="Q285" i="9"/>
  <c r="K285" i="9"/>
  <c r="H285" i="9"/>
  <c r="E285" i="9"/>
  <c r="Q284" i="9"/>
  <c r="K284" i="9"/>
  <c r="H284" i="9"/>
  <c r="E284" i="9"/>
  <c r="Q283" i="9"/>
  <c r="K283" i="9"/>
  <c r="H283" i="9"/>
  <c r="E283" i="9"/>
  <c r="Q282" i="9"/>
  <c r="K282" i="9"/>
  <c r="H282" i="9"/>
  <c r="E282" i="9"/>
  <c r="E269" i="9"/>
  <c r="Q281" i="9"/>
  <c r="K281" i="9"/>
  <c r="H281" i="9"/>
  <c r="E281" i="9"/>
  <c r="Q280" i="9"/>
  <c r="K280" i="9"/>
  <c r="H280" i="9"/>
  <c r="E280" i="9"/>
  <c r="Q279" i="9"/>
  <c r="K279" i="9"/>
  <c r="H279" i="9"/>
  <c r="E279" i="9"/>
  <c r="Q278" i="9"/>
  <c r="K278" i="9"/>
  <c r="H278" i="9"/>
  <c r="E278" i="9"/>
  <c r="Q277" i="9"/>
  <c r="K277" i="9"/>
  <c r="H277" i="9"/>
  <c r="E277" i="9"/>
  <c r="Q276" i="9"/>
  <c r="K276" i="9"/>
  <c r="H276" i="9"/>
  <c r="E276" i="9"/>
  <c r="Q275" i="9"/>
  <c r="K275" i="9"/>
  <c r="H275" i="9"/>
  <c r="E275" i="9"/>
  <c r="Q274" i="9"/>
  <c r="K274" i="9"/>
  <c r="H274" i="9"/>
  <c r="E274" i="9"/>
  <c r="Q273" i="9"/>
  <c r="K273" i="9"/>
  <c r="H273" i="9"/>
  <c r="E273" i="9"/>
  <c r="Q272" i="9"/>
  <c r="K272" i="9"/>
  <c r="H272" i="9"/>
  <c r="E272" i="9"/>
  <c r="H260" i="9"/>
  <c r="Q271" i="9"/>
  <c r="K271" i="9"/>
  <c r="H271" i="9"/>
  <c r="E271" i="9"/>
  <c r="Q270" i="9"/>
  <c r="K270" i="9"/>
  <c r="H270" i="9"/>
  <c r="E270" i="9"/>
  <c r="Q269" i="9"/>
  <c r="K269" i="9"/>
  <c r="H269" i="9"/>
  <c r="Q268" i="9"/>
  <c r="K268" i="9"/>
  <c r="H268" i="9"/>
  <c r="E268" i="9"/>
  <c r="Q267" i="9"/>
  <c r="K267" i="9"/>
  <c r="H267" i="9"/>
  <c r="E267" i="9"/>
  <c r="Q266" i="9"/>
  <c r="K266" i="9"/>
  <c r="H266" i="9"/>
  <c r="E266" i="9"/>
  <c r="Q265" i="9"/>
  <c r="K265" i="9"/>
  <c r="H265" i="9"/>
  <c r="E265" i="9"/>
  <c r="Q264" i="9"/>
  <c r="K264" i="9"/>
  <c r="H264" i="9"/>
  <c r="E264" i="9"/>
  <c r="Q263" i="9"/>
  <c r="K263" i="9"/>
  <c r="H263" i="9"/>
  <c r="E263" i="9"/>
  <c r="Q262" i="9"/>
  <c r="K262" i="9"/>
  <c r="H262" i="9"/>
  <c r="E262" i="9"/>
  <c r="Q261" i="9"/>
  <c r="K261" i="9"/>
  <c r="H261" i="9"/>
  <c r="E261" i="9"/>
  <c r="Q260" i="9"/>
  <c r="K260" i="9"/>
  <c r="E260" i="9"/>
  <c r="D16" i="11" l="1"/>
  <c r="D13" i="11" s="1"/>
  <c r="D11" i="11" s="1"/>
  <c r="D10" i="11" s="1"/>
  <c r="M21" i="11"/>
  <c r="M13" i="11" s="1"/>
  <c r="M11" i="11" s="1"/>
  <c r="M10" i="11" s="1"/>
  <c r="E131" i="11"/>
  <c r="N131" i="11"/>
  <c r="N34" i="11"/>
  <c r="K131" i="11"/>
  <c r="H34" i="11"/>
  <c r="H131" i="11"/>
  <c r="E34" i="11"/>
  <c r="H230" i="11"/>
  <c r="H16" i="11" s="1"/>
  <c r="N230" i="11"/>
  <c r="N16" i="11" s="1"/>
  <c r="N157" i="11"/>
  <c r="N21" i="11" s="1"/>
  <c r="K34" i="11"/>
  <c r="K230" i="11"/>
  <c r="K16" i="11" s="1"/>
  <c r="I13" i="11"/>
  <c r="E230" i="11"/>
  <c r="E16" i="11" s="1"/>
  <c r="H157" i="11"/>
  <c r="H21" i="11" s="1"/>
  <c r="F13" i="11"/>
  <c r="L13" i="11"/>
  <c r="C13" i="11"/>
  <c r="E157" i="11"/>
  <c r="E21" i="11" s="1"/>
  <c r="K157" i="11"/>
  <c r="K21" i="11" s="1"/>
  <c r="M185" i="9"/>
  <c r="L185" i="9"/>
  <c r="N185" i="9" s="1"/>
  <c r="K185" i="9"/>
  <c r="H185" i="9"/>
  <c r="E185" i="9"/>
  <c r="N13" i="11" l="1"/>
  <c r="E13" i="11"/>
  <c r="C11" i="11"/>
  <c r="K13" i="11"/>
  <c r="I11" i="11"/>
  <c r="L11" i="11"/>
  <c r="H13" i="11"/>
  <c r="F11" i="11"/>
  <c r="Q67" i="9"/>
  <c r="O55" i="9"/>
  <c r="M55" i="9"/>
  <c r="L55" i="9"/>
  <c r="J55" i="9"/>
  <c r="I55" i="9"/>
  <c r="G55" i="9"/>
  <c r="F55" i="9"/>
  <c r="D55" i="9"/>
  <c r="C55" i="9"/>
  <c r="O183" i="9"/>
  <c r="M183" i="9"/>
  <c r="L183" i="9"/>
  <c r="J183" i="9"/>
  <c r="I183" i="9"/>
  <c r="G183" i="9"/>
  <c r="F183" i="9"/>
  <c r="D183" i="9"/>
  <c r="C183" i="9"/>
  <c r="Q199" i="9"/>
  <c r="N199" i="9"/>
  <c r="K199" i="9"/>
  <c r="H199" i="9"/>
  <c r="E199" i="9"/>
  <c r="K67" i="9"/>
  <c r="E67" i="9"/>
  <c r="O211" i="9"/>
  <c r="M211" i="9"/>
  <c r="L211" i="9"/>
  <c r="J211" i="9"/>
  <c r="I211" i="9"/>
  <c r="G211" i="9"/>
  <c r="F211" i="9"/>
  <c r="D211" i="9"/>
  <c r="C211" i="9"/>
  <c r="Q216" i="9"/>
  <c r="N216" i="9"/>
  <c r="K216" i="9"/>
  <c r="H216" i="9"/>
  <c r="E216" i="9"/>
  <c r="Q66" i="9"/>
  <c r="N66" i="9"/>
  <c r="K66" i="9"/>
  <c r="H66" i="9"/>
  <c r="E66" i="9"/>
  <c r="O177" i="9"/>
  <c r="M177" i="9"/>
  <c r="L177" i="9"/>
  <c r="J177" i="9"/>
  <c r="I177" i="9"/>
  <c r="G177" i="9"/>
  <c r="F177" i="9"/>
  <c r="D177" i="9"/>
  <c r="C177" i="9"/>
  <c r="Q181" i="9"/>
  <c r="N181" i="9"/>
  <c r="K181" i="9"/>
  <c r="H181" i="9"/>
  <c r="E181" i="9"/>
  <c r="Q257" i="9"/>
  <c r="K257" i="9"/>
  <c r="O256" i="9"/>
  <c r="O27" i="9" s="1"/>
  <c r="M256" i="9"/>
  <c r="M27" i="9" s="1"/>
  <c r="L256" i="9"/>
  <c r="J256" i="9"/>
  <c r="J27" i="9" s="1"/>
  <c r="I256" i="9"/>
  <c r="I27" i="9" s="1"/>
  <c r="E11" i="11" l="1"/>
  <c r="C10" i="11"/>
  <c r="E10" i="11" s="1"/>
  <c r="K11" i="11"/>
  <c r="I10" i="11"/>
  <c r="K10" i="11" s="1"/>
  <c r="L10" i="11"/>
  <c r="N10" i="11" s="1"/>
  <c r="N11" i="11"/>
  <c r="F10" i="11"/>
  <c r="H10" i="11" s="1"/>
  <c r="H11" i="11"/>
  <c r="K27" i="9"/>
  <c r="L27" i="9"/>
  <c r="Q256" i="9"/>
  <c r="K256" i="9"/>
  <c r="P256" i="9" l="1"/>
  <c r="Q27" i="9"/>
  <c r="P27" i="9" s="1"/>
  <c r="E62" i="9" l="1"/>
  <c r="K117" i="9" l="1"/>
  <c r="K152" i="9"/>
  <c r="Q253" i="9"/>
  <c r="Q252" i="9"/>
  <c r="K252" i="9"/>
  <c r="H252" i="9"/>
  <c r="E252" i="9"/>
  <c r="Q251" i="9"/>
  <c r="N251" i="9"/>
  <c r="K251" i="9"/>
  <c r="H251" i="9"/>
  <c r="E251" i="9"/>
  <c r="Q250" i="9"/>
  <c r="K250" i="9"/>
  <c r="H250" i="9"/>
  <c r="E250" i="9"/>
  <c r="Q249" i="9"/>
  <c r="K249" i="9"/>
  <c r="H249" i="9"/>
  <c r="E249" i="9"/>
  <c r="O248" i="9"/>
  <c r="M248" i="9"/>
  <c r="L248" i="9"/>
  <c r="J248" i="9"/>
  <c r="I248" i="9"/>
  <c r="G248" i="9"/>
  <c r="F248" i="9"/>
  <c r="D248" i="9"/>
  <c r="C248" i="9"/>
  <c r="Q245" i="9"/>
  <c r="K245" i="9"/>
  <c r="H245" i="9"/>
  <c r="Q244" i="9"/>
  <c r="K244" i="9"/>
  <c r="H244" i="9"/>
  <c r="E244" i="9"/>
  <c r="Q243" i="9"/>
  <c r="K243" i="9"/>
  <c r="H243" i="9"/>
  <c r="E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H235" i="9"/>
  <c r="E235" i="9"/>
  <c r="Q234" i="9"/>
  <c r="K234" i="9"/>
  <c r="H234" i="9"/>
  <c r="E234" i="9"/>
  <c r="Q233" i="9"/>
  <c r="K233" i="9"/>
  <c r="H233" i="9"/>
  <c r="E233" i="9"/>
  <c r="Q232" i="9"/>
  <c r="K232" i="9"/>
  <c r="H232" i="9"/>
  <c r="E232" i="9"/>
  <c r="Q231" i="9"/>
  <c r="K231" i="9"/>
  <c r="H231" i="9"/>
  <c r="E231" i="9"/>
  <c r="O230" i="9"/>
  <c r="M230" i="9"/>
  <c r="L230" i="9"/>
  <c r="L25" i="9" s="1"/>
  <c r="J230" i="9"/>
  <c r="I230" i="9"/>
  <c r="G230" i="9"/>
  <c r="F230" i="9"/>
  <c r="D230" i="9"/>
  <c r="C230" i="9"/>
  <c r="K227" i="9"/>
  <c r="H227" i="9"/>
  <c r="E227" i="9"/>
  <c r="Q226" i="9"/>
  <c r="K226" i="9"/>
  <c r="H226" i="9"/>
  <c r="E226" i="9"/>
  <c r="N225" i="9"/>
  <c r="K225" i="9"/>
  <c r="E225" i="9"/>
  <c r="Q224" i="9"/>
  <c r="K224" i="9"/>
  <c r="H224" i="9"/>
  <c r="E224" i="9"/>
  <c r="Q223" i="9"/>
  <c r="H223" i="9"/>
  <c r="E223" i="9"/>
  <c r="Q222" i="9"/>
  <c r="K222" i="9"/>
  <c r="H222" i="9"/>
  <c r="E222" i="9"/>
  <c r="K221" i="9"/>
  <c r="H221" i="9"/>
  <c r="E221" i="9"/>
  <c r="H220" i="9"/>
  <c r="E220" i="9"/>
  <c r="Q219" i="9"/>
  <c r="Q218" i="9" s="1"/>
  <c r="K219" i="9"/>
  <c r="H219" i="9"/>
  <c r="E219" i="9"/>
  <c r="O218" i="9"/>
  <c r="M218" i="9"/>
  <c r="L218" i="9"/>
  <c r="J218" i="9"/>
  <c r="I218" i="9"/>
  <c r="G218" i="9"/>
  <c r="F218" i="9"/>
  <c r="D218" i="9"/>
  <c r="C218" i="9"/>
  <c r="Q215" i="9"/>
  <c r="N215" i="9"/>
  <c r="K215" i="9"/>
  <c r="H215" i="9"/>
  <c r="E215" i="9"/>
  <c r="Q214" i="9"/>
  <c r="Q213" i="9"/>
  <c r="K213" i="9"/>
  <c r="H213" i="9"/>
  <c r="E213" i="9"/>
  <c r="Q212" i="9"/>
  <c r="Q211" i="9" s="1"/>
  <c r="N212" i="9"/>
  <c r="K212" i="9"/>
  <c r="H212" i="9"/>
  <c r="E212" i="9"/>
  <c r="N211" i="9"/>
  <c r="Q209" i="9"/>
  <c r="Q208" i="9"/>
  <c r="Q207" i="9"/>
  <c r="N207" i="9"/>
  <c r="K207" i="9"/>
  <c r="H207" i="9"/>
  <c r="E207" i="9"/>
  <c r="Q206" i="9"/>
  <c r="N206" i="9"/>
  <c r="K206" i="9"/>
  <c r="H206" i="9"/>
  <c r="E206" i="9"/>
  <c r="Q205" i="9"/>
  <c r="K205" i="9"/>
  <c r="H205" i="9"/>
  <c r="E205" i="9"/>
  <c r="Q204" i="9"/>
  <c r="Q203" i="9"/>
  <c r="N203" i="9"/>
  <c r="K203" i="9"/>
  <c r="H203" i="9"/>
  <c r="E203" i="9"/>
  <c r="O202" i="9"/>
  <c r="M202" i="9"/>
  <c r="L202" i="9"/>
  <c r="L201" i="9" s="1"/>
  <c r="J202" i="9"/>
  <c r="J201" i="9" s="1"/>
  <c r="I202" i="9"/>
  <c r="G202" i="9"/>
  <c r="F202" i="9"/>
  <c r="F201" i="9" s="1"/>
  <c r="D202" i="9"/>
  <c r="D201" i="9" s="1"/>
  <c r="C202" i="9"/>
  <c r="O201" i="9"/>
  <c r="I201" i="9"/>
  <c r="G201" i="9"/>
  <c r="C201" i="9"/>
  <c r="Q198" i="9"/>
  <c r="K198" i="9"/>
  <c r="H198" i="9"/>
  <c r="E198" i="9"/>
  <c r="Q197" i="9"/>
  <c r="K197" i="9"/>
  <c r="H197" i="9"/>
  <c r="E197" i="9"/>
  <c r="Q196" i="9"/>
  <c r="K196" i="9"/>
  <c r="H196" i="9"/>
  <c r="E196" i="9"/>
  <c r="Q195" i="9"/>
  <c r="N195" i="9"/>
  <c r="K195" i="9"/>
  <c r="H195" i="9"/>
  <c r="E195" i="9"/>
  <c r="Q194" i="9"/>
  <c r="K194" i="9"/>
  <c r="H194" i="9"/>
  <c r="E194" i="9"/>
  <c r="Q193" i="9"/>
  <c r="N193" i="9"/>
  <c r="K193" i="9"/>
  <c r="H193" i="9"/>
  <c r="E193" i="9"/>
  <c r="Q192" i="9"/>
  <c r="K192" i="9"/>
  <c r="H192" i="9"/>
  <c r="E192" i="9"/>
  <c r="Q191" i="9"/>
  <c r="N191" i="9"/>
  <c r="K191" i="9"/>
  <c r="H191" i="9"/>
  <c r="E191" i="9"/>
  <c r="Q190" i="9"/>
  <c r="N190" i="9"/>
  <c r="K190" i="9"/>
  <c r="H190" i="9"/>
  <c r="E190" i="9"/>
  <c r="Q189" i="9"/>
  <c r="N189" i="9"/>
  <c r="K189" i="9"/>
  <c r="H189" i="9"/>
  <c r="E189" i="9"/>
  <c r="Q188" i="9"/>
  <c r="N188" i="9"/>
  <c r="K188" i="9"/>
  <c r="H188" i="9"/>
  <c r="E188" i="9"/>
  <c r="Q187" i="9"/>
  <c r="N187" i="9"/>
  <c r="K187" i="9"/>
  <c r="H187" i="9"/>
  <c r="E187" i="9"/>
  <c r="Q186" i="9"/>
  <c r="K186" i="9"/>
  <c r="H186" i="9"/>
  <c r="E186" i="9"/>
  <c r="Q185" i="9"/>
  <c r="Q184" i="9"/>
  <c r="N184" i="9"/>
  <c r="K184" i="9"/>
  <c r="H184" i="9"/>
  <c r="E184" i="9"/>
  <c r="Q180" i="9"/>
  <c r="E180" i="9"/>
  <c r="Q179" i="9"/>
  <c r="K179" i="9"/>
  <c r="E179" i="9"/>
  <c r="Q178" i="9"/>
  <c r="Q177" i="9" s="1"/>
  <c r="P177" i="9" s="1"/>
  <c r="N178" i="9"/>
  <c r="K178" i="9"/>
  <c r="H178" i="9"/>
  <c r="E178" i="9"/>
  <c r="N177" i="9"/>
  <c r="Q175" i="9"/>
  <c r="N175" i="9"/>
  <c r="K175" i="9"/>
  <c r="H175" i="9"/>
  <c r="E175" i="9"/>
  <c r="Q174" i="9"/>
  <c r="N174" i="9"/>
  <c r="K174" i="9"/>
  <c r="H174" i="9"/>
  <c r="E174" i="9"/>
  <c r="Q173" i="9"/>
  <c r="N173" i="9"/>
  <c r="K173" i="9"/>
  <c r="H173" i="9"/>
  <c r="E173" i="9"/>
  <c r="Q172" i="9"/>
  <c r="N172" i="9"/>
  <c r="K172" i="9"/>
  <c r="H172" i="9"/>
  <c r="E172" i="9"/>
  <c r="Q171" i="9"/>
  <c r="R170" i="9"/>
  <c r="Q170" i="9"/>
  <c r="N170" i="9"/>
  <c r="K170" i="9"/>
  <c r="H170" i="9"/>
  <c r="E170" i="9"/>
  <c r="Q169" i="9"/>
  <c r="N169" i="9"/>
  <c r="K169" i="9"/>
  <c r="H169" i="9"/>
  <c r="E169" i="9"/>
  <c r="Q168" i="9"/>
  <c r="N168" i="9"/>
  <c r="K168" i="9"/>
  <c r="H168" i="9"/>
  <c r="E168" i="9"/>
  <c r="Q167" i="9"/>
  <c r="N167" i="9"/>
  <c r="K167" i="9"/>
  <c r="H167" i="9"/>
  <c r="E167" i="9"/>
  <c r="Q166" i="9"/>
  <c r="N166" i="9"/>
  <c r="K166" i="9"/>
  <c r="H166" i="9"/>
  <c r="Q165" i="9"/>
  <c r="N165" i="9"/>
  <c r="K165" i="9"/>
  <c r="H165" i="9"/>
  <c r="E165" i="9"/>
  <c r="Q164" i="9"/>
  <c r="N164" i="9"/>
  <c r="K164" i="9"/>
  <c r="H164" i="9"/>
  <c r="Q163" i="9"/>
  <c r="N163" i="9"/>
  <c r="K163" i="9"/>
  <c r="H163" i="9"/>
  <c r="E163" i="9"/>
  <c r="Q162" i="9"/>
  <c r="N162" i="9"/>
  <c r="K162" i="9"/>
  <c r="H162" i="9"/>
  <c r="E162" i="9"/>
  <c r="Q161" i="9"/>
  <c r="N161" i="9"/>
  <c r="K161" i="9"/>
  <c r="H161" i="9"/>
  <c r="E161" i="9"/>
  <c r="Q160" i="9"/>
  <c r="N160" i="9"/>
  <c r="K160" i="9"/>
  <c r="H160" i="9"/>
  <c r="E160" i="9"/>
  <c r="Q159" i="9"/>
  <c r="N159" i="9"/>
  <c r="K159" i="9"/>
  <c r="H159" i="9"/>
  <c r="E159" i="9"/>
  <c r="Q158" i="9"/>
  <c r="M157" i="9"/>
  <c r="M156" i="9" s="1"/>
  <c r="N158" i="9"/>
  <c r="K158" i="9"/>
  <c r="H158" i="9"/>
  <c r="E158" i="9"/>
  <c r="O157" i="9"/>
  <c r="P157" i="9" s="1"/>
  <c r="L157" i="9"/>
  <c r="J157" i="9"/>
  <c r="J156" i="9" s="1"/>
  <c r="I157" i="9"/>
  <c r="G157" i="9"/>
  <c r="G156" i="9" s="1"/>
  <c r="G21" i="9" s="1"/>
  <c r="F157" i="9"/>
  <c r="D157" i="9"/>
  <c r="D156" i="9" s="1"/>
  <c r="C157" i="9"/>
  <c r="O156" i="9"/>
  <c r="Q154" i="9"/>
  <c r="N154" i="9"/>
  <c r="K154" i="9"/>
  <c r="H154" i="9"/>
  <c r="E154" i="9"/>
  <c r="Q153" i="9"/>
  <c r="N153" i="9"/>
  <c r="K153" i="9"/>
  <c r="H153" i="9"/>
  <c r="E153" i="9"/>
  <c r="Q152" i="9"/>
  <c r="N152" i="9"/>
  <c r="H152" i="9"/>
  <c r="E152" i="9"/>
  <c r="O151" i="9"/>
  <c r="M151" i="9"/>
  <c r="L151" i="9"/>
  <c r="J151" i="9"/>
  <c r="I151" i="9"/>
  <c r="G151" i="9"/>
  <c r="F151" i="9"/>
  <c r="D151" i="9"/>
  <c r="C151" i="9"/>
  <c r="Q149" i="9"/>
  <c r="Q148" i="9"/>
  <c r="K148" i="9"/>
  <c r="H148" i="9"/>
  <c r="E148" i="9"/>
  <c r="Q147" i="9"/>
  <c r="N147" i="9"/>
  <c r="K147" i="9"/>
  <c r="H147" i="9"/>
  <c r="E147" i="9"/>
  <c r="Q146" i="9"/>
  <c r="N146" i="9"/>
  <c r="K146" i="9"/>
  <c r="H146" i="9"/>
  <c r="E146" i="9"/>
  <c r="Q145" i="9"/>
  <c r="K145" i="9"/>
  <c r="H145" i="9"/>
  <c r="E145" i="9"/>
  <c r="Q144" i="9"/>
  <c r="N144" i="9"/>
  <c r="K144" i="9"/>
  <c r="H144" i="9"/>
  <c r="E144" i="9"/>
  <c r="Q143" i="9"/>
  <c r="N143" i="9"/>
  <c r="K143" i="9"/>
  <c r="H143" i="9"/>
  <c r="E143" i="9"/>
  <c r="Q142" i="9"/>
  <c r="N142" i="9"/>
  <c r="K142" i="9"/>
  <c r="H142" i="9"/>
  <c r="E142" i="9"/>
  <c r="O141" i="9"/>
  <c r="M141" i="9"/>
  <c r="L141" i="9"/>
  <c r="J141" i="9"/>
  <c r="I141" i="9"/>
  <c r="G141" i="9"/>
  <c r="F141" i="9"/>
  <c r="D141" i="9"/>
  <c r="C141" i="9"/>
  <c r="Q139" i="9"/>
  <c r="K139" i="9"/>
  <c r="H139" i="9"/>
  <c r="E139" i="9"/>
  <c r="Q138" i="9"/>
  <c r="Q137" i="9"/>
  <c r="K137" i="9"/>
  <c r="H137" i="9"/>
  <c r="E137" i="9"/>
  <c r="Q136" i="9"/>
  <c r="Q135" i="9"/>
  <c r="K135" i="9"/>
  <c r="H135" i="9"/>
  <c r="E135" i="9"/>
  <c r="Q134" i="9"/>
  <c r="N134" i="9"/>
  <c r="K134" i="9"/>
  <c r="H134" i="9"/>
  <c r="E134" i="9"/>
  <c r="Q133" i="9"/>
  <c r="N133" i="9"/>
  <c r="K133" i="9"/>
  <c r="H133" i="9"/>
  <c r="E133" i="9"/>
  <c r="Q132" i="9"/>
  <c r="N132" i="9"/>
  <c r="K132" i="9"/>
  <c r="H132" i="9"/>
  <c r="E132" i="9"/>
  <c r="O131" i="9"/>
  <c r="O130" i="9" s="1"/>
  <c r="M131" i="9"/>
  <c r="L131" i="9"/>
  <c r="J131" i="9"/>
  <c r="I131" i="9"/>
  <c r="G131" i="9"/>
  <c r="F131" i="9"/>
  <c r="D131" i="9"/>
  <c r="C131" i="9"/>
  <c r="C12" i="9" s="1"/>
  <c r="Q128" i="9"/>
  <c r="K128" i="9"/>
  <c r="H128" i="9"/>
  <c r="Q127" i="9"/>
  <c r="E127" i="9"/>
  <c r="Q126" i="9"/>
  <c r="K126" i="9"/>
  <c r="E126" i="9"/>
  <c r="Q125" i="9"/>
  <c r="Q124" i="9"/>
  <c r="Q123" i="9"/>
  <c r="K123" i="9"/>
  <c r="H123" i="9"/>
  <c r="E123" i="9"/>
  <c r="Q122" i="9"/>
  <c r="P122" i="9" s="1"/>
  <c r="O122" i="9"/>
  <c r="M122" i="9"/>
  <c r="L122" i="9"/>
  <c r="J122" i="9"/>
  <c r="I122" i="9"/>
  <c r="G122" i="9"/>
  <c r="F122" i="9"/>
  <c r="D122" i="9"/>
  <c r="C122" i="9"/>
  <c r="Q120" i="9"/>
  <c r="K120" i="9"/>
  <c r="H120" i="9"/>
  <c r="E120" i="9"/>
  <c r="Q119" i="9"/>
  <c r="K119" i="9"/>
  <c r="H119" i="9"/>
  <c r="E119" i="9"/>
  <c r="Q118" i="9"/>
  <c r="K118" i="9"/>
  <c r="H118" i="9"/>
  <c r="E118" i="9"/>
  <c r="Q117" i="9"/>
  <c r="H117" i="9"/>
  <c r="E117" i="9"/>
  <c r="Q116" i="9"/>
  <c r="K116" i="9"/>
  <c r="H116" i="9"/>
  <c r="E116" i="9"/>
  <c r="Q115" i="9"/>
  <c r="K115" i="9"/>
  <c r="H115" i="9"/>
  <c r="E115" i="9"/>
  <c r="Q114" i="9"/>
  <c r="Q113" i="9"/>
  <c r="Q112" i="9"/>
  <c r="Q111" i="9"/>
  <c r="Q110" i="9"/>
  <c r="K110" i="9"/>
  <c r="H110" i="9"/>
  <c r="E110" i="9"/>
  <c r="Q109" i="9"/>
  <c r="K109" i="9"/>
  <c r="H109" i="9"/>
  <c r="E109" i="9"/>
  <c r="Q108" i="9"/>
  <c r="Q107" i="9"/>
  <c r="Q106" i="9"/>
  <c r="N106" i="9"/>
  <c r="K106" i="9"/>
  <c r="H106" i="9"/>
  <c r="E106" i="9"/>
  <c r="Q105" i="9"/>
  <c r="K105" i="9"/>
  <c r="H105" i="9"/>
  <c r="E105" i="9"/>
  <c r="Q104" i="9"/>
  <c r="Q103" i="9"/>
  <c r="N103" i="9"/>
  <c r="K103" i="9"/>
  <c r="E103" i="9"/>
  <c r="Q102" i="9"/>
  <c r="Q101" i="9"/>
  <c r="N101" i="9"/>
  <c r="K101" i="9"/>
  <c r="H101" i="9"/>
  <c r="E101" i="9"/>
  <c r="Q100" i="9"/>
  <c r="Q99" i="9"/>
  <c r="Q98" i="9"/>
  <c r="N98" i="9"/>
  <c r="K98" i="9"/>
  <c r="H98" i="9"/>
  <c r="E98" i="9"/>
  <c r="Q97" i="9"/>
  <c r="K97" i="9"/>
  <c r="H97" i="9"/>
  <c r="E97" i="9"/>
  <c r="Q96" i="9"/>
  <c r="Q95" i="9"/>
  <c r="Q94" i="9"/>
  <c r="N94" i="9"/>
  <c r="K94" i="9"/>
  <c r="H94" i="9"/>
  <c r="E94" i="9"/>
  <c r="O93" i="9"/>
  <c r="O22" i="9" s="1"/>
  <c r="M93" i="9"/>
  <c r="L93" i="9"/>
  <c r="J93" i="9"/>
  <c r="I93" i="9"/>
  <c r="I22" i="9" s="1"/>
  <c r="G93" i="9"/>
  <c r="F93" i="9"/>
  <c r="D93" i="9"/>
  <c r="C93" i="9"/>
  <c r="Q91" i="9"/>
  <c r="N91" i="9"/>
  <c r="K91" i="9"/>
  <c r="H91" i="9"/>
  <c r="E91" i="9"/>
  <c r="Q90" i="9"/>
  <c r="N90" i="9"/>
  <c r="K90" i="9"/>
  <c r="H90" i="9"/>
  <c r="E90" i="9"/>
  <c r="Q89" i="9"/>
  <c r="N89" i="9"/>
  <c r="K89" i="9"/>
  <c r="H89" i="9"/>
  <c r="E89" i="9"/>
  <c r="Q88" i="9"/>
  <c r="N88" i="9"/>
  <c r="K88" i="9"/>
  <c r="H88" i="9"/>
  <c r="E88" i="9"/>
  <c r="Q87" i="9"/>
  <c r="N87" i="9"/>
  <c r="K87" i="9"/>
  <c r="H87" i="9"/>
  <c r="E87" i="9"/>
  <c r="Q86" i="9"/>
  <c r="N86" i="9"/>
  <c r="K86" i="9"/>
  <c r="H86" i="9"/>
  <c r="E86" i="9"/>
  <c r="Q85" i="9"/>
  <c r="Q84" i="9"/>
  <c r="N84" i="9"/>
  <c r="K84" i="9"/>
  <c r="H84" i="9"/>
  <c r="E84" i="9"/>
  <c r="Q83" i="9"/>
  <c r="N83" i="9"/>
  <c r="K83" i="9"/>
  <c r="H83" i="9"/>
  <c r="E83" i="9"/>
  <c r="Q82" i="9"/>
  <c r="N82" i="9"/>
  <c r="K82" i="9"/>
  <c r="H82" i="9"/>
  <c r="E82" i="9"/>
  <c r="Q81" i="9"/>
  <c r="N81" i="9"/>
  <c r="K81" i="9"/>
  <c r="H81" i="9"/>
  <c r="E81" i="9"/>
  <c r="Q80" i="9"/>
  <c r="N80" i="9"/>
  <c r="K80" i="9"/>
  <c r="H80" i="9"/>
  <c r="E80" i="9"/>
  <c r="O79" i="9"/>
  <c r="M79" i="9"/>
  <c r="L79" i="9"/>
  <c r="J79" i="9"/>
  <c r="I79" i="9"/>
  <c r="G79" i="9"/>
  <c r="F79" i="9"/>
  <c r="F20" i="9" s="1"/>
  <c r="D79" i="9"/>
  <c r="C79" i="9"/>
  <c r="C20" i="9" s="1"/>
  <c r="Q77" i="9"/>
  <c r="N77" i="9"/>
  <c r="K77" i="9"/>
  <c r="H77" i="9"/>
  <c r="E77" i="9"/>
  <c r="Q76" i="9"/>
  <c r="N76" i="9"/>
  <c r="K76" i="9"/>
  <c r="H76" i="9"/>
  <c r="E76" i="9"/>
  <c r="Q75" i="9"/>
  <c r="N75" i="9"/>
  <c r="K75" i="9"/>
  <c r="H75" i="9"/>
  <c r="E75" i="9"/>
  <c r="Q74" i="9"/>
  <c r="K74" i="9"/>
  <c r="H74" i="9"/>
  <c r="E74" i="9"/>
  <c r="Q73" i="9"/>
  <c r="N73" i="9"/>
  <c r="K73" i="9"/>
  <c r="H73" i="9"/>
  <c r="E73" i="9"/>
  <c r="Q72" i="9"/>
  <c r="N72" i="9"/>
  <c r="K72" i="9"/>
  <c r="H72" i="9"/>
  <c r="E72" i="9"/>
  <c r="Q71" i="9"/>
  <c r="N71" i="9"/>
  <c r="K71" i="9"/>
  <c r="H71" i="9"/>
  <c r="E71" i="9"/>
  <c r="Q70" i="9"/>
  <c r="Q69" i="9" s="1"/>
  <c r="N70" i="9"/>
  <c r="K70" i="9"/>
  <c r="E70" i="9"/>
  <c r="O69" i="9"/>
  <c r="M69" i="9"/>
  <c r="L69" i="9"/>
  <c r="J69" i="9"/>
  <c r="I69" i="9"/>
  <c r="G69" i="9"/>
  <c r="F69" i="9"/>
  <c r="D69" i="9"/>
  <c r="C69" i="9"/>
  <c r="Q65" i="9"/>
  <c r="N65" i="9"/>
  <c r="K65" i="9"/>
  <c r="H65" i="9"/>
  <c r="E65" i="9"/>
  <c r="Q64" i="9"/>
  <c r="Q63" i="9"/>
  <c r="N63" i="9"/>
  <c r="K63" i="9"/>
  <c r="H63" i="9"/>
  <c r="E63" i="9"/>
  <c r="Q62" i="9"/>
  <c r="N62" i="9"/>
  <c r="K62" i="9"/>
  <c r="H62" i="9"/>
  <c r="Q61" i="9"/>
  <c r="N61" i="9"/>
  <c r="K61" i="9"/>
  <c r="H61" i="9"/>
  <c r="E61" i="9"/>
  <c r="Q60" i="9"/>
  <c r="Q59" i="9"/>
  <c r="N59" i="9"/>
  <c r="K59" i="9"/>
  <c r="H59" i="9"/>
  <c r="E59" i="9"/>
  <c r="Q58" i="9"/>
  <c r="K58" i="9"/>
  <c r="H58" i="9"/>
  <c r="E58" i="9"/>
  <c r="Q57" i="9"/>
  <c r="K57" i="9"/>
  <c r="H57" i="9"/>
  <c r="E57" i="9"/>
  <c r="Q56" i="9"/>
  <c r="Q55" i="9" s="1"/>
  <c r="N56" i="9"/>
  <c r="K56" i="9"/>
  <c r="H56" i="9"/>
  <c r="E56" i="9"/>
  <c r="M18" i="9"/>
  <c r="L18" i="9"/>
  <c r="G18" i="9"/>
  <c r="F18" i="9"/>
  <c r="Q53" i="9"/>
  <c r="N53" i="9"/>
  <c r="K53" i="9"/>
  <c r="H53" i="9"/>
  <c r="E53" i="9"/>
  <c r="Q52" i="9"/>
  <c r="K52" i="9"/>
  <c r="H52" i="9"/>
  <c r="E52" i="9"/>
  <c r="Q51" i="9"/>
  <c r="E51" i="9"/>
  <c r="Q50" i="9"/>
  <c r="E50" i="9"/>
  <c r="Q49" i="9"/>
  <c r="N49" i="9"/>
  <c r="K49" i="9"/>
  <c r="H49" i="9"/>
  <c r="E49" i="9"/>
  <c r="Q48" i="9"/>
  <c r="K48" i="9"/>
  <c r="H48" i="9"/>
  <c r="E48" i="9"/>
  <c r="Q47" i="9"/>
  <c r="N47" i="9"/>
  <c r="K47" i="9"/>
  <c r="H47" i="9"/>
  <c r="E47" i="9"/>
  <c r="Q46" i="9"/>
  <c r="Q45" i="9"/>
  <c r="N45" i="9"/>
  <c r="K45" i="9"/>
  <c r="H45" i="9"/>
  <c r="E45" i="9"/>
  <c r="Q44" i="9"/>
  <c r="K44" i="9"/>
  <c r="H44" i="9"/>
  <c r="E44" i="9"/>
  <c r="Q43" i="9"/>
  <c r="K43" i="9"/>
  <c r="H43" i="9"/>
  <c r="E43" i="9"/>
  <c r="Q42" i="9"/>
  <c r="Q41" i="9"/>
  <c r="K41" i="9"/>
  <c r="H41" i="9"/>
  <c r="E41" i="9"/>
  <c r="Q40" i="9"/>
  <c r="N40" i="9"/>
  <c r="K40" i="9"/>
  <c r="H40" i="9"/>
  <c r="E40" i="9"/>
  <c r="Q39" i="9"/>
  <c r="N39" i="9"/>
  <c r="K39" i="9"/>
  <c r="H39" i="9"/>
  <c r="E39" i="9"/>
  <c r="Q38" i="9"/>
  <c r="K38" i="9"/>
  <c r="H38" i="9"/>
  <c r="E38" i="9"/>
  <c r="Q37" i="9"/>
  <c r="N37" i="9"/>
  <c r="K37" i="9"/>
  <c r="H37" i="9"/>
  <c r="E37" i="9"/>
  <c r="Q36" i="9"/>
  <c r="Q35" i="9" s="1"/>
  <c r="N36" i="9"/>
  <c r="K36" i="9"/>
  <c r="H36" i="9"/>
  <c r="E36" i="9"/>
  <c r="O35" i="9"/>
  <c r="O34" i="9" s="1"/>
  <c r="M35" i="9"/>
  <c r="M17" i="9" s="1"/>
  <c r="L35" i="9"/>
  <c r="J35" i="9"/>
  <c r="I35" i="9"/>
  <c r="G35" i="9"/>
  <c r="G17" i="9" s="1"/>
  <c r="F35" i="9"/>
  <c r="D35" i="9"/>
  <c r="C35" i="9"/>
  <c r="C17" i="9" s="1"/>
  <c r="O26" i="9"/>
  <c r="M26" i="9"/>
  <c r="L26" i="9"/>
  <c r="J26" i="9"/>
  <c r="I26" i="9"/>
  <c r="K26" i="9" s="1"/>
  <c r="G26" i="9"/>
  <c r="F26" i="9"/>
  <c r="D26" i="9"/>
  <c r="C26" i="9"/>
  <c r="O25" i="9"/>
  <c r="M25" i="9"/>
  <c r="J25" i="9"/>
  <c r="I25" i="9"/>
  <c r="G25" i="9"/>
  <c r="F25" i="9"/>
  <c r="D25" i="9"/>
  <c r="C25" i="9"/>
  <c r="O24" i="9"/>
  <c r="M24" i="9"/>
  <c r="L24" i="9"/>
  <c r="J24" i="9"/>
  <c r="I24" i="9"/>
  <c r="G24" i="9"/>
  <c r="F24" i="9"/>
  <c r="D24" i="9"/>
  <c r="C24" i="9"/>
  <c r="P23" i="9"/>
  <c r="O23" i="9"/>
  <c r="M23" i="9"/>
  <c r="L23" i="9"/>
  <c r="J23" i="9"/>
  <c r="I23" i="9"/>
  <c r="G23" i="9"/>
  <c r="F23" i="9"/>
  <c r="D23" i="9"/>
  <c r="C23" i="9"/>
  <c r="M22" i="9"/>
  <c r="L22" i="9"/>
  <c r="J22" i="9"/>
  <c r="G22" i="9"/>
  <c r="F22" i="9"/>
  <c r="D22" i="9"/>
  <c r="C22" i="9"/>
  <c r="O21" i="9"/>
  <c r="M21" i="9"/>
  <c r="J21" i="9"/>
  <c r="D21" i="9"/>
  <c r="O20" i="9"/>
  <c r="M20" i="9"/>
  <c r="L20" i="9"/>
  <c r="J20" i="9"/>
  <c r="I20" i="9"/>
  <c r="G20" i="9"/>
  <c r="D20" i="9"/>
  <c r="O19" i="9"/>
  <c r="M19" i="9"/>
  <c r="L19" i="9"/>
  <c r="J19" i="9"/>
  <c r="I19" i="9"/>
  <c r="G19" i="9"/>
  <c r="F19" i="9"/>
  <c r="D19" i="9"/>
  <c r="C19" i="9"/>
  <c r="Q18" i="9"/>
  <c r="O18" i="9"/>
  <c r="J18" i="9"/>
  <c r="D18" i="9"/>
  <c r="O17" i="9"/>
  <c r="O16" i="9"/>
  <c r="L16" i="9"/>
  <c r="J16" i="9"/>
  <c r="I16" i="9"/>
  <c r="G16" i="9"/>
  <c r="F16" i="9"/>
  <c r="D16" i="9"/>
  <c r="C16" i="9"/>
  <c r="O15" i="9"/>
  <c r="M15" i="9"/>
  <c r="L15" i="9"/>
  <c r="J15" i="9"/>
  <c r="I15" i="9"/>
  <c r="G15" i="9"/>
  <c r="F15" i="9"/>
  <c r="D15" i="9"/>
  <c r="C15" i="9"/>
  <c r="O14" i="9"/>
  <c r="M14" i="9"/>
  <c r="L14" i="9"/>
  <c r="J14" i="9"/>
  <c r="I14" i="9"/>
  <c r="G14" i="9"/>
  <c r="F14" i="9"/>
  <c r="D14" i="9"/>
  <c r="C14" i="9"/>
  <c r="O12" i="9"/>
  <c r="M12" i="9"/>
  <c r="L12" i="9"/>
  <c r="J12" i="9"/>
  <c r="I12" i="9"/>
  <c r="G12" i="9"/>
  <c r="F12" i="9"/>
  <c r="D12" i="9"/>
  <c r="Q183" i="9" l="1"/>
  <c r="P183" i="9" s="1"/>
  <c r="Q23" i="9"/>
  <c r="P218" i="9"/>
  <c r="P24" i="9" s="1"/>
  <c r="Q248" i="9"/>
  <c r="Q26" i="9" s="1"/>
  <c r="P26" i="9" s="1"/>
  <c r="H26" i="9"/>
  <c r="P248" i="9"/>
  <c r="K248" i="9"/>
  <c r="E248" i="9"/>
  <c r="N26" i="9"/>
  <c r="H248" i="9"/>
  <c r="E26" i="9"/>
  <c r="Q202" i="9"/>
  <c r="Q230" i="9"/>
  <c r="Q25" i="9" s="1"/>
  <c r="P25" i="9" s="1"/>
  <c r="N25" i="9"/>
  <c r="K230" i="9"/>
  <c r="K25" i="9"/>
  <c r="H230" i="9"/>
  <c r="H25" i="9"/>
  <c r="E230" i="9"/>
  <c r="E25" i="9"/>
  <c r="K218" i="9"/>
  <c r="K24" i="9" s="1"/>
  <c r="Q24" i="9"/>
  <c r="N218" i="9"/>
  <c r="N24" i="9" s="1"/>
  <c r="H218" i="9"/>
  <c r="H24" i="9" s="1"/>
  <c r="E218" i="9"/>
  <c r="E24" i="9" s="1"/>
  <c r="H151" i="9"/>
  <c r="H15" i="9" s="1"/>
  <c r="O13" i="9"/>
  <c r="K177" i="9"/>
  <c r="E177" i="9"/>
  <c r="E211" i="9"/>
  <c r="P211" i="9"/>
  <c r="Q141" i="9"/>
  <c r="P141" i="9" s="1"/>
  <c r="P14" i="9" s="1"/>
  <c r="Q14" i="9" s="1"/>
  <c r="N23" i="9"/>
  <c r="H122" i="9"/>
  <c r="H23" i="9" s="1"/>
  <c r="Q131" i="9"/>
  <c r="P131" i="9" s="1"/>
  <c r="P12" i="9" s="1"/>
  <c r="J130" i="9"/>
  <c r="D130" i="9"/>
  <c r="K211" i="9"/>
  <c r="M130" i="9"/>
  <c r="N141" i="9"/>
  <c r="N14" i="9" s="1"/>
  <c r="I130" i="9"/>
  <c r="G130" i="9"/>
  <c r="H141" i="9"/>
  <c r="H14" i="9" s="1"/>
  <c r="C130" i="9"/>
  <c r="D34" i="9"/>
  <c r="Q157" i="9"/>
  <c r="K55" i="9"/>
  <c r="K18" i="9" s="1"/>
  <c r="E55" i="9"/>
  <c r="E18" i="9" s="1"/>
  <c r="Q12" i="9"/>
  <c r="N131" i="9"/>
  <c r="N12" i="9" s="1"/>
  <c r="H131" i="9"/>
  <c r="H12" i="9" s="1"/>
  <c r="Q151" i="9"/>
  <c r="Q93" i="9"/>
  <c r="P93" i="9" s="1"/>
  <c r="P22" i="9" s="1"/>
  <c r="Q22" i="9" s="1"/>
  <c r="N93" i="9"/>
  <c r="N22" i="9" s="1"/>
  <c r="H93" i="9"/>
  <c r="H22" i="9" s="1"/>
  <c r="K141" i="9"/>
  <c r="K14" i="9" s="1"/>
  <c r="E141" i="9"/>
  <c r="E14" i="9" s="1"/>
  <c r="O11" i="9"/>
  <c r="O10" i="9" s="1"/>
  <c r="K122" i="9"/>
  <c r="K23" i="9" s="1"/>
  <c r="E122" i="9"/>
  <c r="E23" i="9" s="1"/>
  <c r="K93" i="9"/>
  <c r="K22" i="9" s="1"/>
  <c r="E93" i="9"/>
  <c r="E22" i="9" s="1"/>
  <c r="N151" i="9"/>
  <c r="N15" i="9" s="1"/>
  <c r="K151" i="9"/>
  <c r="K15" i="9" s="1"/>
  <c r="E151" i="9"/>
  <c r="E15" i="9" s="1"/>
  <c r="L130" i="9"/>
  <c r="N130" i="9" s="1"/>
  <c r="F130" i="9"/>
  <c r="H130" i="9" s="1"/>
  <c r="L156" i="9"/>
  <c r="L21" i="9" s="1"/>
  <c r="K201" i="9"/>
  <c r="K16" i="9" s="1"/>
  <c r="K202" i="9"/>
  <c r="H201" i="9"/>
  <c r="H16" i="9" s="1"/>
  <c r="E201" i="9"/>
  <c r="E16" i="9" s="1"/>
  <c r="E202" i="9"/>
  <c r="H177" i="9"/>
  <c r="I156" i="9"/>
  <c r="I21" i="9" s="1"/>
  <c r="C156" i="9"/>
  <c r="C21" i="9" s="1"/>
  <c r="K156" i="9"/>
  <c r="K21" i="9" s="1"/>
  <c r="H183" i="9"/>
  <c r="P55" i="9"/>
  <c r="P18" i="9" s="1"/>
  <c r="I18" i="9"/>
  <c r="C18" i="9"/>
  <c r="K183" i="9"/>
  <c r="F156" i="9"/>
  <c r="E183" i="9"/>
  <c r="P69" i="9"/>
  <c r="P19" i="9" s="1"/>
  <c r="Q19" i="9" s="1"/>
  <c r="N69" i="9"/>
  <c r="N19" i="9" s="1"/>
  <c r="H69" i="9"/>
  <c r="H19" i="9" s="1"/>
  <c r="M34" i="9"/>
  <c r="G13" i="9"/>
  <c r="G11" i="9" s="1"/>
  <c r="G10" i="9" s="1"/>
  <c r="G34" i="9"/>
  <c r="L34" i="9"/>
  <c r="J34" i="9"/>
  <c r="F34" i="9"/>
  <c r="Q79" i="9"/>
  <c r="P79" i="9" s="1"/>
  <c r="P20" i="9" s="1"/>
  <c r="Q20" i="9" s="1"/>
  <c r="N55" i="9"/>
  <c r="N18" i="9" s="1"/>
  <c r="I34" i="9"/>
  <c r="K34" i="9" s="1"/>
  <c r="H55" i="9"/>
  <c r="H18" i="9" s="1"/>
  <c r="N79" i="9"/>
  <c r="N20" i="9" s="1"/>
  <c r="K79" i="9"/>
  <c r="K20" i="9" s="1"/>
  <c r="E79" i="9"/>
  <c r="E20" i="9" s="1"/>
  <c r="J17" i="9"/>
  <c r="J13" i="9" s="1"/>
  <c r="D17" i="9"/>
  <c r="D13" i="9" s="1"/>
  <c r="D11" i="9" s="1"/>
  <c r="D10" i="9" s="1"/>
  <c r="I17" i="9"/>
  <c r="L17" i="9"/>
  <c r="K35" i="9"/>
  <c r="K17" i="9" s="1"/>
  <c r="F17" i="9"/>
  <c r="E35" i="9"/>
  <c r="E17" i="9" s="1"/>
  <c r="N248" i="9"/>
  <c r="N230" i="9"/>
  <c r="H211" i="9"/>
  <c r="M201" i="9"/>
  <c r="M16" i="9" s="1"/>
  <c r="M13" i="9" s="1"/>
  <c r="M11" i="9" s="1"/>
  <c r="M10" i="9" s="1"/>
  <c r="N183" i="9"/>
  <c r="K157" i="9"/>
  <c r="E157" i="9"/>
  <c r="K130" i="9"/>
  <c r="E130" i="9"/>
  <c r="H79" i="9"/>
  <c r="H20" i="9" s="1"/>
  <c r="K69" i="9"/>
  <c r="K19" i="9" s="1"/>
  <c r="E69" i="9"/>
  <c r="E19" i="9" s="1"/>
  <c r="C34" i="9"/>
  <c r="E34" i="9" s="1"/>
  <c r="P35" i="9"/>
  <c r="P17" i="9" s="1"/>
  <c r="Q34" i="9"/>
  <c r="P34" i="9" s="1"/>
  <c r="Q17" i="9"/>
  <c r="H35" i="9"/>
  <c r="H17" i="9" s="1"/>
  <c r="N35" i="9"/>
  <c r="N17" i="9" s="1"/>
  <c r="P202" i="9"/>
  <c r="Q201" i="9"/>
  <c r="E131" i="9"/>
  <c r="E12" i="9" s="1"/>
  <c r="K131" i="9"/>
  <c r="K12" i="9" s="1"/>
  <c r="H157" i="9"/>
  <c r="N157" i="9"/>
  <c r="N186" i="9"/>
  <c r="H202" i="9"/>
  <c r="N202" i="9"/>
  <c r="Q130" i="9"/>
  <c r="P130" i="9" s="1"/>
  <c r="M227" i="7"/>
  <c r="M25" i="7" s="1"/>
  <c r="O227" i="7"/>
  <c r="O25" i="7" s="1"/>
  <c r="L227" i="7"/>
  <c r="L25" i="7" s="1"/>
  <c r="O176" i="7"/>
  <c r="J176" i="7"/>
  <c r="G176" i="7"/>
  <c r="I176" i="7"/>
  <c r="F176" i="7"/>
  <c r="D176" i="7"/>
  <c r="C176" i="7"/>
  <c r="M130" i="7"/>
  <c r="J130" i="7"/>
  <c r="G130" i="7"/>
  <c r="O130" i="7"/>
  <c r="O12" i="7" s="1"/>
  <c r="L130" i="7"/>
  <c r="I130" i="7"/>
  <c r="F130" i="7"/>
  <c r="D130" i="7"/>
  <c r="D12" i="7" s="1"/>
  <c r="C130" i="7"/>
  <c r="K176" i="7"/>
  <c r="H176" i="7"/>
  <c r="J150" i="7"/>
  <c r="J15" i="7" s="1"/>
  <c r="G150" i="7"/>
  <c r="G15" i="7" s="1"/>
  <c r="O150" i="7"/>
  <c r="O15" i="7" s="1"/>
  <c r="L150" i="7"/>
  <c r="L15" i="7" s="1"/>
  <c r="I150" i="7"/>
  <c r="F150" i="7"/>
  <c r="D150" i="7"/>
  <c r="D15" i="7" s="1"/>
  <c r="C150" i="7"/>
  <c r="C15" i="7" s="1"/>
  <c r="O56" i="7"/>
  <c r="J56" i="7"/>
  <c r="J18" i="7" s="1"/>
  <c r="I56" i="7"/>
  <c r="I18" i="7" s="1"/>
  <c r="G56" i="7"/>
  <c r="G18" i="7" s="1"/>
  <c r="F56" i="7"/>
  <c r="F18" i="7" s="1"/>
  <c r="D56" i="7"/>
  <c r="C56" i="7"/>
  <c r="O78" i="7"/>
  <c r="O20" i="7" s="1"/>
  <c r="J78" i="7"/>
  <c r="J20" i="7" s="1"/>
  <c r="I78" i="7"/>
  <c r="I20" i="7" s="1"/>
  <c r="G78" i="7"/>
  <c r="G20" i="7" s="1"/>
  <c r="F78" i="7"/>
  <c r="F20" i="7" s="1"/>
  <c r="D78" i="7"/>
  <c r="D20" i="7" s="1"/>
  <c r="C78" i="7"/>
  <c r="C20" i="7" s="1"/>
  <c r="E246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K242" i="7"/>
  <c r="K241" i="7"/>
  <c r="K240" i="7"/>
  <c r="K239" i="7"/>
  <c r="K238" i="7"/>
  <c r="K237" i="7"/>
  <c r="K236" i="7"/>
  <c r="K235" i="7"/>
  <c r="K234" i="7"/>
  <c r="K233" i="7"/>
  <c r="K231" i="7"/>
  <c r="K230" i="7"/>
  <c r="K229" i="7"/>
  <c r="K228" i="7"/>
  <c r="E242" i="7"/>
  <c r="E241" i="7"/>
  <c r="E240" i="7"/>
  <c r="E239" i="7"/>
  <c r="E238" i="7"/>
  <c r="E237" i="7"/>
  <c r="E236" i="7"/>
  <c r="E235" i="7"/>
  <c r="E234" i="7"/>
  <c r="E233" i="7"/>
  <c r="E231" i="7"/>
  <c r="E230" i="7"/>
  <c r="E229" i="7"/>
  <c r="E228" i="7"/>
  <c r="H242" i="7"/>
  <c r="H241" i="7"/>
  <c r="H240" i="7"/>
  <c r="H239" i="7"/>
  <c r="H238" i="7"/>
  <c r="H237" i="7"/>
  <c r="H236" i="7"/>
  <c r="H235" i="7"/>
  <c r="H234" i="7"/>
  <c r="H233" i="7"/>
  <c r="H231" i="7"/>
  <c r="H230" i="7"/>
  <c r="H229" i="7"/>
  <c r="H228" i="7"/>
  <c r="N90" i="7"/>
  <c r="K90" i="7"/>
  <c r="K66" i="7"/>
  <c r="H90" i="7"/>
  <c r="H66" i="7"/>
  <c r="E90" i="7"/>
  <c r="E66" i="7"/>
  <c r="N224" i="7"/>
  <c r="N223" i="7"/>
  <c r="N222" i="7"/>
  <c r="N221" i="7"/>
  <c r="N220" i="7"/>
  <c r="N219" i="7"/>
  <c r="N218" i="7"/>
  <c r="N217" i="7"/>
  <c r="N216" i="7"/>
  <c r="K224" i="7"/>
  <c r="K223" i="7"/>
  <c r="K222" i="7"/>
  <c r="K221" i="7"/>
  <c r="K220" i="7"/>
  <c r="K219" i="7"/>
  <c r="K218" i="7"/>
  <c r="K217" i="7"/>
  <c r="K216" i="7"/>
  <c r="H224" i="7"/>
  <c r="H223" i="7"/>
  <c r="H222" i="7"/>
  <c r="H221" i="7"/>
  <c r="H220" i="7"/>
  <c r="H219" i="7"/>
  <c r="H218" i="7"/>
  <c r="H217" i="7"/>
  <c r="H216" i="7"/>
  <c r="E224" i="7"/>
  <c r="E223" i="7"/>
  <c r="E222" i="7"/>
  <c r="E221" i="7"/>
  <c r="E220" i="7"/>
  <c r="E219" i="7"/>
  <c r="E218" i="7"/>
  <c r="E217" i="7"/>
  <c r="E216" i="7"/>
  <c r="N211" i="7"/>
  <c r="N210" i="7"/>
  <c r="K212" i="7"/>
  <c r="K211" i="7"/>
  <c r="K210" i="7"/>
  <c r="K209" i="7"/>
  <c r="H212" i="7"/>
  <c r="H211" i="7"/>
  <c r="H210" i="7"/>
  <c r="H209" i="7"/>
  <c r="E212" i="7"/>
  <c r="E211" i="7"/>
  <c r="E210" i="7"/>
  <c r="E209" i="7"/>
  <c r="N206" i="7"/>
  <c r="N205" i="7"/>
  <c r="N204" i="7"/>
  <c r="N203" i="7"/>
  <c r="N202" i="7"/>
  <c r="N201" i="7"/>
  <c r="N200" i="7"/>
  <c r="K206" i="7"/>
  <c r="K205" i="7"/>
  <c r="K204" i="7"/>
  <c r="K203" i="7"/>
  <c r="K202" i="7"/>
  <c r="K201" i="7"/>
  <c r="K200" i="7"/>
  <c r="H206" i="7"/>
  <c r="H205" i="7"/>
  <c r="H204" i="7"/>
  <c r="H203" i="7"/>
  <c r="H202" i="7"/>
  <c r="H201" i="7"/>
  <c r="H200" i="7"/>
  <c r="E206" i="7"/>
  <c r="E205" i="7"/>
  <c r="E204" i="7"/>
  <c r="E203" i="7"/>
  <c r="E202" i="7"/>
  <c r="E201" i="7"/>
  <c r="E200" i="7"/>
  <c r="N196" i="7"/>
  <c r="N195" i="7"/>
  <c r="N194" i="7"/>
  <c r="N193" i="7"/>
  <c r="N192" i="7"/>
  <c r="N190" i="7"/>
  <c r="N189" i="7"/>
  <c r="N186" i="7"/>
  <c r="N182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N178" i="7"/>
  <c r="K178" i="7"/>
  <c r="K179" i="7"/>
  <c r="H178" i="7"/>
  <c r="H179" i="7"/>
  <c r="E178" i="7"/>
  <c r="E179" i="7"/>
  <c r="K177" i="7"/>
  <c r="H177" i="7"/>
  <c r="E177" i="7"/>
  <c r="N163" i="7"/>
  <c r="N165" i="7"/>
  <c r="N168" i="7"/>
  <c r="N169" i="7"/>
  <c r="N170" i="7"/>
  <c r="N173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K157" i="7"/>
  <c r="H157" i="7"/>
  <c r="E157" i="7"/>
  <c r="N152" i="7"/>
  <c r="N137" i="7"/>
  <c r="N151" i="7"/>
  <c r="N136" i="7"/>
  <c r="K152" i="7"/>
  <c r="K137" i="7"/>
  <c r="K153" i="7"/>
  <c r="K151" i="7"/>
  <c r="K136" i="7"/>
  <c r="H152" i="7"/>
  <c r="H137" i="7"/>
  <c r="H153" i="7"/>
  <c r="H151" i="7"/>
  <c r="H136" i="7"/>
  <c r="E152" i="7"/>
  <c r="E137" i="7"/>
  <c r="E153" i="7"/>
  <c r="E151" i="7"/>
  <c r="E136" i="7"/>
  <c r="N138" i="7"/>
  <c r="K138" i="7"/>
  <c r="H138" i="7"/>
  <c r="E138" i="7"/>
  <c r="N142" i="7"/>
  <c r="N143" i="7"/>
  <c r="N144" i="7"/>
  <c r="N145" i="7"/>
  <c r="N147" i="7"/>
  <c r="N148" i="7"/>
  <c r="K142" i="7"/>
  <c r="K143" i="7"/>
  <c r="K144" i="7"/>
  <c r="K145" i="7"/>
  <c r="K146" i="7"/>
  <c r="K147" i="7"/>
  <c r="K148" i="7"/>
  <c r="H142" i="7"/>
  <c r="H143" i="7"/>
  <c r="H144" i="7"/>
  <c r="H145" i="7"/>
  <c r="H146" i="7"/>
  <c r="H147" i="7"/>
  <c r="H148" i="7"/>
  <c r="E142" i="7"/>
  <c r="E143" i="7"/>
  <c r="E144" i="7"/>
  <c r="E145" i="7"/>
  <c r="E146" i="7"/>
  <c r="E147" i="7"/>
  <c r="E148" i="7"/>
  <c r="E141" i="7"/>
  <c r="N141" i="7"/>
  <c r="K141" i="7"/>
  <c r="H141" i="7"/>
  <c r="P230" i="9" l="1"/>
  <c r="H34" i="9"/>
  <c r="N34" i="9"/>
  <c r="N156" i="9"/>
  <c r="N21" i="9" s="1"/>
  <c r="Q156" i="9"/>
  <c r="P156" i="9" s="1"/>
  <c r="P21" i="9" s="1"/>
  <c r="Q21" i="9" s="1"/>
  <c r="C13" i="9"/>
  <c r="C11" i="9" s="1"/>
  <c r="C10" i="9" s="1"/>
  <c r="E10" i="9" s="1"/>
  <c r="P151" i="9"/>
  <c r="P15" i="9" s="1"/>
  <c r="Q15" i="9"/>
  <c r="L13" i="9"/>
  <c r="L11" i="9" s="1"/>
  <c r="L10" i="9" s="1"/>
  <c r="N10" i="9" s="1"/>
  <c r="E156" i="9"/>
  <c r="E21" i="9" s="1"/>
  <c r="I13" i="9"/>
  <c r="I11" i="9" s="1"/>
  <c r="I10" i="9" s="1"/>
  <c r="H156" i="9"/>
  <c r="H21" i="9" s="1"/>
  <c r="F21" i="9"/>
  <c r="F13" i="9" s="1"/>
  <c r="J11" i="9"/>
  <c r="J10" i="9" s="1"/>
  <c r="N201" i="9"/>
  <c r="N16" i="9" s="1"/>
  <c r="P201" i="9"/>
  <c r="P16" i="9" s="1"/>
  <c r="Q16" i="9"/>
  <c r="Q13" i="9" s="1"/>
  <c r="D18" i="7"/>
  <c r="H150" i="7"/>
  <c r="H15" i="7" s="1"/>
  <c r="F15" i="7"/>
  <c r="C12" i="7"/>
  <c r="F12" i="7"/>
  <c r="L12" i="7"/>
  <c r="G12" i="7"/>
  <c r="M12" i="7"/>
  <c r="C18" i="7"/>
  <c r="O18" i="7"/>
  <c r="K150" i="7"/>
  <c r="K15" i="7" s="1"/>
  <c r="I15" i="7"/>
  <c r="I12" i="7"/>
  <c r="J12" i="7"/>
  <c r="E150" i="7"/>
  <c r="E15" i="7" s="1"/>
  <c r="E176" i="7"/>
  <c r="N132" i="7"/>
  <c r="N133" i="7"/>
  <c r="N134" i="7"/>
  <c r="N135" i="7"/>
  <c r="N131" i="7"/>
  <c r="K132" i="7"/>
  <c r="K133" i="7"/>
  <c r="K134" i="7"/>
  <c r="K135" i="7"/>
  <c r="K131" i="7"/>
  <c r="H132" i="7"/>
  <c r="H133" i="7"/>
  <c r="H134" i="7"/>
  <c r="H135" i="7"/>
  <c r="H131" i="7"/>
  <c r="E132" i="7"/>
  <c r="E133" i="7"/>
  <c r="E134" i="7"/>
  <c r="E135" i="7"/>
  <c r="E131" i="7"/>
  <c r="N123" i="7"/>
  <c r="N124" i="7"/>
  <c r="N125" i="7"/>
  <c r="N126" i="7"/>
  <c r="N127" i="7"/>
  <c r="K123" i="7"/>
  <c r="K124" i="7"/>
  <c r="K125" i="7"/>
  <c r="K126" i="7"/>
  <c r="K127" i="7"/>
  <c r="H123" i="7"/>
  <c r="H124" i="7"/>
  <c r="H125" i="7"/>
  <c r="H126" i="7"/>
  <c r="H127" i="7"/>
  <c r="E123" i="7"/>
  <c r="E124" i="7"/>
  <c r="E125" i="7"/>
  <c r="E126" i="7"/>
  <c r="E127" i="7"/>
  <c r="N122" i="7"/>
  <c r="K122" i="7"/>
  <c r="H122" i="7"/>
  <c r="E122" i="7"/>
  <c r="N94" i="7"/>
  <c r="N95" i="7"/>
  <c r="N96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N93" i="7"/>
  <c r="K93" i="7"/>
  <c r="H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93" i="7"/>
  <c r="N80" i="7"/>
  <c r="N81" i="7"/>
  <c r="N82" i="7"/>
  <c r="N83" i="7"/>
  <c r="N84" i="7"/>
  <c r="N85" i="7"/>
  <c r="N89" i="7"/>
  <c r="N79" i="7"/>
  <c r="K80" i="7"/>
  <c r="K81" i="7"/>
  <c r="K82" i="7"/>
  <c r="K83" i="7"/>
  <c r="K84" i="7"/>
  <c r="K85" i="7"/>
  <c r="K86" i="7"/>
  <c r="K87" i="7"/>
  <c r="K88" i="7"/>
  <c r="K89" i="7"/>
  <c r="K79" i="7"/>
  <c r="H80" i="7"/>
  <c r="H81" i="7"/>
  <c r="H82" i="7"/>
  <c r="H83" i="7"/>
  <c r="H84" i="7"/>
  <c r="H85" i="7"/>
  <c r="H86" i="7"/>
  <c r="H87" i="7"/>
  <c r="H88" i="7"/>
  <c r="H89" i="7"/>
  <c r="H79" i="7"/>
  <c r="E80" i="7"/>
  <c r="E81" i="7"/>
  <c r="E82" i="7"/>
  <c r="E83" i="7"/>
  <c r="E84" i="7"/>
  <c r="E85" i="7"/>
  <c r="E86" i="7"/>
  <c r="E87" i="7"/>
  <c r="E88" i="7"/>
  <c r="E89" i="7"/>
  <c r="E79" i="7"/>
  <c r="N70" i="7"/>
  <c r="N71" i="7"/>
  <c r="N72" i="7"/>
  <c r="N73" i="7"/>
  <c r="N74" i="7"/>
  <c r="N76" i="7"/>
  <c r="N69" i="7"/>
  <c r="K70" i="7"/>
  <c r="K71" i="7"/>
  <c r="K72" i="7"/>
  <c r="K73" i="7"/>
  <c r="K74" i="7"/>
  <c r="K75" i="7"/>
  <c r="K76" i="7"/>
  <c r="H70" i="7"/>
  <c r="H71" i="7"/>
  <c r="H72" i="7"/>
  <c r="H73" i="7"/>
  <c r="H74" i="7"/>
  <c r="H75" i="7"/>
  <c r="H76" i="7"/>
  <c r="E70" i="7"/>
  <c r="E71" i="7"/>
  <c r="E72" i="7"/>
  <c r="E73" i="7"/>
  <c r="E74" i="7"/>
  <c r="E75" i="7"/>
  <c r="E76" i="7"/>
  <c r="K69" i="7"/>
  <c r="H69" i="7"/>
  <c r="E69" i="7"/>
  <c r="N58" i="7"/>
  <c r="N59" i="7"/>
  <c r="N61" i="7"/>
  <c r="N62" i="7"/>
  <c r="N63" i="7"/>
  <c r="N64" i="7"/>
  <c r="N65" i="7"/>
  <c r="K58" i="7"/>
  <c r="K59" i="7"/>
  <c r="K60" i="7"/>
  <c r="K61" i="7"/>
  <c r="K62" i="7"/>
  <c r="K63" i="7"/>
  <c r="K64" i="7"/>
  <c r="K65" i="7"/>
  <c r="H58" i="7"/>
  <c r="H59" i="7"/>
  <c r="H60" i="7"/>
  <c r="H61" i="7"/>
  <c r="H62" i="7"/>
  <c r="H63" i="7"/>
  <c r="H64" i="7"/>
  <c r="H65" i="7"/>
  <c r="E58" i="7"/>
  <c r="E59" i="7"/>
  <c r="E60" i="7"/>
  <c r="E61" i="7"/>
  <c r="E62" i="7"/>
  <c r="E63" i="7"/>
  <c r="E64" i="7"/>
  <c r="E65" i="7"/>
  <c r="N57" i="7"/>
  <c r="K57" i="7"/>
  <c r="H57" i="7"/>
  <c r="E57" i="7"/>
  <c r="N39" i="7"/>
  <c r="N40" i="7"/>
  <c r="N41" i="7"/>
  <c r="N42" i="7"/>
  <c r="N43" i="7"/>
  <c r="N44" i="7"/>
  <c r="N45" i="7"/>
  <c r="N46" i="7"/>
  <c r="N47" i="7"/>
  <c r="N49" i="7"/>
  <c r="N50" i="7"/>
  <c r="N51" i="7"/>
  <c r="N52" i="7"/>
  <c r="N53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N37" i="7"/>
  <c r="K37" i="7"/>
  <c r="H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37" i="7"/>
  <c r="O36" i="7"/>
  <c r="O17" i="7" s="1"/>
  <c r="Q152" i="7"/>
  <c r="Q137" i="7"/>
  <c r="Q153" i="7"/>
  <c r="Q151" i="7"/>
  <c r="Q136" i="7"/>
  <c r="Q142" i="7"/>
  <c r="Q143" i="7"/>
  <c r="Q144" i="7"/>
  <c r="Q145" i="7"/>
  <c r="Q146" i="7"/>
  <c r="Q147" i="7"/>
  <c r="Q148" i="7"/>
  <c r="Q141" i="7"/>
  <c r="Q122" i="7"/>
  <c r="Q123" i="7"/>
  <c r="Q124" i="7"/>
  <c r="Q125" i="7"/>
  <c r="Q126" i="7"/>
  <c r="Q127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93" i="7"/>
  <c r="Q80" i="7"/>
  <c r="Q81" i="7"/>
  <c r="Q82" i="7"/>
  <c r="Q83" i="7"/>
  <c r="Q84" i="7"/>
  <c r="Q85" i="7"/>
  <c r="Q86" i="7"/>
  <c r="Q87" i="7"/>
  <c r="Q88" i="7"/>
  <c r="Q89" i="7"/>
  <c r="Q79" i="7"/>
  <c r="Q70" i="7"/>
  <c r="Q71" i="7"/>
  <c r="Q72" i="7"/>
  <c r="Q73" i="7"/>
  <c r="Q74" i="7"/>
  <c r="Q75" i="7"/>
  <c r="Q76" i="7"/>
  <c r="Q69" i="7"/>
  <c r="Q58" i="7"/>
  <c r="Q59" i="7"/>
  <c r="Q60" i="7"/>
  <c r="Q61" i="7"/>
  <c r="Q62" i="7"/>
  <c r="Q63" i="7"/>
  <c r="Q64" i="7"/>
  <c r="Q65" i="7"/>
  <c r="Q5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37" i="7"/>
  <c r="N247" i="7"/>
  <c r="N248" i="7"/>
  <c r="N249" i="7"/>
  <c r="N250" i="7"/>
  <c r="K247" i="7"/>
  <c r="K248" i="7"/>
  <c r="K249" i="7"/>
  <c r="K250" i="7"/>
  <c r="N246" i="7"/>
  <c r="K246" i="7"/>
  <c r="H247" i="7"/>
  <c r="H248" i="7"/>
  <c r="H249" i="7"/>
  <c r="H250" i="7"/>
  <c r="H246" i="7"/>
  <c r="O245" i="7"/>
  <c r="O26" i="7" s="1"/>
  <c r="Q247" i="7"/>
  <c r="Q248" i="7"/>
  <c r="Q249" i="7"/>
  <c r="Q250" i="7"/>
  <c r="Q246" i="7"/>
  <c r="E247" i="7"/>
  <c r="E248" i="7"/>
  <c r="E249" i="7"/>
  <c r="E250" i="7"/>
  <c r="M245" i="7"/>
  <c r="M26" i="7" s="1"/>
  <c r="L245" i="7"/>
  <c r="J245" i="7"/>
  <c r="J26" i="7" s="1"/>
  <c r="I245" i="7"/>
  <c r="G245" i="7"/>
  <c r="G26" i="7" s="1"/>
  <c r="F245" i="7"/>
  <c r="D245" i="7"/>
  <c r="D26" i="7" s="1"/>
  <c r="C245" i="7"/>
  <c r="E13" i="9" l="1"/>
  <c r="E11" i="9"/>
  <c r="N13" i="9"/>
  <c r="N11" i="9"/>
  <c r="K10" i="9"/>
  <c r="K13" i="9"/>
  <c r="F11" i="9"/>
  <c r="H13" i="9"/>
  <c r="K11" i="9"/>
  <c r="P13" i="9"/>
  <c r="Q11" i="9"/>
  <c r="Q150" i="7"/>
  <c r="Q15" i="7" s="1"/>
  <c r="E245" i="7"/>
  <c r="K245" i="7"/>
  <c r="Q245" i="7"/>
  <c r="Q26" i="7" s="1"/>
  <c r="P26" i="7" s="1"/>
  <c r="C26" i="7"/>
  <c r="F26" i="7"/>
  <c r="H26" i="7" s="1"/>
  <c r="I26" i="7"/>
  <c r="K26" i="7" s="1"/>
  <c r="L26" i="7"/>
  <c r="N26" i="7" s="1"/>
  <c r="H245" i="7"/>
  <c r="N245" i="7"/>
  <c r="E26" i="7"/>
  <c r="H11" i="9" l="1"/>
  <c r="F10" i="9"/>
  <c r="H10" i="9" s="1"/>
  <c r="P11" i="9"/>
  <c r="Q10" i="9"/>
  <c r="P10" i="9" s="1"/>
  <c r="P150" i="7"/>
  <c r="P15" i="7" s="1"/>
  <c r="J232" i="7"/>
  <c r="J227" i="7" s="1"/>
  <c r="J25" i="7" s="1"/>
  <c r="I232" i="7"/>
  <c r="I227" i="7" s="1"/>
  <c r="I25" i="7" s="1"/>
  <c r="G232" i="7"/>
  <c r="G227" i="7" s="1"/>
  <c r="G25" i="7" s="1"/>
  <c r="F232" i="7"/>
  <c r="F227" i="7" s="1"/>
  <c r="F25" i="7" s="1"/>
  <c r="D232" i="7"/>
  <c r="D227" i="7" s="1"/>
  <c r="D25" i="7" s="1"/>
  <c r="C232" i="7"/>
  <c r="C227" i="7" s="1"/>
  <c r="C25" i="7" s="1"/>
  <c r="Q242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28" i="7"/>
  <c r="M183" i="7"/>
  <c r="L183" i="7"/>
  <c r="Q227" i="7" l="1"/>
  <c r="Q25" i="7" s="1"/>
  <c r="N183" i="7"/>
  <c r="K232" i="7"/>
  <c r="E232" i="7"/>
  <c r="H232" i="7"/>
  <c r="L97" i="7"/>
  <c r="N97" i="7" s="1"/>
  <c r="M54" i="7"/>
  <c r="N54" i="7" s="1"/>
  <c r="L188" i="7"/>
  <c r="N188" i="7" s="1"/>
  <c r="M191" i="7"/>
  <c r="L191" i="7"/>
  <c r="N86" i="6"/>
  <c r="N87" i="6"/>
  <c r="K86" i="6"/>
  <c r="K87" i="6"/>
  <c r="H86" i="6"/>
  <c r="H87" i="6"/>
  <c r="E86" i="6"/>
  <c r="E87" i="6"/>
  <c r="N191" i="7" l="1"/>
  <c r="K25" i="7"/>
  <c r="E25" i="7"/>
  <c r="P25" i="7"/>
  <c r="N25" i="7"/>
  <c r="H25" i="7"/>
  <c r="P245" i="7"/>
  <c r="M88" i="7"/>
  <c r="N88" i="7" s="1"/>
  <c r="M75" i="7"/>
  <c r="N75" i="7" s="1"/>
  <c r="L179" i="7"/>
  <c r="N179" i="7" s="1"/>
  <c r="M161" i="7"/>
  <c r="L161" i="7"/>
  <c r="M162" i="7"/>
  <c r="L162" i="7"/>
  <c r="M66" i="7"/>
  <c r="N66" i="7" s="1"/>
  <c r="M177" i="7"/>
  <c r="M176" i="7" s="1"/>
  <c r="L177" i="7"/>
  <c r="L176" i="7" s="1"/>
  <c r="M209" i="7"/>
  <c r="L209" i="7"/>
  <c r="M158" i="7"/>
  <c r="L158" i="7"/>
  <c r="N162" i="7" l="1"/>
  <c r="N161" i="7"/>
  <c r="N158" i="7"/>
  <c r="N209" i="7"/>
  <c r="N177" i="7"/>
  <c r="M185" i="7"/>
  <c r="L185" i="7"/>
  <c r="M184" i="7"/>
  <c r="L184" i="7"/>
  <c r="M160" i="7"/>
  <c r="L160" i="7"/>
  <c r="M187" i="7"/>
  <c r="N187" i="7" s="1"/>
  <c r="M159" i="7"/>
  <c r="L159" i="7"/>
  <c r="M171" i="7"/>
  <c r="L171" i="7"/>
  <c r="M153" i="7"/>
  <c r="M157" i="7"/>
  <c r="L157" i="7"/>
  <c r="M60" i="7"/>
  <c r="L60" i="7"/>
  <c r="M48" i="7"/>
  <c r="L48" i="7"/>
  <c r="M87" i="7"/>
  <c r="L87" i="7"/>
  <c r="L38" i="7"/>
  <c r="N38" i="7" s="1"/>
  <c r="L174" i="7"/>
  <c r="M166" i="7"/>
  <c r="L166" i="7"/>
  <c r="M212" i="7"/>
  <c r="L212" i="7"/>
  <c r="L146" i="7"/>
  <c r="N146" i="7" s="1"/>
  <c r="M167" i="7"/>
  <c r="L167" i="7"/>
  <c r="M172" i="7"/>
  <c r="L172" i="7"/>
  <c r="M86" i="7"/>
  <c r="M78" i="7" s="1"/>
  <c r="M20" i="7" s="1"/>
  <c r="L86" i="7"/>
  <c r="M164" i="7"/>
  <c r="N164" i="7" s="1"/>
  <c r="Q90" i="7"/>
  <c r="Q78" i="7" s="1"/>
  <c r="Q66" i="7"/>
  <c r="Q56" i="7" s="1"/>
  <c r="Q18" i="7" s="1"/>
  <c r="O215" i="7"/>
  <c r="O24" i="7" s="1"/>
  <c r="M215" i="7"/>
  <c r="M24" i="7" s="1"/>
  <c r="L215" i="7"/>
  <c r="L24" i="7" s="1"/>
  <c r="J215" i="7"/>
  <c r="J24" i="7" s="1"/>
  <c r="I215" i="7"/>
  <c r="I24" i="7" s="1"/>
  <c r="G215" i="7"/>
  <c r="G24" i="7" s="1"/>
  <c r="F215" i="7"/>
  <c r="F24" i="7" s="1"/>
  <c r="D215" i="7"/>
  <c r="D24" i="7" s="1"/>
  <c r="C215" i="7"/>
  <c r="C24" i="7" s="1"/>
  <c r="Q223" i="7"/>
  <c r="Q221" i="7"/>
  <c r="Q220" i="7"/>
  <c r="Q219" i="7"/>
  <c r="Q216" i="7"/>
  <c r="O208" i="7"/>
  <c r="J208" i="7"/>
  <c r="I208" i="7"/>
  <c r="G208" i="7"/>
  <c r="F208" i="7"/>
  <c r="D208" i="7"/>
  <c r="C208" i="7"/>
  <c r="Q212" i="7"/>
  <c r="Q211" i="7"/>
  <c r="Q210" i="7"/>
  <c r="Q209" i="7"/>
  <c r="M208" i="7"/>
  <c r="L208" i="7"/>
  <c r="O199" i="7"/>
  <c r="J199" i="7"/>
  <c r="J198" i="7" s="1"/>
  <c r="J16" i="7" s="1"/>
  <c r="I199" i="7"/>
  <c r="G199" i="7"/>
  <c r="G198" i="7" s="1"/>
  <c r="G16" i="7" s="1"/>
  <c r="F199" i="7"/>
  <c r="D199" i="7"/>
  <c r="D198" i="7" s="1"/>
  <c r="D16" i="7" s="1"/>
  <c r="C199" i="7"/>
  <c r="Q206" i="7"/>
  <c r="Q205" i="7"/>
  <c r="Q204" i="7"/>
  <c r="L199" i="7"/>
  <c r="Q203" i="7"/>
  <c r="Q202" i="7"/>
  <c r="Q201" i="7"/>
  <c r="Q200" i="7"/>
  <c r="O181" i="7"/>
  <c r="J181" i="7"/>
  <c r="I181" i="7"/>
  <c r="G181" i="7"/>
  <c r="F181" i="7"/>
  <c r="D181" i="7"/>
  <c r="C181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79" i="7"/>
  <c r="Q178" i="7"/>
  <c r="Q177" i="7"/>
  <c r="O156" i="7"/>
  <c r="J156" i="7"/>
  <c r="J155" i="7" s="1"/>
  <c r="J21" i="7" s="1"/>
  <c r="I156" i="7"/>
  <c r="G156" i="7"/>
  <c r="G155" i="7" s="1"/>
  <c r="G21" i="7" s="1"/>
  <c r="F156" i="7"/>
  <c r="D156" i="7"/>
  <c r="D155" i="7" s="1"/>
  <c r="D21" i="7" s="1"/>
  <c r="C156" i="7"/>
  <c r="Q174" i="7"/>
  <c r="Q173" i="7"/>
  <c r="Q172" i="7"/>
  <c r="Q171" i="7"/>
  <c r="Q170" i="7"/>
  <c r="R169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38" i="7"/>
  <c r="O140" i="7"/>
  <c r="O14" i="7" s="1"/>
  <c r="M140" i="7"/>
  <c r="M14" i="7" s="1"/>
  <c r="J140" i="7"/>
  <c r="J14" i="7" s="1"/>
  <c r="I140" i="7"/>
  <c r="I14" i="7" s="1"/>
  <c r="G140" i="7"/>
  <c r="G14" i="7" s="1"/>
  <c r="F140" i="7"/>
  <c r="F14" i="7" s="1"/>
  <c r="D140" i="7"/>
  <c r="D14" i="7" s="1"/>
  <c r="C140" i="7"/>
  <c r="C14" i="7" s="1"/>
  <c r="Q135" i="7"/>
  <c r="Q134" i="7"/>
  <c r="Q133" i="7"/>
  <c r="Q132" i="7"/>
  <c r="Q131" i="7"/>
  <c r="O121" i="7"/>
  <c r="O23" i="7" s="1"/>
  <c r="M121" i="7"/>
  <c r="M23" i="7" s="1"/>
  <c r="L121" i="7"/>
  <c r="L23" i="7" s="1"/>
  <c r="J121" i="7"/>
  <c r="J23" i="7" s="1"/>
  <c r="I121" i="7"/>
  <c r="I23" i="7" s="1"/>
  <c r="G121" i="7"/>
  <c r="G23" i="7" s="1"/>
  <c r="F121" i="7"/>
  <c r="F23" i="7" s="1"/>
  <c r="D121" i="7"/>
  <c r="D23" i="7" s="1"/>
  <c r="C121" i="7"/>
  <c r="C23" i="7" s="1"/>
  <c r="O92" i="7"/>
  <c r="O22" i="7" s="1"/>
  <c r="M92" i="7"/>
  <c r="M22" i="7" s="1"/>
  <c r="J92" i="7"/>
  <c r="J22" i="7" s="1"/>
  <c r="I92" i="7"/>
  <c r="I22" i="7" s="1"/>
  <c r="G92" i="7"/>
  <c r="G22" i="7" s="1"/>
  <c r="F92" i="7"/>
  <c r="F22" i="7" s="1"/>
  <c r="D92" i="7"/>
  <c r="D22" i="7" s="1"/>
  <c r="C92" i="7"/>
  <c r="C22" i="7" s="1"/>
  <c r="L92" i="7"/>
  <c r="L22" i="7" s="1"/>
  <c r="H78" i="7"/>
  <c r="H20" i="7" s="1"/>
  <c r="O68" i="7"/>
  <c r="O19" i="7" s="1"/>
  <c r="M68" i="7"/>
  <c r="M19" i="7" s="1"/>
  <c r="L68" i="7"/>
  <c r="L19" i="7" s="1"/>
  <c r="J68" i="7"/>
  <c r="J19" i="7" s="1"/>
  <c r="I68" i="7"/>
  <c r="I19" i="7" s="1"/>
  <c r="G68" i="7"/>
  <c r="G19" i="7" s="1"/>
  <c r="F68" i="7"/>
  <c r="F19" i="7" s="1"/>
  <c r="D68" i="7"/>
  <c r="D19" i="7" s="1"/>
  <c r="C68" i="7"/>
  <c r="C19" i="7" s="1"/>
  <c r="K56" i="7"/>
  <c r="H56" i="7"/>
  <c r="J36" i="7"/>
  <c r="J17" i="7" s="1"/>
  <c r="I36" i="7"/>
  <c r="I17" i="7" s="1"/>
  <c r="G36" i="7"/>
  <c r="G17" i="7" s="1"/>
  <c r="F36" i="7"/>
  <c r="F17" i="7" s="1"/>
  <c r="D36" i="7"/>
  <c r="D17" i="7" s="1"/>
  <c r="C36" i="7"/>
  <c r="C17" i="7" s="1"/>
  <c r="M36" i="7"/>
  <c r="M17" i="7" s="1"/>
  <c r="L36" i="7"/>
  <c r="L17" i="7" s="1"/>
  <c r="D13" i="7" l="1"/>
  <c r="D11" i="7" s="1"/>
  <c r="G13" i="7"/>
  <c r="G11" i="7" s="1"/>
  <c r="J13" i="7"/>
  <c r="J11" i="7" s="1"/>
  <c r="J10" i="7" s="1"/>
  <c r="D10" i="7"/>
  <c r="G10" i="7"/>
  <c r="K18" i="7"/>
  <c r="H18" i="7"/>
  <c r="H227" i="7"/>
  <c r="C155" i="7"/>
  <c r="C21" i="7" s="1"/>
  <c r="F155" i="7"/>
  <c r="F21" i="7" s="1"/>
  <c r="I155" i="7"/>
  <c r="I21" i="7" s="1"/>
  <c r="O155" i="7"/>
  <c r="O21" i="7" s="1"/>
  <c r="Q130" i="7"/>
  <c r="E227" i="7"/>
  <c r="K227" i="7"/>
  <c r="N227" i="7"/>
  <c r="E181" i="7"/>
  <c r="E156" i="7"/>
  <c r="H156" i="7"/>
  <c r="K156" i="7"/>
  <c r="N174" i="7"/>
  <c r="N176" i="7"/>
  <c r="H121" i="7"/>
  <c r="H23" i="7" s="1"/>
  <c r="N121" i="7"/>
  <c r="N23" i="7" s="1"/>
  <c r="H130" i="7"/>
  <c r="H12" i="7" s="1"/>
  <c r="K130" i="7"/>
  <c r="K12" i="7" s="1"/>
  <c r="N130" i="7"/>
  <c r="N153" i="7"/>
  <c r="M150" i="7"/>
  <c r="M15" i="7" s="1"/>
  <c r="H181" i="7"/>
  <c r="K181" i="7"/>
  <c r="L78" i="7"/>
  <c r="L20" i="7" s="1"/>
  <c r="N208" i="7"/>
  <c r="E208" i="7"/>
  <c r="H208" i="7"/>
  <c r="K208" i="7"/>
  <c r="H215" i="7"/>
  <c r="H24" i="7" s="1"/>
  <c r="K215" i="7"/>
  <c r="K24" i="7" s="1"/>
  <c r="N215" i="7"/>
  <c r="N24" i="7" s="1"/>
  <c r="N172" i="7"/>
  <c r="N157" i="7"/>
  <c r="N167" i="7"/>
  <c r="N160" i="7"/>
  <c r="E130" i="7"/>
  <c r="E12" i="7" s="1"/>
  <c r="E215" i="7"/>
  <c r="E24" i="7" s="1"/>
  <c r="M56" i="7"/>
  <c r="M18" i="7" s="1"/>
  <c r="N36" i="7"/>
  <c r="N17" i="7" s="1"/>
  <c r="K36" i="7"/>
  <c r="K17" i="7" s="1"/>
  <c r="E68" i="7"/>
  <c r="E19" i="7" s="1"/>
  <c r="H68" i="7"/>
  <c r="H19" i="7" s="1"/>
  <c r="K68" i="7"/>
  <c r="K19" i="7" s="1"/>
  <c r="N68" i="7"/>
  <c r="N19" i="7" s="1"/>
  <c r="N60" i="7"/>
  <c r="L56" i="7"/>
  <c r="L18" i="7" s="1"/>
  <c r="N171" i="7"/>
  <c r="O198" i="7"/>
  <c r="O16" i="7" s="1"/>
  <c r="N184" i="7"/>
  <c r="N212" i="7"/>
  <c r="N185" i="7"/>
  <c r="E36" i="7"/>
  <c r="E17" i="7" s="1"/>
  <c r="H36" i="7"/>
  <c r="H17" i="7" s="1"/>
  <c r="E56" i="7"/>
  <c r="E78" i="7"/>
  <c r="E20" i="7" s="1"/>
  <c r="K78" i="7"/>
  <c r="K20" i="7" s="1"/>
  <c r="E92" i="7"/>
  <c r="E22" i="7" s="1"/>
  <c r="H92" i="7"/>
  <c r="H22" i="7" s="1"/>
  <c r="E121" i="7"/>
  <c r="E23" i="7" s="1"/>
  <c r="K121" i="7"/>
  <c r="K23" i="7" s="1"/>
  <c r="N86" i="7"/>
  <c r="N159" i="7"/>
  <c r="N92" i="7"/>
  <c r="N22" i="7" s="1"/>
  <c r="E140" i="7"/>
  <c r="E14" i="7" s="1"/>
  <c r="H140" i="7"/>
  <c r="H14" i="7" s="1"/>
  <c r="K140" i="7"/>
  <c r="K14" i="7" s="1"/>
  <c r="C198" i="7"/>
  <c r="C16" i="7" s="1"/>
  <c r="C13" i="7" s="1"/>
  <c r="E199" i="7"/>
  <c r="F198" i="7"/>
  <c r="F16" i="7" s="1"/>
  <c r="F13" i="7" s="1"/>
  <c r="H199" i="7"/>
  <c r="I198" i="7"/>
  <c r="I16" i="7" s="1"/>
  <c r="K199" i="7"/>
  <c r="N166" i="7"/>
  <c r="N87" i="7"/>
  <c r="N48" i="7"/>
  <c r="M181" i="7"/>
  <c r="M156" i="7"/>
  <c r="L140" i="7"/>
  <c r="L14" i="7" s="1"/>
  <c r="F129" i="7"/>
  <c r="J129" i="7"/>
  <c r="I129" i="7"/>
  <c r="G129" i="7"/>
  <c r="D129" i="7"/>
  <c r="C129" i="7"/>
  <c r="L156" i="7"/>
  <c r="O35" i="7"/>
  <c r="O129" i="7"/>
  <c r="Q215" i="7"/>
  <c r="P78" i="7"/>
  <c r="P20" i="7" s="1"/>
  <c r="Q20" i="7" s="1"/>
  <c r="Q121" i="7"/>
  <c r="P121" i="7" s="1"/>
  <c r="P23" i="7" s="1"/>
  <c r="Q23" i="7" s="1"/>
  <c r="Q36" i="7"/>
  <c r="Q17" i="7" s="1"/>
  <c r="Q181" i="7"/>
  <c r="P181" i="7" s="1"/>
  <c r="Q92" i="7"/>
  <c r="P92" i="7" s="1"/>
  <c r="P22" i="7" s="1"/>
  <c r="Q22" i="7" s="1"/>
  <c r="Q68" i="7"/>
  <c r="P68" i="7" s="1"/>
  <c r="P19" i="7" s="1"/>
  <c r="Q19" i="7" s="1"/>
  <c r="Q140" i="7"/>
  <c r="P140" i="7" s="1"/>
  <c r="P14" i="7" s="1"/>
  <c r="Q14" i="7" s="1"/>
  <c r="M129" i="7"/>
  <c r="L129" i="7"/>
  <c r="K92" i="7"/>
  <c r="K22" i="7" s="1"/>
  <c r="H129" i="7"/>
  <c r="Q156" i="7"/>
  <c r="Q155" i="7" s="1"/>
  <c r="P156" i="7"/>
  <c r="Q208" i="7"/>
  <c r="P208" i="7" s="1"/>
  <c r="Q199" i="7"/>
  <c r="L35" i="7"/>
  <c r="M35" i="7"/>
  <c r="C35" i="7"/>
  <c r="G35" i="7"/>
  <c r="I35" i="7"/>
  <c r="P130" i="7"/>
  <c r="D35" i="7"/>
  <c r="F35" i="7"/>
  <c r="J35" i="7"/>
  <c r="L198" i="7"/>
  <c r="L16" i="7" s="1"/>
  <c r="L181" i="7"/>
  <c r="N181" i="7" s="1"/>
  <c r="M199" i="7"/>
  <c r="M198" i="7" s="1"/>
  <c r="M16" i="7" s="1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C22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C21" i="6"/>
  <c r="D20" i="6"/>
  <c r="E20" i="6"/>
  <c r="F20" i="6"/>
  <c r="G20" i="6"/>
  <c r="H20" i="6"/>
  <c r="N20" i="6"/>
  <c r="Q20" i="6"/>
  <c r="C20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C19" i="6"/>
  <c r="Q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8" i="6"/>
  <c r="O17" i="6"/>
  <c r="P17" i="6"/>
  <c r="Q17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C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C15" i="6"/>
  <c r="N14" i="6"/>
  <c r="O14" i="6"/>
  <c r="P14" i="6"/>
  <c r="Q14" i="6"/>
  <c r="D14" i="6"/>
  <c r="E14" i="6"/>
  <c r="F14" i="6"/>
  <c r="G14" i="6"/>
  <c r="H14" i="6"/>
  <c r="I14" i="6"/>
  <c r="J14" i="6"/>
  <c r="K14" i="6"/>
  <c r="L14" i="6"/>
  <c r="M14" i="6"/>
  <c r="C14" i="6"/>
  <c r="K13" i="6"/>
  <c r="L13" i="6"/>
  <c r="M13" i="6"/>
  <c r="N13" i="6"/>
  <c r="O13" i="6"/>
  <c r="P13" i="6"/>
  <c r="Q13" i="6"/>
  <c r="D13" i="6"/>
  <c r="E13" i="6"/>
  <c r="F13" i="6"/>
  <c r="G13" i="6"/>
  <c r="H13" i="6"/>
  <c r="I13" i="6"/>
  <c r="J13" i="6"/>
  <c r="C13" i="6"/>
  <c r="N12" i="6"/>
  <c r="O12" i="6"/>
  <c r="P12" i="6"/>
  <c r="Q12" i="6"/>
  <c r="D12" i="6"/>
  <c r="E12" i="6"/>
  <c r="F12" i="6"/>
  <c r="G12" i="6"/>
  <c r="H12" i="6"/>
  <c r="I12" i="6"/>
  <c r="J12" i="6"/>
  <c r="K12" i="6"/>
  <c r="L12" i="6"/>
  <c r="M12" i="6"/>
  <c r="C12" i="6"/>
  <c r="Q11" i="6"/>
  <c r="J11" i="6"/>
  <c r="K11" i="6"/>
  <c r="L11" i="6"/>
  <c r="M11" i="6"/>
  <c r="N11" i="6"/>
  <c r="O11" i="6"/>
  <c r="P11" i="6"/>
  <c r="H11" i="6"/>
  <c r="I11" i="6"/>
  <c r="E11" i="6"/>
  <c r="F11" i="6"/>
  <c r="G11" i="6"/>
  <c r="D11" i="6"/>
  <c r="C11" i="6"/>
  <c r="Q206" i="6"/>
  <c r="O206" i="6"/>
  <c r="H13" i="7" l="1"/>
  <c r="F11" i="7"/>
  <c r="E13" i="7"/>
  <c r="C11" i="7"/>
  <c r="O10" i="7"/>
  <c r="O13" i="7"/>
  <c r="O11" i="7" s="1"/>
  <c r="F10" i="7"/>
  <c r="I13" i="7"/>
  <c r="H11" i="7"/>
  <c r="E18" i="7"/>
  <c r="P12" i="7"/>
  <c r="N12" i="7"/>
  <c r="Q12" i="7"/>
  <c r="N150" i="7"/>
  <c r="N15" i="7" s="1"/>
  <c r="H155" i="7"/>
  <c r="H21" i="7" s="1"/>
  <c r="L155" i="7"/>
  <c r="L21" i="7" s="1"/>
  <c r="L13" i="7" s="1"/>
  <c r="M155" i="7"/>
  <c r="M21" i="7" s="1"/>
  <c r="N156" i="7"/>
  <c r="P215" i="7"/>
  <c r="P24" i="7" s="1"/>
  <c r="Q24" i="7" s="1"/>
  <c r="P227" i="7"/>
  <c r="N56" i="7"/>
  <c r="N18" i="7" s="1"/>
  <c r="H35" i="7"/>
  <c r="K129" i="7"/>
  <c r="N198" i="7"/>
  <c r="N16" i="7" s="1"/>
  <c r="K35" i="7"/>
  <c r="N35" i="7"/>
  <c r="E155" i="7"/>
  <c r="E21" i="7" s="1"/>
  <c r="N129" i="7"/>
  <c r="E129" i="7"/>
  <c r="N199" i="7"/>
  <c r="E35" i="7"/>
  <c r="K155" i="7"/>
  <c r="K21" i="7" s="1"/>
  <c r="N140" i="7"/>
  <c r="N14" i="7" s="1"/>
  <c r="K198" i="7"/>
  <c r="K16" i="7" s="1"/>
  <c r="H198" i="7"/>
  <c r="H16" i="7" s="1"/>
  <c r="E198" i="7"/>
  <c r="E16" i="7" s="1"/>
  <c r="N78" i="7"/>
  <c r="N20" i="7" s="1"/>
  <c r="P56" i="7"/>
  <c r="P18" i="7" s="1"/>
  <c r="Q129" i="7"/>
  <c r="P129" i="7" s="1"/>
  <c r="Q35" i="7"/>
  <c r="P35" i="7" s="1"/>
  <c r="P36" i="7"/>
  <c r="P17" i="7" s="1"/>
  <c r="P155" i="7"/>
  <c r="P21" i="7" s="1"/>
  <c r="Q21" i="7" s="1"/>
  <c r="Q198" i="7"/>
  <c r="Q16" i="7" s="1"/>
  <c r="P199" i="7"/>
  <c r="N155" i="7"/>
  <c r="N21" i="7" s="1"/>
  <c r="N176" i="6"/>
  <c r="N110" i="6"/>
  <c r="Q13" i="7" l="1"/>
  <c r="P13" i="7" s="1"/>
  <c r="L11" i="7"/>
  <c r="Q11" i="7"/>
  <c r="K13" i="7"/>
  <c r="I11" i="7"/>
  <c r="L10" i="7"/>
  <c r="M13" i="7"/>
  <c r="M11" i="7" s="1"/>
  <c r="M10" i="7" s="1"/>
  <c r="P198" i="7"/>
  <c r="P16" i="7" s="1"/>
  <c r="M182" i="6"/>
  <c r="N11" i="7" l="1"/>
  <c r="K11" i="7"/>
  <c r="I10" i="7"/>
  <c r="K10" i="7" s="1"/>
  <c r="N13" i="7"/>
  <c r="H10" i="7"/>
  <c r="L99" i="6"/>
  <c r="N10" i="7" l="1"/>
  <c r="L75" i="6"/>
  <c r="M241" i="6"/>
  <c r="H95" i="6"/>
  <c r="E95" i="6"/>
  <c r="L197" i="6"/>
  <c r="M200" i="6"/>
  <c r="L200" i="6"/>
  <c r="M196" i="6"/>
  <c r="M194" i="6"/>
  <c r="L194" i="6"/>
  <c r="M193" i="6"/>
  <c r="L193" i="6"/>
  <c r="M169" i="6"/>
  <c r="L169" i="6"/>
  <c r="L215" i="6"/>
  <c r="K50" i="6"/>
  <c r="E50" i="6"/>
  <c r="L60" i="6"/>
  <c r="H237" i="6"/>
  <c r="K235" i="6"/>
  <c r="E232" i="6"/>
  <c r="K230" i="6"/>
  <c r="K232" i="6"/>
  <c r="H231" i="6"/>
  <c r="H232" i="6"/>
  <c r="M221" i="6"/>
  <c r="L221" i="6"/>
  <c r="L147" i="6"/>
  <c r="M53" i="6" l="1"/>
  <c r="K53" i="6"/>
  <c r="H50" i="6"/>
  <c r="H53" i="6"/>
  <c r="M224" i="6"/>
  <c r="L224" i="6"/>
  <c r="M89" i="6"/>
  <c r="L89" i="6"/>
  <c r="H74" i="6" l="1"/>
  <c r="M216" i="6" l="1"/>
  <c r="N216" i="6" s="1"/>
  <c r="K216" i="6"/>
  <c r="H216" i="6"/>
  <c r="E216" i="6"/>
  <c r="M179" i="6"/>
  <c r="L179" i="6"/>
  <c r="N170" i="6"/>
  <c r="N172" i="6"/>
  <c r="N180" i="6"/>
  <c r="L37" i="6"/>
  <c r="M88" i="6"/>
  <c r="L88" i="6"/>
  <c r="Q243" i="6" l="1"/>
  <c r="O243" i="6"/>
  <c r="L243" i="6"/>
  <c r="J243" i="6"/>
  <c r="I243" i="6"/>
  <c r="G243" i="6"/>
  <c r="F243" i="6"/>
  <c r="D243" i="6"/>
  <c r="C243" i="6"/>
  <c r="R242" i="6"/>
  <c r="R243" i="6" s="1"/>
  <c r="P243" i="6" s="1"/>
  <c r="N242" i="6"/>
  <c r="K242" i="6"/>
  <c r="H242" i="6"/>
  <c r="E242" i="6"/>
  <c r="R241" i="6"/>
  <c r="N241" i="6"/>
  <c r="K241" i="6"/>
  <c r="H241" i="6"/>
  <c r="E241" i="6"/>
  <c r="Q238" i="6"/>
  <c r="O238" i="6"/>
  <c r="M238" i="6"/>
  <c r="L238" i="6"/>
  <c r="J238" i="6"/>
  <c r="I238" i="6"/>
  <c r="G238" i="6"/>
  <c r="F238" i="6"/>
  <c r="D238" i="6"/>
  <c r="C238" i="6"/>
  <c r="R237" i="6"/>
  <c r="K237" i="6"/>
  <c r="E237" i="6"/>
  <c r="R236" i="6"/>
  <c r="K236" i="6"/>
  <c r="H236" i="6"/>
  <c r="E236" i="6"/>
  <c r="R235" i="6"/>
  <c r="H235" i="6"/>
  <c r="E235" i="6"/>
  <c r="R234" i="6"/>
  <c r="H234" i="6"/>
  <c r="E234" i="6"/>
  <c r="R233" i="6"/>
  <c r="H233" i="6"/>
  <c r="E233" i="6"/>
  <c r="R232" i="6"/>
  <c r="R231" i="6"/>
  <c r="E231" i="6"/>
  <c r="R230" i="6"/>
  <c r="H230" i="6"/>
  <c r="E230" i="6"/>
  <c r="R229" i="6"/>
  <c r="K229" i="6"/>
  <c r="H229" i="6"/>
  <c r="E229" i="6"/>
  <c r="Q225" i="6"/>
  <c r="O225" i="6"/>
  <c r="J225" i="6"/>
  <c r="I225" i="6"/>
  <c r="G225" i="6"/>
  <c r="F225" i="6"/>
  <c r="D225" i="6"/>
  <c r="C225" i="6"/>
  <c r="R224" i="6"/>
  <c r="N224" i="6"/>
  <c r="K224" i="6"/>
  <c r="H224" i="6"/>
  <c r="E224" i="6"/>
  <c r="R223" i="6"/>
  <c r="R222" i="6"/>
  <c r="K222" i="6"/>
  <c r="H222" i="6"/>
  <c r="E222" i="6"/>
  <c r="R221" i="6"/>
  <c r="M225" i="6"/>
  <c r="N221" i="6"/>
  <c r="K221" i="6"/>
  <c r="H221" i="6"/>
  <c r="E221" i="6"/>
  <c r="Q218" i="6"/>
  <c r="Q226" i="6" s="1"/>
  <c r="O218" i="6"/>
  <c r="O226" i="6" s="1"/>
  <c r="J218" i="6"/>
  <c r="J226" i="6" s="1"/>
  <c r="I218" i="6"/>
  <c r="I226" i="6" s="1"/>
  <c r="G218" i="6"/>
  <c r="G226" i="6" s="1"/>
  <c r="F218" i="6"/>
  <c r="D218" i="6"/>
  <c r="D226" i="6" s="1"/>
  <c r="C218" i="6"/>
  <c r="C226" i="6" s="1"/>
  <c r="R217" i="6"/>
  <c r="R216" i="6"/>
  <c r="R215" i="6"/>
  <c r="N215" i="6"/>
  <c r="K215" i="6"/>
  <c r="H215" i="6"/>
  <c r="E215" i="6"/>
  <c r="R214" i="6"/>
  <c r="N214" i="6"/>
  <c r="K214" i="6"/>
  <c r="H214" i="6"/>
  <c r="E214" i="6"/>
  <c r="R213" i="6"/>
  <c r="N213" i="6"/>
  <c r="K213" i="6"/>
  <c r="H213" i="6"/>
  <c r="E213" i="6"/>
  <c r="R212" i="6"/>
  <c r="R211" i="6"/>
  <c r="M218" i="6"/>
  <c r="M226" i="6" s="1"/>
  <c r="L218" i="6"/>
  <c r="K211" i="6"/>
  <c r="H211" i="6"/>
  <c r="E211" i="6"/>
  <c r="J206" i="6"/>
  <c r="I206" i="6"/>
  <c r="G206" i="6"/>
  <c r="F206" i="6"/>
  <c r="D206" i="6"/>
  <c r="C206" i="6"/>
  <c r="R205" i="6"/>
  <c r="K205" i="6"/>
  <c r="H205" i="6"/>
  <c r="E205" i="6"/>
  <c r="R204" i="6"/>
  <c r="K204" i="6"/>
  <c r="E204" i="6"/>
  <c r="R203" i="6"/>
  <c r="K203" i="6"/>
  <c r="H203" i="6"/>
  <c r="E203" i="6"/>
  <c r="R202" i="6"/>
  <c r="N202" i="6"/>
  <c r="K202" i="6"/>
  <c r="H202" i="6"/>
  <c r="E202" i="6"/>
  <c r="R201" i="6"/>
  <c r="K201" i="6"/>
  <c r="H201" i="6"/>
  <c r="E201" i="6"/>
  <c r="R200" i="6"/>
  <c r="N200" i="6"/>
  <c r="K200" i="6"/>
  <c r="H200" i="6"/>
  <c r="E200" i="6"/>
  <c r="R199" i="6"/>
  <c r="K199" i="6"/>
  <c r="H199" i="6"/>
  <c r="E199" i="6"/>
  <c r="R198" i="6"/>
  <c r="N198" i="6"/>
  <c r="K198" i="6"/>
  <c r="H198" i="6"/>
  <c r="E198" i="6"/>
  <c r="R197" i="6"/>
  <c r="K197" i="6"/>
  <c r="H197" i="6"/>
  <c r="E197" i="6"/>
  <c r="R196" i="6"/>
  <c r="K196" i="6"/>
  <c r="H196" i="6"/>
  <c r="E196" i="6"/>
  <c r="R195" i="6"/>
  <c r="N195" i="6"/>
  <c r="K195" i="6"/>
  <c r="H195" i="6"/>
  <c r="E195" i="6"/>
  <c r="R194" i="6"/>
  <c r="N194" i="6"/>
  <c r="K194" i="6"/>
  <c r="H194" i="6"/>
  <c r="E194" i="6"/>
  <c r="R193" i="6"/>
  <c r="N193" i="6"/>
  <c r="K193" i="6"/>
  <c r="H193" i="6"/>
  <c r="E193" i="6"/>
  <c r="R192" i="6"/>
  <c r="M206" i="6"/>
  <c r="L206" i="6"/>
  <c r="K192" i="6"/>
  <c r="H192" i="6"/>
  <c r="E192" i="6"/>
  <c r="R191" i="6"/>
  <c r="N191" i="6"/>
  <c r="K191" i="6"/>
  <c r="H191" i="6"/>
  <c r="E191" i="6"/>
  <c r="Q189" i="6"/>
  <c r="P189" i="6"/>
  <c r="O189" i="6"/>
  <c r="Q188" i="6"/>
  <c r="O188" i="6"/>
  <c r="J188" i="6"/>
  <c r="I188" i="6"/>
  <c r="G188" i="6"/>
  <c r="F188" i="6"/>
  <c r="D188" i="6"/>
  <c r="C188" i="6"/>
  <c r="R187" i="6"/>
  <c r="E187" i="6"/>
  <c r="R186" i="6"/>
  <c r="K186" i="6"/>
  <c r="R185" i="6"/>
  <c r="M188" i="6"/>
  <c r="L188" i="6"/>
  <c r="K185" i="6"/>
  <c r="H185" i="6"/>
  <c r="E185" i="6"/>
  <c r="Q182" i="6"/>
  <c r="O182" i="6"/>
  <c r="J182" i="6"/>
  <c r="I182" i="6"/>
  <c r="G182" i="6"/>
  <c r="F182" i="6"/>
  <c r="D182" i="6"/>
  <c r="C182" i="6"/>
  <c r="R181" i="6"/>
  <c r="N181" i="6"/>
  <c r="K181" i="6"/>
  <c r="H181" i="6"/>
  <c r="E181" i="6"/>
  <c r="R180" i="6"/>
  <c r="K180" i="6"/>
  <c r="H180" i="6"/>
  <c r="E180" i="6"/>
  <c r="R179" i="6"/>
  <c r="N179" i="6"/>
  <c r="K179" i="6"/>
  <c r="H179" i="6"/>
  <c r="E179" i="6"/>
  <c r="R178" i="6"/>
  <c r="N178" i="6"/>
  <c r="K178" i="6"/>
  <c r="H178" i="6"/>
  <c r="E178" i="6"/>
  <c r="R177" i="6"/>
  <c r="S176" i="6"/>
  <c r="R176" i="6"/>
  <c r="K176" i="6"/>
  <c r="H176" i="6"/>
  <c r="E176" i="6"/>
  <c r="R175" i="6"/>
  <c r="R174" i="6"/>
  <c r="N174" i="6"/>
  <c r="K174" i="6"/>
  <c r="H174" i="6"/>
  <c r="E174" i="6"/>
  <c r="R173" i="6"/>
  <c r="N173" i="6"/>
  <c r="K173" i="6"/>
  <c r="H173" i="6"/>
  <c r="E173" i="6"/>
  <c r="R172" i="6"/>
  <c r="K172" i="6"/>
  <c r="H172" i="6"/>
  <c r="E172" i="6"/>
  <c r="R171" i="6"/>
  <c r="N171" i="6"/>
  <c r="K171" i="6"/>
  <c r="H171" i="6"/>
  <c r="E171" i="6"/>
  <c r="R170" i="6"/>
  <c r="R169" i="6"/>
  <c r="N169" i="6"/>
  <c r="K169" i="6"/>
  <c r="H169" i="6"/>
  <c r="E169" i="6"/>
  <c r="R168" i="6"/>
  <c r="N168" i="6"/>
  <c r="K168" i="6"/>
  <c r="H168" i="6"/>
  <c r="E168" i="6"/>
  <c r="R167" i="6"/>
  <c r="N167" i="6"/>
  <c r="K167" i="6"/>
  <c r="H167" i="6"/>
  <c r="E167" i="6"/>
  <c r="R166" i="6"/>
  <c r="N166" i="6"/>
  <c r="K166" i="6"/>
  <c r="H166" i="6"/>
  <c r="E166" i="6"/>
  <c r="R165" i="6"/>
  <c r="N165" i="6"/>
  <c r="K165" i="6"/>
  <c r="H165" i="6"/>
  <c r="E165" i="6"/>
  <c r="R164" i="6"/>
  <c r="L182" i="6"/>
  <c r="K164" i="6"/>
  <c r="H164" i="6"/>
  <c r="E164" i="6"/>
  <c r="Q160" i="6"/>
  <c r="O160" i="6"/>
  <c r="M160" i="6"/>
  <c r="L160" i="6"/>
  <c r="J160" i="6"/>
  <c r="I160" i="6"/>
  <c r="G160" i="6"/>
  <c r="F160" i="6"/>
  <c r="D160" i="6"/>
  <c r="C160" i="6"/>
  <c r="R159" i="6"/>
  <c r="R158" i="6"/>
  <c r="K158" i="6"/>
  <c r="H158" i="6"/>
  <c r="E158" i="6"/>
  <c r="R157" i="6"/>
  <c r="N157" i="6"/>
  <c r="K157" i="6"/>
  <c r="H157" i="6"/>
  <c r="E157" i="6"/>
  <c r="R155" i="6"/>
  <c r="N155" i="6"/>
  <c r="K155" i="6"/>
  <c r="H155" i="6"/>
  <c r="E155" i="6"/>
  <c r="R154" i="6"/>
  <c r="K154" i="6"/>
  <c r="H154" i="6"/>
  <c r="E154" i="6"/>
  <c r="Q150" i="6"/>
  <c r="O150" i="6"/>
  <c r="M150" i="6"/>
  <c r="J150" i="6"/>
  <c r="I150" i="6"/>
  <c r="G150" i="6"/>
  <c r="F150" i="6"/>
  <c r="D150" i="6"/>
  <c r="C150" i="6"/>
  <c r="R148" i="6"/>
  <c r="K148" i="6"/>
  <c r="H148" i="6"/>
  <c r="E148" i="6"/>
  <c r="R147" i="6"/>
  <c r="N147" i="6"/>
  <c r="L150" i="6"/>
  <c r="K147" i="6"/>
  <c r="H147" i="6"/>
  <c r="E147" i="6"/>
  <c r="R146" i="6"/>
  <c r="N146" i="6"/>
  <c r="K146" i="6"/>
  <c r="H146" i="6"/>
  <c r="E146" i="6"/>
  <c r="R145" i="6"/>
  <c r="K145" i="6"/>
  <c r="H145" i="6"/>
  <c r="E145" i="6"/>
  <c r="R144" i="6"/>
  <c r="N144" i="6"/>
  <c r="K144" i="6"/>
  <c r="H144" i="6"/>
  <c r="E144" i="6"/>
  <c r="R143" i="6"/>
  <c r="N143" i="6"/>
  <c r="K143" i="6"/>
  <c r="H143" i="6"/>
  <c r="E143" i="6"/>
  <c r="R142" i="6"/>
  <c r="N142" i="6"/>
  <c r="K142" i="6"/>
  <c r="H142" i="6"/>
  <c r="E142" i="6"/>
  <c r="Q139" i="6"/>
  <c r="O139" i="6"/>
  <c r="M139" i="6"/>
  <c r="M10" i="6" s="1"/>
  <c r="L139" i="6"/>
  <c r="L10" i="6" s="1"/>
  <c r="J139" i="6"/>
  <c r="I139" i="6"/>
  <c r="G139" i="6"/>
  <c r="F139" i="6"/>
  <c r="D139" i="6"/>
  <c r="C139" i="6"/>
  <c r="C10" i="6" s="1"/>
  <c r="R138" i="6"/>
  <c r="R137" i="6"/>
  <c r="N137" i="6"/>
  <c r="K137" i="6"/>
  <c r="H137" i="6"/>
  <c r="E137" i="6"/>
  <c r="R136" i="6"/>
  <c r="N136" i="6"/>
  <c r="K136" i="6"/>
  <c r="H136" i="6"/>
  <c r="E136" i="6"/>
  <c r="R135" i="6"/>
  <c r="K135" i="6"/>
  <c r="H135" i="6"/>
  <c r="E135" i="6"/>
  <c r="R134" i="6"/>
  <c r="R139" i="6" s="1"/>
  <c r="N134" i="6"/>
  <c r="K134" i="6"/>
  <c r="H134" i="6"/>
  <c r="E134" i="6"/>
  <c r="Q131" i="6"/>
  <c r="O131" i="6"/>
  <c r="O20" i="6" s="1"/>
  <c r="M131" i="6"/>
  <c r="M20" i="6" s="1"/>
  <c r="L131" i="6"/>
  <c r="L20" i="6" s="1"/>
  <c r="J131" i="6"/>
  <c r="J20" i="6" s="1"/>
  <c r="I131" i="6"/>
  <c r="I20" i="6" s="1"/>
  <c r="G131" i="6"/>
  <c r="F131" i="6"/>
  <c r="D131" i="6"/>
  <c r="C131" i="6"/>
  <c r="R130" i="6"/>
  <c r="K130" i="6"/>
  <c r="E130" i="6"/>
  <c r="R129" i="6"/>
  <c r="R128" i="6"/>
  <c r="R127" i="6"/>
  <c r="R126" i="6"/>
  <c r="R125" i="6"/>
  <c r="K125" i="6"/>
  <c r="H125" i="6"/>
  <c r="E125" i="6"/>
  <c r="R124" i="6"/>
  <c r="R123" i="6"/>
  <c r="Q122" i="6"/>
  <c r="O122" i="6"/>
  <c r="M122" i="6"/>
  <c r="J122" i="6"/>
  <c r="I122" i="6"/>
  <c r="G122" i="6"/>
  <c r="F122" i="6"/>
  <c r="D122" i="6"/>
  <c r="C122" i="6"/>
  <c r="R121" i="6"/>
  <c r="K121" i="6"/>
  <c r="H121" i="6"/>
  <c r="E121" i="6"/>
  <c r="R120" i="6"/>
  <c r="K120" i="6"/>
  <c r="H120" i="6"/>
  <c r="E120" i="6"/>
  <c r="R119" i="6"/>
  <c r="K119" i="6"/>
  <c r="H119" i="6"/>
  <c r="E119" i="6"/>
  <c r="R118" i="6"/>
  <c r="K118" i="6"/>
  <c r="H118" i="6"/>
  <c r="E118" i="6"/>
  <c r="R117" i="6"/>
  <c r="H117" i="6"/>
  <c r="E117" i="6"/>
  <c r="R116" i="6"/>
  <c r="K116" i="6"/>
  <c r="H116" i="6"/>
  <c r="E116" i="6"/>
  <c r="R115" i="6"/>
  <c r="N115" i="6"/>
  <c r="K115" i="6"/>
  <c r="H115" i="6"/>
  <c r="E115" i="6"/>
  <c r="R114" i="6"/>
  <c r="R113" i="6"/>
  <c r="R112" i="6"/>
  <c r="R111" i="6"/>
  <c r="K111" i="6"/>
  <c r="H111" i="6"/>
  <c r="E111" i="6"/>
  <c r="R110" i="6"/>
  <c r="K110" i="6"/>
  <c r="H110" i="6"/>
  <c r="E110" i="6"/>
  <c r="R109" i="6"/>
  <c r="N109" i="6"/>
  <c r="H109" i="6"/>
  <c r="E109" i="6"/>
  <c r="R108" i="6"/>
  <c r="R107" i="6"/>
  <c r="K107" i="6"/>
  <c r="E107" i="6"/>
  <c r="R106" i="6"/>
  <c r="E106" i="6"/>
  <c r="R105" i="6"/>
  <c r="R104" i="6"/>
  <c r="N104" i="6"/>
  <c r="K104" i="6"/>
  <c r="E104" i="6"/>
  <c r="R103" i="6"/>
  <c r="R102" i="6"/>
  <c r="N102" i="6"/>
  <c r="K102" i="6"/>
  <c r="H102" i="6"/>
  <c r="E102" i="6"/>
  <c r="R101" i="6"/>
  <c r="R100" i="6"/>
  <c r="R99" i="6"/>
  <c r="N99" i="6"/>
  <c r="L122" i="6"/>
  <c r="K99" i="6"/>
  <c r="H99" i="6"/>
  <c r="E99" i="6"/>
  <c r="R98" i="6"/>
  <c r="R96" i="6"/>
  <c r="R95" i="6"/>
  <c r="R122" i="6" s="1"/>
  <c r="P122" i="6" s="1"/>
  <c r="N95" i="6"/>
  <c r="K95" i="6"/>
  <c r="Q92" i="6"/>
  <c r="O92" i="6"/>
  <c r="J92" i="6"/>
  <c r="J17" i="6" s="1"/>
  <c r="I92" i="6"/>
  <c r="I17" i="6" s="1"/>
  <c r="G92" i="6"/>
  <c r="G17" i="6" s="1"/>
  <c r="F92" i="6"/>
  <c r="F17" i="6" s="1"/>
  <c r="D92" i="6"/>
  <c r="D17" i="6" s="1"/>
  <c r="C92" i="6"/>
  <c r="C17" i="6" s="1"/>
  <c r="R91" i="6"/>
  <c r="N91" i="6"/>
  <c r="K91" i="6"/>
  <c r="H91" i="6"/>
  <c r="E91" i="6"/>
  <c r="R90" i="6"/>
  <c r="N90" i="6"/>
  <c r="K90" i="6"/>
  <c r="H90" i="6"/>
  <c r="E90" i="6"/>
  <c r="R89" i="6"/>
  <c r="N89" i="6"/>
  <c r="K89" i="6"/>
  <c r="H89" i="6"/>
  <c r="E89" i="6"/>
  <c r="R88" i="6"/>
  <c r="M92" i="6"/>
  <c r="M17" i="6" s="1"/>
  <c r="N88" i="6"/>
  <c r="K88" i="6"/>
  <c r="H88" i="6"/>
  <c r="E88" i="6"/>
  <c r="R87" i="6"/>
  <c r="R86" i="6"/>
  <c r="R85" i="6"/>
  <c r="N85" i="6"/>
  <c r="K85" i="6"/>
  <c r="H85" i="6"/>
  <c r="E85" i="6"/>
  <c r="R84" i="6"/>
  <c r="N84" i="6"/>
  <c r="K84" i="6"/>
  <c r="H84" i="6"/>
  <c r="E84" i="6"/>
  <c r="R83" i="6"/>
  <c r="N83" i="6"/>
  <c r="K83" i="6"/>
  <c r="H83" i="6"/>
  <c r="E83" i="6"/>
  <c r="R82" i="6"/>
  <c r="N82" i="6"/>
  <c r="K82" i="6"/>
  <c r="H82" i="6"/>
  <c r="E82" i="6"/>
  <c r="R81" i="6"/>
  <c r="H81" i="6"/>
  <c r="E81" i="6"/>
  <c r="Q77" i="6"/>
  <c r="O77" i="6"/>
  <c r="R76" i="6"/>
  <c r="K76" i="6"/>
  <c r="H76" i="6"/>
  <c r="E76" i="6"/>
  <c r="R75" i="6"/>
  <c r="N75" i="6"/>
  <c r="K75" i="6"/>
  <c r="H75" i="6"/>
  <c r="E75" i="6"/>
  <c r="R74" i="6"/>
  <c r="N74" i="6"/>
  <c r="K74" i="6"/>
  <c r="E74" i="6"/>
  <c r="R73" i="6"/>
  <c r="K73" i="6"/>
  <c r="H73" i="6"/>
  <c r="E73" i="6"/>
  <c r="R72" i="6"/>
  <c r="K72" i="6"/>
  <c r="H72" i="6"/>
  <c r="E72" i="6"/>
  <c r="R71" i="6"/>
  <c r="M71" i="6"/>
  <c r="M77" i="6" s="1"/>
  <c r="L71" i="6"/>
  <c r="L77" i="6" s="1"/>
  <c r="J71" i="6"/>
  <c r="J77" i="6" s="1"/>
  <c r="I71" i="6"/>
  <c r="I77" i="6" s="1"/>
  <c r="G71" i="6"/>
  <c r="G77" i="6" s="1"/>
  <c r="F71" i="6"/>
  <c r="F77" i="6" s="1"/>
  <c r="D71" i="6"/>
  <c r="D77" i="6" s="1"/>
  <c r="C71" i="6"/>
  <c r="C77" i="6" s="1"/>
  <c r="R70" i="6"/>
  <c r="N70" i="6"/>
  <c r="K70" i="6"/>
  <c r="H70" i="6"/>
  <c r="E70" i="6"/>
  <c r="R69" i="6"/>
  <c r="R77" i="6" s="1"/>
  <c r="P77" i="6" s="1"/>
  <c r="K69" i="6"/>
  <c r="H69" i="6"/>
  <c r="E69" i="6"/>
  <c r="Q66" i="6"/>
  <c r="O66" i="6"/>
  <c r="M66" i="6"/>
  <c r="J66" i="6"/>
  <c r="I66" i="6"/>
  <c r="G66" i="6"/>
  <c r="F66" i="6"/>
  <c r="D66" i="6"/>
  <c r="C66" i="6"/>
  <c r="R65" i="6"/>
  <c r="R64" i="6"/>
  <c r="R63" i="6"/>
  <c r="N63" i="6"/>
  <c r="K63" i="6"/>
  <c r="E63" i="6"/>
  <c r="R62" i="6"/>
  <c r="N62" i="6"/>
  <c r="K62" i="6"/>
  <c r="H62" i="6"/>
  <c r="E62" i="6"/>
  <c r="R61" i="6"/>
  <c r="R60" i="6"/>
  <c r="L66" i="6"/>
  <c r="K60" i="6"/>
  <c r="H60" i="6"/>
  <c r="E60" i="6"/>
  <c r="R59" i="6"/>
  <c r="K59" i="6"/>
  <c r="H59" i="6"/>
  <c r="E59" i="6"/>
  <c r="R58" i="6"/>
  <c r="K58" i="6"/>
  <c r="H58" i="6"/>
  <c r="E58" i="6"/>
  <c r="R57" i="6"/>
  <c r="N57" i="6"/>
  <c r="K57" i="6"/>
  <c r="H57" i="6"/>
  <c r="E57" i="6"/>
  <c r="Q54" i="6"/>
  <c r="O54" i="6"/>
  <c r="J54" i="6"/>
  <c r="I54" i="6"/>
  <c r="G54" i="6"/>
  <c r="F54" i="6"/>
  <c r="D54" i="6"/>
  <c r="C54" i="6"/>
  <c r="R53" i="6"/>
  <c r="M54" i="6"/>
  <c r="E53" i="6"/>
  <c r="R52" i="6"/>
  <c r="K52" i="6"/>
  <c r="E52" i="6"/>
  <c r="R51" i="6"/>
  <c r="R50" i="6"/>
  <c r="R49" i="6"/>
  <c r="K49" i="6"/>
  <c r="H49" i="6"/>
  <c r="E49" i="6"/>
  <c r="R48" i="6"/>
  <c r="K48" i="6"/>
  <c r="H48" i="6"/>
  <c r="E48" i="6"/>
  <c r="R47" i="6"/>
  <c r="N47" i="6"/>
  <c r="K47" i="6"/>
  <c r="H47" i="6"/>
  <c r="E47" i="6"/>
  <c r="R46" i="6"/>
  <c r="R45" i="6"/>
  <c r="N45" i="6"/>
  <c r="K45" i="6"/>
  <c r="H45" i="6"/>
  <c r="E45" i="6"/>
  <c r="R44" i="6"/>
  <c r="K44" i="6"/>
  <c r="H44" i="6"/>
  <c r="E44" i="6"/>
  <c r="R43" i="6"/>
  <c r="K43" i="6"/>
  <c r="H43" i="6"/>
  <c r="E43" i="6"/>
  <c r="R42" i="6"/>
  <c r="R41" i="6"/>
  <c r="K41" i="6"/>
  <c r="H41" i="6"/>
  <c r="E41" i="6"/>
  <c r="R40" i="6"/>
  <c r="N40" i="6"/>
  <c r="K40" i="6"/>
  <c r="H40" i="6"/>
  <c r="E40" i="6"/>
  <c r="R39" i="6"/>
  <c r="K39" i="6"/>
  <c r="E39" i="6"/>
  <c r="R38" i="6"/>
  <c r="K38" i="6"/>
  <c r="H38" i="6"/>
  <c r="E38" i="6"/>
  <c r="R37" i="6"/>
  <c r="L54" i="6"/>
  <c r="K37" i="6"/>
  <c r="H37" i="6"/>
  <c r="E37" i="6"/>
  <c r="R36" i="6"/>
  <c r="K36" i="6"/>
  <c r="H36" i="6"/>
  <c r="E36" i="6"/>
  <c r="R10" i="6"/>
  <c r="Q10" i="6"/>
  <c r="O10" i="6"/>
  <c r="O151" i="6" l="1"/>
  <c r="R131" i="6"/>
  <c r="P131" i="6" s="1"/>
  <c r="P20" i="6" s="1"/>
  <c r="Q78" i="6"/>
  <c r="J151" i="6"/>
  <c r="J10" i="6"/>
  <c r="I151" i="6"/>
  <c r="I10" i="6"/>
  <c r="G151" i="6"/>
  <c r="G10" i="6"/>
  <c r="F151" i="6"/>
  <c r="F10" i="6"/>
  <c r="D151" i="6"/>
  <c r="D10" i="6"/>
  <c r="C151" i="6"/>
  <c r="F207" i="6"/>
  <c r="R182" i="6"/>
  <c r="I207" i="6"/>
  <c r="J207" i="6"/>
  <c r="D207" i="6"/>
  <c r="G207" i="6"/>
  <c r="R206" i="6"/>
  <c r="R66" i="6"/>
  <c r="P66" i="6" s="1"/>
  <c r="R15" i="6" s="1"/>
  <c r="N238" i="6"/>
  <c r="K238" i="6"/>
  <c r="H238" i="6"/>
  <c r="E238" i="6"/>
  <c r="R150" i="6"/>
  <c r="P150" i="6" s="1"/>
  <c r="R11" i="6" s="1"/>
  <c r="M151" i="6"/>
  <c r="K66" i="6"/>
  <c r="H66" i="6"/>
  <c r="E66" i="6"/>
  <c r="N150" i="6"/>
  <c r="K150" i="6"/>
  <c r="H150" i="6"/>
  <c r="E150" i="6"/>
  <c r="N160" i="6"/>
  <c r="K160" i="6"/>
  <c r="H160" i="6"/>
  <c r="E160" i="6"/>
  <c r="G23" i="6"/>
  <c r="K225" i="6"/>
  <c r="E225" i="6"/>
  <c r="M207" i="6"/>
  <c r="K206" i="6"/>
  <c r="H206" i="6"/>
  <c r="E206" i="6"/>
  <c r="C207" i="6"/>
  <c r="J78" i="6"/>
  <c r="C78" i="6"/>
  <c r="R22" i="6"/>
  <c r="K243" i="6"/>
  <c r="H243" i="6"/>
  <c r="E243" i="6"/>
  <c r="O78" i="6"/>
  <c r="G78" i="6"/>
  <c r="R19" i="6"/>
  <c r="R218" i="6"/>
  <c r="P218" i="6" s="1"/>
  <c r="K226" i="6"/>
  <c r="H218" i="6"/>
  <c r="E226" i="6"/>
  <c r="J23" i="6"/>
  <c r="K188" i="6"/>
  <c r="H188" i="6"/>
  <c r="E188" i="6"/>
  <c r="R20" i="6"/>
  <c r="K131" i="6"/>
  <c r="K20" i="6" s="1"/>
  <c r="H131" i="6"/>
  <c r="E131" i="6"/>
  <c r="N122" i="6"/>
  <c r="K122" i="6"/>
  <c r="H122" i="6"/>
  <c r="E122" i="6"/>
  <c r="K92" i="6"/>
  <c r="K17" i="6" s="1"/>
  <c r="H92" i="6"/>
  <c r="H17" i="6" s="1"/>
  <c r="E92" i="6"/>
  <c r="E17" i="6" s="1"/>
  <c r="R238" i="6"/>
  <c r="P238" i="6" s="1"/>
  <c r="R21" i="6" s="1"/>
  <c r="R225" i="6"/>
  <c r="P225" i="6" s="1"/>
  <c r="P182" i="6"/>
  <c r="R160" i="6"/>
  <c r="P160" i="6" s="1"/>
  <c r="R12" i="6" s="1"/>
  <c r="Q151" i="6"/>
  <c r="R92" i="6"/>
  <c r="P92" i="6" s="1"/>
  <c r="R17" i="6" s="1"/>
  <c r="R16" i="6"/>
  <c r="R54" i="6"/>
  <c r="F78" i="6"/>
  <c r="D78" i="6"/>
  <c r="D23" i="6"/>
  <c r="M78" i="6"/>
  <c r="N66" i="6"/>
  <c r="L78" i="6"/>
  <c r="N54" i="6"/>
  <c r="E77" i="6"/>
  <c r="H77" i="6"/>
  <c r="K77" i="6"/>
  <c r="I23" i="6"/>
  <c r="N77" i="6"/>
  <c r="N37" i="6"/>
  <c r="H54" i="6"/>
  <c r="P139" i="6"/>
  <c r="P10" i="6" s="1"/>
  <c r="H151" i="6"/>
  <c r="K151" i="6"/>
  <c r="L151" i="6"/>
  <c r="N188" i="6"/>
  <c r="N206" i="6"/>
  <c r="N218" i="6"/>
  <c r="E54" i="6"/>
  <c r="I78" i="6"/>
  <c r="K78" i="6" s="1"/>
  <c r="K54" i="6"/>
  <c r="L207" i="6"/>
  <c r="N182" i="6"/>
  <c r="L92" i="6"/>
  <c r="L17" i="6" s="1"/>
  <c r="E139" i="6"/>
  <c r="E10" i="6" s="1"/>
  <c r="K139" i="6"/>
  <c r="K10" i="6" s="1"/>
  <c r="N164" i="6"/>
  <c r="H182" i="6"/>
  <c r="N185" i="6"/>
  <c r="N192" i="6"/>
  <c r="N211" i="6"/>
  <c r="E218" i="6"/>
  <c r="K218" i="6"/>
  <c r="L225" i="6"/>
  <c r="N225" i="6" s="1"/>
  <c r="F226" i="6"/>
  <c r="M243" i="6"/>
  <c r="H139" i="6"/>
  <c r="H10" i="6" s="1"/>
  <c r="N139" i="6"/>
  <c r="N10" i="6" s="1"/>
  <c r="E182" i="6"/>
  <c r="K182" i="6"/>
  <c r="O207" i="6"/>
  <c r="Q23" i="6"/>
  <c r="M200" i="5"/>
  <c r="L200" i="5"/>
  <c r="J200" i="5"/>
  <c r="I200" i="5"/>
  <c r="G200" i="5"/>
  <c r="F200" i="5"/>
  <c r="D200" i="5"/>
  <c r="C200" i="5"/>
  <c r="M200" i="4"/>
  <c r="L200" i="4"/>
  <c r="E151" i="6" l="1"/>
  <c r="R78" i="6"/>
  <c r="P78" i="6" s="1"/>
  <c r="N151" i="6"/>
  <c r="H207" i="6"/>
  <c r="R151" i="6"/>
  <c r="P151" i="6" s="1"/>
  <c r="R207" i="6"/>
  <c r="P207" i="6" s="1"/>
  <c r="E207" i="6"/>
  <c r="K207" i="6"/>
  <c r="R226" i="6"/>
  <c r="P226" i="6" s="1"/>
  <c r="C23" i="6"/>
  <c r="E23" i="6" s="1"/>
  <c r="N78" i="6"/>
  <c r="H78" i="6"/>
  <c r="E78" i="6"/>
  <c r="K23" i="6"/>
  <c r="P54" i="6"/>
  <c r="R14" i="6" s="1"/>
  <c r="M23" i="6"/>
  <c r="H226" i="6"/>
  <c r="F23" i="6"/>
  <c r="H23" i="6" s="1"/>
  <c r="N243" i="6"/>
  <c r="N207" i="6"/>
  <c r="P206" i="6"/>
  <c r="Q207" i="6"/>
  <c r="N92" i="6"/>
  <c r="N17" i="6" s="1"/>
  <c r="L226" i="6"/>
  <c r="K200" i="5"/>
  <c r="H200" i="5"/>
  <c r="R13" i="6" l="1"/>
  <c r="N226" i="6"/>
  <c r="L23" i="6"/>
  <c r="N23" i="6" s="1"/>
  <c r="R18" i="6"/>
  <c r="O23" i="6"/>
  <c r="E200" i="5"/>
  <c r="N192" i="5"/>
  <c r="M192" i="5"/>
  <c r="L192" i="5"/>
  <c r="K192" i="5"/>
  <c r="E192" i="5"/>
  <c r="H192" i="5"/>
  <c r="J192" i="5"/>
  <c r="I192" i="5"/>
  <c r="G192" i="5"/>
  <c r="F192" i="5"/>
  <c r="D192" i="5"/>
  <c r="C192" i="5"/>
  <c r="M192" i="4"/>
  <c r="L192" i="4"/>
  <c r="R23" i="6" l="1"/>
  <c r="P23" i="6" s="1"/>
  <c r="C173" i="5"/>
  <c r="N20" i="1" l="1"/>
  <c r="E37" i="1"/>
  <c r="H37" i="1"/>
  <c r="K37" i="1"/>
  <c r="N37" i="1"/>
  <c r="R37" i="1"/>
  <c r="E38" i="1"/>
  <c r="H38" i="1"/>
  <c r="K38" i="1"/>
  <c r="R38" i="1"/>
  <c r="E39" i="1"/>
  <c r="H39" i="1"/>
  <c r="K39" i="1"/>
  <c r="R39" i="1"/>
  <c r="E40" i="1"/>
  <c r="H40" i="1"/>
  <c r="K40" i="1"/>
  <c r="R40" i="1"/>
  <c r="E41" i="1"/>
  <c r="H41" i="1"/>
  <c r="K41" i="1"/>
  <c r="N41" i="1"/>
  <c r="R41" i="1"/>
  <c r="E42" i="1"/>
  <c r="H42" i="1"/>
  <c r="K42" i="1"/>
  <c r="R42" i="1"/>
  <c r="R43" i="1"/>
  <c r="E44" i="1"/>
  <c r="H44" i="1"/>
  <c r="K44" i="1"/>
  <c r="R44" i="1"/>
  <c r="E45" i="1"/>
  <c r="H45" i="1"/>
  <c r="K45" i="1"/>
  <c r="R45" i="1"/>
  <c r="E46" i="1"/>
  <c r="H46" i="1"/>
  <c r="K46" i="1"/>
  <c r="N46" i="1"/>
  <c r="R46" i="1"/>
  <c r="E47" i="1"/>
  <c r="R47" i="1"/>
  <c r="E48" i="1"/>
  <c r="H48" i="1"/>
  <c r="K48" i="1"/>
  <c r="N48" i="1"/>
  <c r="R48" i="1"/>
  <c r="E49" i="1"/>
  <c r="H49" i="1"/>
  <c r="K49" i="1"/>
  <c r="R49" i="1"/>
  <c r="E50" i="1"/>
  <c r="H50" i="1"/>
  <c r="K50" i="1"/>
  <c r="R50" i="1"/>
  <c r="E51" i="1"/>
  <c r="H51" i="1"/>
  <c r="N51" i="1"/>
  <c r="R51" i="1"/>
  <c r="E52" i="1"/>
  <c r="K52" i="1"/>
  <c r="R52" i="1"/>
  <c r="E53" i="1"/>
  <c r="R53" i="1"/>
  <c r="E54" i="1"/>
  <c r="M54" i="1"/>
  <c r="R54" i="1"/>
  <c r="C55" i="1"/>
  <c r="C14" i="1" s="1"/>
  <c r="D55" i="1"/>
  <c r="D14" i="1" s="1"/>
  <c r="E55" i="1"/>
  <c r="E14" i="1" s="1"/>
  <c r="F55" i="1"/>
  <c r="F14" i="1" s="1"/>
  <c r="G55" i="1"/>
  <c r="G14" i="1" s="1"/>
  <c r="I55" i="1"/>
  <c r="I14" i="1" s="1"/>
  <c r="J55" i="1"/>
  <c r="J14" i="1" s="1"/>
  <c r="K55" i="1"/>
  <c r="K14" i="1" s="1"/>
  <c r="L55" i="1"/>
  <c r="L14" i="1" s="1"/>
  <c r="M55" i="1"/>
  <c r="M14" i="1" s="1"/>
  <c r="O55" i="1"/>
  <c r="O14" i="1" s="1"/>
  <c r="Q55" i="1"/>
  <c r="Q14" i="1" s="1"/>
  <c r="R55" i="1"/>
  <c r="P55" i="1" s="1"/>
  <c r="P14" i="1" s="1"/>
  <c r="E58" i="1"/>
  <c r="H58" i="1"/>
  <c r="K58" i="1"/>
  <c r="N58" i="1"/>
  <c r="R58" i="1"/>
  <c r="E59" i="1"/>
  <c r="H59" i="1"/>
  <c r="K59" i="1"/>
  <c r="R59" i="1"/>
  <c r="E60" i="1"/>
  <c r="H60" i="1"/>
  <c r="R60" i="1"/>
  <c r="E61" i="1"/>
  <c r="H61" i="1"/>
  <c r="K61" i="1"/>
  <c r="R61" i="1"/>
  <c r="E62" i="1"/>
  <c r="H62" i="1"/>
  <c r="K62" i="1"/>
  <c r="R62" i="1"/>
  <c r="E63" i="1"/>
  <c r="H63" i="1"/>
  <c r="K63" i="1"/>
  <c r="R63" i="1"/>
  <c r="E64" i="1"/>
  <c r="H64" i="1"/>
  <c r="K64" i="1"/>
  <c r="R64" i="1"/>
  <c r="E65" i="1"/>
  <c r="K65" i="1"/>
  <c r="R65" i="1"/>
  <c r="R66" i="1"/>
  <c r="C67" i="1"/>
  <c r="C15" i="1" s="1"/>
  <c r="D67" i="1"/>
  <c r="D15" i="1" s="1"/>
  <c r="E67" i="1"/>
  <c r="E15" i="1" s="1"/>
  <c r="F67" i="1"/>
  <c r="F15" i="1" s="1"/>
  <c r="G67" i="1"/>
  <c r="G15" i="1" s="1"/>
  <c r="I67" i="1"/>
  <c r="I15" i="1" s="1"/>
  <c r="J67" i="1"/>
  <c r="J15" i="1" s="1"/>
  <c r="K67" i="1"/>
  <c r="K15" i="1" s="1"/>
  <c r="L67" i="1"/>
  <c r="L15" i="1" s="1"/>
  <c r="M67" i="1"/>
  <c r="M15" i="1" s="1"/>
  <c r="O67" i="1"/>
  <c r="O15" i="1" s="1"/>
  <c r="Q67" i="1"/>
  <c r="Q15" i="1" s="1"/>
  <c r="R67" i="1"/>
  <c r="P67" i="1" s="1"/>
  <c r="P15" i="1" s="1"/>
  <c r="E70" i="1"/>
  <c r="H70" i="1"/>
  <c r="K70" i="1"/>
  <c r="N70" i="1"/>
  <c r="R70" i="1"/>
  <c r="E71" i="1"/>
  <c r="H71" i="1"/>
  <c r="K71" i="1"/>
  <c r="N71" i="1"/>
  <c r="R71" i="1"/>
  <c r="E72" i="1"/>
  <c r="H72" i="1"/>
  <c r="K72" i="1"/>
  <c r="N72" i="1"/>
  <c r="R72" i="1"/>
  <c r="E73" i="1"/>
  <c r="H73" i="1"/>
  <c r="K73" i="1"/>
  <c r="N73" i="1"/>
  <c r="R73" i="1"/>
  <c r="E74" i="1"/>
  <c r="H74" i="1"/>
  <c r="K74" i="1"/>
  <c r="N74" i="1"/>
  <c r="R74" i="1"/>
  <c r="E75" i="1"/>
  <c r="H75" i="1"/>
  <c r="K75" i="1"/>
  <c r="N75" i="1"/>
  <c r="R75" i="1"/>
  <c r="E76" i="1"/>
  <c r="H76" i="1"/>
  <c r="K76" i="1"/>
  <c r="N76" i="1"/>
  <c r="R76" i="1"/>
  <c r="E77" i="1"/>
  <c r="K77" i="1"/>
  <c r="N77" i="1"/>
  <c r="R77" i="1"/>
  <c r="C78" i="1"/>
  <c r="C16" i="1" s="1"/>
  <c r="D78" i="1"/>
  <c r="D16" i="1" s="1"/>
  <c r="F78" i="1"/>
  <c r="F16" i="1" s="1"/>
  <c r="G78" i="1"/>
  <c r="G16" i="1" s="1"/>
  <c r="H78" i="1"/>
  <c r="H16" i="1" s="1"/>
  <c r="I78" i="1"/>
  <c r="I16" i="1" s="1"/>
  <c r="J78" i="1"/>
  <c r="J16" i="1" s="1"/>
  <c r="L78" i="1"/>
  <c r="L16" i="1" s="1"/>
  <c r="M78" i="1"/>
  <c r="M16" i="1" s="1"/>
  <c r="N78" i="1"/>
  <c r="N16" i="1" s="1"/>
  <c r="O78" i="1"/>
  <c r="O16" i="1" s="1"/>
  <c r="Q78" i="1"/>
  <c r="Q16" i="1" s="1"/>
  <c r="R78" i="1"/>
  <c r="P78" i="1" s="1"/>
  <c r="P16" i="1" s="1"/>
  <c r="C79" i="1"/>
  <c r="D79" i="1"/>
  <c r="E79" i="1" s="1"/>
  <c r="F79" i="1"/>
  <c r="G79" i="1"/>
  <c r="H79" i="1"/>
  <c r="I79" i="1"/>
  <c r="J79" i="1"/>
  <c r="K79" i="1" s="1"/>
  <c r="L79" i="1"/>
  <c r="M79" i="1"/>
  <c r="N79" i="1"/>
  <c r="O79" i="1"/>
  <c r="Q79" i="1"/>
  <c r="R79" i="1"/>
  <c r="P79" i="1" s="1"/>
  <c r="E82" i="1"/>
  <c r="H82" i="1"/>
  <c r="R82" i="1"/>
  <c r="E83" i="1"/>
  <c r="H83" i="1"/>
  <c r="K83" i="1"/>
  <c r="N83" i="1"/>
  <c r="R83" i="1"/>
  <c r="E84" i="1"/>
  <c r="H84" i="1"/>
  <c r="K84" i="1"/>
  <c r="N84" i="1"/>
  <c r="R84" i="1"/>
  <c r="E85" i="1"/>
  <c r="H85" i="1"/>
  <c r="K85" i="1"/>
  <c r="N85" i="1"/>
  <c r="R85" i="1"/>
  <c r="E86" i="1"/>
  <c r="H86" i="1"/>
  <c r="K86" i="1"/>
  <c r="N86" i="1"/>
  <c r="R86" i="1"/>
  <c r="R87" i="1"/>
  <c r="E88" i="1"/>
  <c r="H88" i="1"/>
  <c r="K88" i="1"/>
  <c r="N88" i="1"/>
  <c r="R88" i="1"/>
  <c r="E89" i="1"/>
  <c r="H89" i="1"/>
  <c r="K89" i="1"/>
  <c r="N89" i="1"/>
  <c r="R89" i="1"/>
  <c r="E90" i="1"/>
  <c r="H90" i="1"/>
  <c r="K90" i="1"/>
  <c r="N90" i="1"/>
  <c r="R90" i="1"/>
  <c r="E91" i="1"/>
  <c r="H91" i="1"/>
  <c r="K91" i="1"/>
  <c r="L91" i="1"/>
  <c r="N91" i="1"/>
  <c r="C93" i="1"/>
  <c r="C17" i="1" s="1"/>
  <c r="D93" i="1"/>
  <c r="D17" i="1" s="1"/>
  <c r="F93" i="1"/>
  <c r="F17" i="1" s="1"/>
  <c r="G93" i="1"/>
  <c r="I93" i="1"/>
  <c r="I17" i="1" s="1"/>
  <c r="J93" i="1"/>
  <c r="J17" i="1" s="1"/>
  <c r="K93" i="1"/>
  <c r="K17" i="1" s="1"/>
  <c r="L93" i="1"/>
  <c r="L17" i="1" s="1"/>
  <c r="M93" i="1"/>
  <c r="M17" i="1" s="1"/>
  <c r="O93" i="1"/>
  <c r="O17" i="1" s="1"/>
  <c r="Q93" i="1"/>
  <c r="Q17" i="1" s="1"/>
  <c r="E96" i="1"/>
  <c r="H96" i="1"/>
  <c r="K96" i="1"/>
  <c r="N96" i="1"/>
  <c r="R96" i="1"/>
  <c r="R97" i="1"/>
  <c r="R99" i="1"/>
  <c r="E100" i="1"/>
  <c r="H100" i="1"/>
  <c r="K100" i="1"/>
  <c r="N100" i="1"/>
  <c r="R100" i="1"/>
  <c r="R101" i="1"/>
  <c r="R102" i="1"/>
  <c r="E103" i="1"/>
  <c r="H103" i="1"/>
  <c r="K103" i="1"/>
  <c r="N103" i="1"/>
  <c r="R103" i="1"/>
  <c r="R104" i="1"/>
  <c r="E105" i="1"/>
  <c r="K105" i="1"/>
  <c r="N105" i="1"/>
  <c r="R105" i="1"/>
  <c r="R106" i="1"/>
  <c r="E107" i="1"/>
  <c r="H107" i="1"/>
  <c r="K107" i="1"/>
  <c r="R107" i="1"/>
  <c r="E108" i="1"/>
  <c r="H108" i="1"/>
  <c r="K108" i="1"/>
  <c r="N108" i="1"/>
  <c r="R108" i="1"/>
  <c r="R109" i="1"/>
  <c r="E110" i="1"/>
  <c r="H110" i="1"/>
  <c r="N110" i="1"/>
  <c r="R110" i="1"/>
  <c r="E111" i="1"/>
  <c r="H111" i="1"/>
  <c r="K111" i="1"/>
  <c r="R111" i="1"/>
  <c r="E112" i="1"/>
  <c r="H112" i="1"/>
  <c r="K112" i="1"/>
  <c r="R112" i="1"/>
  <c r="E113" i="1"/>
  <c r="K113" i="1"/>
  <c r="N113" i="1"/>
  <c r="R113" i="1"/>
  <c r="R114" i="1"/>
  <c r="R115" i="1"/>
  <c r="E116" i="1"/>
  <c r="H116" i="1"/>
  <c r="K116" i="1"/>
  <c r="N116" i="1"/>
  <c r="R116" i="1"/>
  <c r="E117" i="1"/>
  <c r="H117" i="1"/>
  <c r="K117" i="1"/>
  <c r="R117" i="1"/>
  <c r="E118" i="1"/>
  <c r="H118" i="1"/>
  <c r="R118" i="1"/>
  <c r="E119" i="1"/>
  <c r="H119" i="1"/>
  <c r="K119" i="1"/>
  <c r="R119" i="1"/>
  <c r="E120" i="1"/>
  <c r="H120" i="1"/>
  <c r="K120" i="1"/>
  <c r="R120" i="1"/>
  <c r="E121" i="1"/>
  <c r="H121" i="1"/>
  <c r="K121" i="1"/>
  <c r="C122" i="1"/>
  <c r="C19" i="1" s="1"/>
  <c r="D122" i="1"/>
  <c r="F122" i="1"/>
  <c r="F19" i="1" s="1"/>
  <c r="G122" i="1"/>
  <c r="G19" i="1" s="1"/>
  <c r="H122" i="1"/>
  <c r="H19" i="1" s="1"/>
  <c r="I122" i="1"/>
  <c r="I19" i="1" s="1"/>
  <c r="J122" i="1"/>
  <c r="L122" i="1"/>
  <c r="L19" i="1" s="1"/>
  <c r="M122" i="1"/>
  <c r="M19" i="1" s="1"/>
  <c r="O122" i="1"/>
  <c r="O19" i="1" s="1"/>
  <c r="Q122" i="1"/>
  <c r="Q19" i="1" s="1"/>
  <c r="R122" i="1"/>
  <c r="P122" i="1" s="1"/>
  <c r="P19" i="1" s="1"/>
  <c r="R123" i="1"/>
  <c r="R124" i="1"/>
  <c r="R125" i="1"/>
  <c r="E126" i="1"/>
  <c r="H126" i="1"/>
  <c r="K126" i="1"/>
  <c r="R126" i="1"/>
  <c r="R127" i="1"/>
  <c r="R128" i="1"/>
  <c r="R129" i="1"/>
  <c r="R130" i="1"/>
  <c r="E131" i="1"/>
  <c r="H131" i="1"/>
  <c r="K131" i="1"/>
  <c r="R131" i="1"/>
  <c r="C132" i="1"/>
  <c r="C20" i="1" s="1"/>
  <c r="D132" i="1"/>
  <c r="D20" i="1" s="1"/>
  <c r="E132" i="1"/>
  <c r="E20" i="1" s="1"/>
  <c r="F132" i="1"/>
  <c r="F20" i="1" s="1"/>
  <c r="G132" i="1"/>
  <c r="I132" i="1"/>
  <c r="I20" i="1" s="1"/>
  <c r="J132" i="1"/>
  <c r="J20" i="1" s="1"/>
  <c r="L132" i="1"/>
  <c r="L20" i="1" s="1"/>
  <c r="M132" i="1"/>
  <c r="M20" i="1" s="1"/>
  <c r="O132" i="1"/>
  <c r="O20" i="1" s="1"/>
  <c r="Q132" i="1"/>
  <c r="Q20" i="1" s="1"/>
  <c r="R132" i="1"/>
  <c r="P132" i="1" s="1"/>
  <c r="P20" i="1" s="1"/>
  <c r="E135" i="1"/>
  <c r="H135" i="1"/>
  <c r="K135" i="1"/>
  <c r="N135" i="1"/>
  <c r="R135" i="1"/>
  <c r="E136" i="1"/>
  <c r="H136" i="1"/>
  <c r="K136" i="1"/>
  <c r="N136" i="1"/>
  <c r="R136" i="1"/>
  <c r="R140" i="1" s="1"/>
  <c r="E137" i="1"/>
  <c r="H137" i="1"/>
  <c r="K137" i="1"/>
  <c r="N137" i="1"/>
  <c r="R137" i="1"/>
  <c r="E138" i="1"/>
  <c r="H138" i="1"/>
  <c r="K138" i="1"/>
  <c r="R138" i="1"/>
  <c r="E139" i="1"/>
  <c r="H139" i="1"/>
  <c r="K139" i="1"/>
  <c r="N139" i="1"/>
  <c r="R139" i="1"/>
  <c r="C140" i="1"/>
  <c r="C10" i="1" s="1"/>
  <c r="D140" i="1"/>
  <c r="F140" i="1"/>
  <c r="F10" i="1" s="1"/>
  <c r="G140" i="1"/>
  <c r="G10" i="1" s="1"/>
  <c r="I140" i="1"/>
  <c r="I10" i="1" s="1"/>
  <c r="J140" i="1"/>
  <c r="L140" i="1"/>
  <c r="L10" i="1" s="1"/>
  <c r="M140" i="1"/>
  <c r="M10" i="1" s="1"/>
  <c r="N140" i="1"/>
  <c r="N10" i="1" s="1"/>
  <c r="O140" i="1"/>
  <c r="O10" i="1" s="1"/>
  <c r="Q140" i="1"/>
  <c r="Q10" i="1" s="1"/>
  <c r="E143" i="1"/>
  <c r="H143" i="1"/>
  <c r="K143" i="1"/>
  <c r="N143" i="1"/>
  <c r="R143" i="1"/>
  <c r="E144" i="1"/>
  <c r="H144" i="1"/>
  <c r="K144" i="1"/>
  <c r="N144" i="1"/>
  <c r="R144" i="1"/>
  <c r="E145" i="1"/>
  <c r="H145" i="1"/>
  <c r="K145" i="1"/>
  <c r="N145" i="1"/>
  <c r="R145" i="1"/>
  <c r="E146" i="1"/>
  <c r="H146" i="1"/>
  <c r="K146" i="1"/>
  <c r="R146" i="1"/>
  <c r="E147" i="1"/>
  <c r="H147" i="1"/>
  <c r="K147" i="1"/>
  <c r="N147" i="1"/>
  <c r="R147" i="1"/>
  <c r="E148" i="1"/>
  <c r="H148" i="1"/>
  <c r="K148" i="1"/>
  <c r="L148" i="1"/>
  <c r="N148" i="1" s="1"/>
  <c r="R148" i="1"/>
  <c r="E149" i="1"/>
  <c r="H149" i="1"/>
  <c r="K149" i="1"/>
  <c r="C151" i="1"/>
  <c r="C11" i="1" s="1"/>
  <c r="D151" i="1"/>
  <c r="D11" i="1" s="1"/>
  <c r="E151" i="1"/>
  <c r="E11" i="1" s="1"/>
  <c r="F151" i="1"/>
  <c r="F11" i="1" s="1"/>
  <c r="G151" i="1"/>
  <c r="I151" i="1"/>
  <c r="I11" i="1" s="1"/>
  <c r="J151" i="1"/>
  <c r="J11" i="1" s="1"/>
  <c r="L151" i="1"/>
  <c r="L11" i="1" s="1"/>
  <c r="M151" i="1"/>
  <c r="O151" i="1"/>
  <c r="O11" i="1" s="1"/>
  <c r="Q151" i="1"/>
  <c r="Q11" i="1" s="1"/>
  <c r="R151" i="1"/>
  <c r="P151" i="1" s="1"/>
  <c r="P11" i="1" s="1"/>
  <c r="D152" i="1"/>
  <c r="F152" i="1"/>
  <c r="I152" i="1"/>
  <c r="M152" i="1"/>
  <c r="Q152" i="1"/>
  <c r="E157" i="1"/>
  <c r="H157" i="1"/>
  <c r="K157" i="1"/>
  <c r="R157" i="1"/>
  <c r="E158" i="1"/>
  <c r="H158" i="1"/>
  <c r="K158" i="1"/>
  <c r="N158" i="1"/>
  <c r="R158" i="1"/>
  <c r="E160" i="1"/>
  <c r="H160" i="1"/>
  <c r="K160" i="1"/>
  <c r="N160" i="1"/>
  <c r="R160" i="1"/>
  <c r="E161" i="1"/>
  <c r="H161" i="1"/>
  <c r="K161" i="1"/>
  <c r="R161" i="1"/>
  <c r="E162" i="1"/>
  <c r="R162" i="1"/>
  <c r="C163" i="1"/>
  <c r="C12" i="1" s="1"/>
  <c r="D163" i="1"/>
  <c r="D12" i="1" s="1"/>
  <c r="E163" i="1"/>
  <c r="E12" i="1" s="1"/>
  <c r="F163" i="1"/>
  <c r="F12" i="1" s="1"/>
  <c r="G163" i="1"/>
  <c r="I163" i="1"/>
  <c r="I12" i="1" s="1"/>
  <c r="J163" i="1"/>
  <c r="J12" i="1" s="1"/>
  <c r="L163" i="1"/>
  <c r="L12" i="1" s="1"/>
  <c r="M163" i="1"/>
  <c r="O163" i="1"/>
  <c r="O12" i="1" s="1"/>
  <c r="Q163" i="1"/>
  <c r="Q12" i="1" s="1"/>
  <c r="R163" i="1"/>
  <c r="P163" i="1" s="1"/>
  <c r="P12" i="1" s="1"/>
  <c r="E167" i="1"/>
  <c r="H167" i="1"/>
  <c r="K167" i="1"/>
  <c r="L167" i="1"/>
  <c r="M167" i="1"/>
  <c r="R167" i="1"/>
  <c r="E168" i="1"/>
  <c r="H168" i="1"/>
  <c r="K168" i="1"/>
  <c r="L168" i="1"/>
  <c r="N168" i="1" s="1"/>
  <c r="R168" i="1"/>
  <c r="R169" i="1"/>
  <c r="E170" i="1"/>
  <c r="H170" i="1"/>
  <c r="K170" i="1"/>
  <c r="N170" i="1"/>
  <c r="R170" i="1"/>
  <c r="E171" i="1"/>
  <c r="H171" i="1"/>
  <c r="K171" i="1"/>
  <c r="N171" i="1"/>
  <c r="R171" i="1"/>
  <c r="E172" i="1"/>
  <c r="H172" i="1"/>
  <c r="K172" i="1"/>
  <c r="L172" i="1"/>
  <c r="M172" i="1"/>
  <c r="R172" i="1"/>
  <c r="E173" i="1"/>
  <c r="H173" i="1"/>
  <c r="K173" i="1"/>
  <c r="N173" i="1"/>
  <c r="R173" i="1"/>
  <c r="E174" i="1"/>
  <c r="H174" i="1"/>
  <c r="K174" i="1"/>
  <c r="N174" i="1"/>
  <c r="R174" i="1"/>
  <c r="R184" i="1" s="1"/>
  <c r="E175" i="1"/>
  <c r="H175" i="1"/>
  <c r="K175" i="1"/>
  <c r="N175" i="1"/>
  <c r="R175" i="1"/>
  <c r="E176" i="1"/>
  <c r="H176" i="1"/>
  <c r="K176" i="1"/>
  <c r="M176" i="1"/>
  <c r="N176" i="1"/>
  <c r="R176" i="1"/>
  <c r="E177" i="1"/>
  <c r="H177" i="1"/>
  <c r="K177" i="1"/>
  <c r="N177" i="1"/>
  <c r="R177" i="1"/>
  <c r="E178" i="1"/>
  <c r="H178" i="1"/>
  <c r="K178" i="1"/>
  <c r="M178" i="1"/>
  <c r="N178" i="1" s="1"/>
  <c r="R178" i="1"/>
  <c r="E179" i="1"/>
  <c r="H179" i="1"/>
  <c r="K179" i="1"/>
  <c r="M179" i="1"/>
  <c r="N179" i="1" s="1"/>
  <c r="R179" i="1"/>
  <c r="E180" i="1"/>
  <c r="H180" i="1"/>
  <c r="K180" i="1"/>
  <c r="N180" i="1"/>
  <c r="R180" i="1"/>
  <c r="E181" i="1"/>
  <c r="H181" i="1"/>
  <c r="K181" i="1"/>
  <c r="N181" i="1"/>
  <c r="R181" i="1"/>
  <c r="E182" i="1"/>
  <c r="H182" i="1"/>
  <c r="K182" i="1"/>
  <c r="N182" i="1"/>
  <c r="R182" i="1"/>
  <c r="E183" i="1"/>
  <c r="H183" i="1"/>
  <c r="K183" i="1"/>
  <c r="L183" i="1"/>
  <c r="N183" i="1"/>
  <c r="C184" i="1"/>
  <c r="D184" i="1"/>
  <c r="E184" i="1" s="1"/>
  <c r="F184" i="1"/>
  <c r="G184" i="1"/>
  <c r="H184" i="1" s="1"/>
  <c r="I184" i="1"/>
  <c r="J184" i="1"/>
  <c r="L184" i="1"/>
  <c r="O184" i="1"/>
  <c r="Q184" i="1"/>
  <c r="E187" i="1"/>
  <c r="H187" i="1"/>
  <c r="K187" i="1"/>
  <c r="N187" i="1"/>
  <c r="R187" i="1"/>
  <c r="E188" i="1"/>
  <c r="H188" i="1"/>
  <c r="K188" i="1"/>
  <c r="N188" i="1"/>
  <c r="R188" i="1"/>
  <c r="E189" i="1"/>
  <c r="H189" i="1"/>
  <c r="K189" i="1"/>
  <c r="N189" i="1"/>
  <c r="R189" i="1"/>
  <c r="E190" i="1"/>
  <c r="H190" i="1"/>
  <c r="K190" i="1"/>
  <c r="M190" i="1"/>
  <c r="N190" i="1" s="1"/>
  <c r="R190" i="1"/>
  <c r="E191" i="1"/>
  <c r="H191" i="1"/>
  <c r="K191" i="1"/>
  <c r="N191" i="1"/>
  <c r="R191" i="1"/>
  <c r="E192" i="1"/>
  <c r="H192" i="1"/>
  <c r="K192" i="1"/>
  <c r="N192" i="1"/>
  <c r="R192" i="1"/>
  <c r="E193" i="1"/>
  <c r="H193" i="1"/>
  <c r="K193" i="1"/>
  <c r="R193" i="1"/>
  <c r="E194" i="1"/>
  <c r="H194" i="1"/>
  <c r="K194" i="1"/>
  <c r="N194" i="1"/>
  <c r="R194" i="1"/>
  <c r="E195" i="1"/>
  <c r="H195" i="1"/>
  <c r="K195" i="1"/>
  <c r="N195" i="1"/>
  <c r="R195" i="1"/>
  <c r="E196" i="1"/>
  <c r="H196" i="1"/>
  <c r="K196" i="1"/>
  <c r="L196" i="1"/>
  <c r="M196" i="1"/>
  <c r="R196" i="1"/>
  <c r="E197" i="1"/>
  <c r="H197" i="1"/>
  <c r="K197" i="1"/>
  <c r="N197" i="1"/>
  <c r="R197" i="1"/>
  <c r="E198" i="1"/>
  <c r="H198" i="1"/>
  <c r="K198" i="1"/>
  <c r="N198" i="1"/>
  <c r="R198" i="1"/>
  <c r="E199" i="1"/>
  <c r="H199" i="1"/>
  <c r="K199" i="1"/>
  <c r="N199" i="1"/>
  <c r="R199" i="1"/>
  <c r="E200" i="1"/>
  <c r="H200" i="1"/>
  <c r="K200" i="1"/>
  <c r="N200" i="1"/>
  <c r="R200" i="1"/>
  <c r="E201" i="1"/>
  <c r="H201" i="1"/>
  <c r="K201" i="1"/>
  <c r="R201" i="1"/>
  <c r="C202" i="1"/>
  <c r="D202" i="1"/>
  <c r="E202" i="1" s="1"/>
  <c r="F202" i="1"/>
  <c r="G202" i="1"/>
  <c r="H202" i="1" s="1"/>
  <c r="I202" i="1"/>
  <c r="I203" i="1" s="1"/>
  <c r="I18" i="1" s="1"/>
  <c r="J202" i="1"/>
  <c r="L202" i="1"/>
  <c r="L203" i="1" s="1"/>
  <c r="O202" i="1"/>
  <c r="Q202" i="1"/>
  <c r="Q203" i="1" s="1"/>
  <c r="Q18" i="1" s="1"/>
  <c r="C203" i="1"/>
  <c r="C18" i="1" s="1"/>
  <c r="F203" i="1"/>
  <c r="F18" i="1" s="1"/>
  <c r="J203" i="1"/>
  <c r="O203" i="1"/>
  <c r="O18" i="1" s="1"/>
  <c r="E207" i="1"/>
  <c r="H207" i="1"/>
  <c r="K207" i="1"/>
  <c r="M207" i="1"/>
  <c r="N207" i="1" s="1"/>
  <c r="R207" i="1"/>
  <c r="R208" i="1"/>
  <c r="E209" i="1"/>
  <c r="H209" i="1"/>
  <c r="K209" i="1"/>
  <c r="N209" i="1"/>
  <c r="R209" i="1"/>
  <c r="E210" i="1"/>
  <c r="H210" i="1"/>
  <c r="K210" i="1"/>
  <c r="N210" i="1"/>
  <c r="R210" i="1"/>
  <c r="E211" i="1"/>
  <c r="H211" i="1"/>
  <c r="K211" i="1"/>
  <c r="N211" i="1"/>
  <c r="R211" i="1"/>
  <c r="E212" i="1"/>
  <c r="H212" i="1"/>
  <c r="K212" i="1"/>
  <c r="N212" i="1"/>
  <c r="R212" i="1"/>
  <c r="R213" i="1"/>
  <c r="C214" i="1"/>
  <c r="C222" i="1" s="1"/>
  <c r="D214" i="1"/>
  <c r="F214" i="1"/>
  <c r="G214" i="1"/>
  <c r="H214" i="1"/>
  <c r="I214" i="1"/>
  <c r="J214" i="1"/>
  <c r="K214" i="1" s="1"/>
  <c r="L214" i="1"/>
  <c r="M214" i="1"/>
  <c r="N214" i="1" s="1"/>
  <c r="O214" i="1"/>
  <c r="O222" i="1" s="1"/>
  <c r="O13" i="1" s="1"/>
  <c r="Q214" i="1"/>
  <c r="R214" i="1"/>
  <c r="P214" i="1" s="1"/>
  <c r="E217" i="1"/>
  <c r="H217" i="1"/>
  <c r="K217" i="1"/>
  <c r="N217" i="1"/>
  <c r="E218" i="1"/>
  <c r="H218" i="1"/>
  <c r="K218" i="1"/>
  <c r="R218" i="1"/>
  <c r="R219" i="1"/>
  <c r="E220" i="1"/>
  <c r="K220" i="1"/>
  <c r="R220" i="1"/>
  <c r="C221" i="1"/>
  <c r="D221" i="1"/>
  <c r="E221" i="1" s="1"/>
  <c r="F221" i="1"/>
  <c r="G221" i="1"/>
  <c r="G222" i="1" s="1"/>
  <c r="I221" i="1"/>
  <c r="J221" i="1"/>
  <c r="K221" i="1" s="1"/>
  <c r="L221" i="1"/>
  <c r="L222" i="1" s="1"/>
  <c r="L13" i="1" s="1"/>
  <c r="M221" i="1"/>
  <c r="O221" i="1"/>
  <c r="Q221" i="1"/>
  <c r="R221" i="1"/>
  <c r="P221" i="1" s="1"/>
  <c r="D222" i="1"/>
  <c r="D13" i="1" s="1"/>
  <c r="F222" i="1"/>
  <c r="F13" i="1" s="1"/>
  <c r="I222" i="1"/>
  <c r="I13" i="1" s="1"/>
  <c r="M222" i="1"/>
  <c r="Q222" i="1"/>
  <c r="Q13" i="1" s="1"/>
  <c r="E226" i="1"/>
  <c r="H226" i="1"/>
  <c r="K226" i="1"/>
  <c r="R226" i="1"/>
  <c r="E227" i="1"/>
  <c r="H227" i="1"/>
  <c r="K227" i="1"/>
  <c r="N227" i="1"/>
  <c r="R227" i="1"/>
  <c r="E228" i="1"/>
  <c r="H228" i="1"/>
  <c r="R228" i="1"/>
  <c r="E229" i="1"/>
  <c r="K229" i="1"/>
  <c r="R229" i="1"/>
  <c r="E230" i="1"/>
  <c r="H230" i="1"/>
  <c r="K230" i="1"/>
  <c r="R230" i="1"/>
  <c r="E231" i="1"/>
  <c r="H231" i="1"/>
  <c r="R231" i="1"/>
  <c r="E232" i="1"/>
  <c r="H232" i="1"/>
  <c r="K232" i="1"/>
  <c r="R232" i="1"/>
  <c r="E233" i="1"/>
  <c r="H233" i="1"/>
  <c r="K233" i="1"/>
  <c r="R233" i="1"/>
  <c r="E234" i="1"/>
  <c r="H234" i="1"/>
  <c r="K234" i="1"/>
  <c r="R234" i="1"/>
  <c r="C235" i="1"/>
  <c r="C21" i="1" s="1"/>
  <c r="D235" i="1"/>
  <c r="D21" i="1" s="1"/>
  <c r="E235" i="1"/>
  <c r="E21" i="1" s="1"/>
  <c r="F235" i="1"/>
  <c r="F21" i="1" s="1"/>
  <c r="G235" i="1"/>
  <c r="H235" i="1" s="1"/>
  <c r="H21" i="1" s="1"/>
  <c r="I235" i="1"/>
  <c r="I21" i="1" s="1"/>
  <c r="J235" i="1"/>
  <c r="K235" i="1" s="1"/>
  <c r="K21" i="1" s="1"/>
  <c r="L235" i="1"/>
  <c r="L21" i="1" s="1"/>
  <c r="M235" i="1"/>
  <c r="O235" i="1"/>
  <c r="O21" i="1" s="1"/>
  <c r="Q235" i="1"/>
  <c r="Q21" i="1" s="1"/>
  <c r="R235" i="1"/>
  <c r="P235" i="1" s="1"/>
  <c r="P21" i="1" s="1"/>
  <c r="R238" i="1"/>
  <c r="E239" i="1"/>
  <c r="K239" i="1"/>
  <c r="R239" i="1"/>
  <c r="R240" i="1" s="1"/>
  <c r="P240" i="1" s="1"/>
  <c r="P22" i="1" s="1"/>
  <c r="C240" i="1"/>
  <c r="C22" i="1" s="1"/>
  <c r="D240" i="1"/>
  <c r="E240" i="1" s="1"/>
  <c r="E22" i="1" s="1"/>
  <c r="F240" i="1"/>
  <c r="F22" i="1" s="1"/>
  <c r="G240" i="1"/>
  <c r="I240" i="1"/>
  <c r="I22" i="1" s="1"/>
  <c r="J240" i="1"/>
  <c r="J22" i="1" s="1"/>
  <c r="K240" i="1"/>
  <c r="K22" i="1" s="1"/>
  <c r="L240" i="1"/>
  <c r="L22" i="1" s="1"/>
  <c r="M240" i="1"/>
  <c r="N240" i="1" s="1"/>
  <c r="N22" i="1" s="1"/>
  <c r="O240" i="1"/>
  <c r="O22" i="1" s="1"/>
  <c r="R22" i="1" s="1"/>
  <c r="Q240" i="1"/>
  <c r="Q22" i="1" s="1"/>
  <c r="E243" i="1"/>
  <c r="H243" i="1"/>
  <c r="K243" i="1"/>
  <c r="L243" i="1"/>
  <c r="N243" i="1"/>
  <c r="R243" i="1"/>
  <c r="E244" i="1"/>
  <c r="H244" i="1"/>
  <c r="K244" i="1"/>
  <c r="N244" i="1"/>
  <c r="R244" i="1"/>
  <c r="R245" i="1"/>
  <c r="C246" i="1"/>
  <c r="D246" i="1"/>
  <c r="E246" i="1"/>
  <c r="F246" i="1"/>
  <c r="G246" i="1"/>
  <c r="H246" i="1" s="1"/>
  <c r="I246" i="1"/>
  <c r="J246" i="1"/>
  <c r="K246" i="1" s="1"/>
  <c r="L246" i="1"/>
  <c r="M246" i="1"/>
  <c r="O246" i="1"/>
  <c r="Q246" i="1"/>
  <c r="R246" i="1"/>
  <c r="P246" i="1" s="1"/>
  <c r="J10" i="2"/>
  <c r="F11" i="2"/>
  <c r="F12" i="2"/>
  <c r="Q12" i="2"/>
  <c r="D14" i="2"/>
  <c r="L14" i="2"/>
  <c r="L16" i="2"/>
  <c r="L20" i="2"/>
  <c r="N20" i="2"/>
  <c r="O20" i="2"/>
  <c r="G21" i="2"/>
  <c r="M21" i="2"/>
  <c r="Q21" i="2"/>
  <c r="C22" i="2"/>
  <c r="I22" i="2"/>
  <c r="Q22" i="2"/>
  <c r="E36" i="2"/>
  <c r="H36" i="2"/>
  <c r="K36" i="2"/>
  <c r="R36" i="2"/>
  <c r="E37" i="2"/>
  <c r="H37" i="2"/>
  <c r="K37" i="2"/>
  <c r="R37" i="2"/>
  <c r="E38" i="2"/>
  <c r="H38" i="2"/>
  <c r="K38" i="2"/>
  <c r="R38" i="2"/>
  <c r="E39" i="2"/>
  <c r="H39" i="2"/>
  <c r="K39" i="2"/>
  <c r="R39" i="2"/>
  <c r="E40" i="2"/>
  <c r="H40" i="2"/>
  <c r="K40" i="2"/>
  <c r="N40" i="2"/>
  <c r="R40" i="2"/>
  <c r="E41" i="2"/>
  <c r="H41" i="2"/>
  <c r="K41" i="2"/>
  <c r="R41" i="2"/>
  <c r="R42" i="2"/>
  <c r="E43" i="2"/>
  <c r="H43" i="2"/>
  <c r="K43" i="2"/>
  <c r="R43" i="2"/>
  <c r="E44" i="2"/>
  <c r="H44" i="2"/>
  <c r="K44" i="2"/>
  <c r="R44" i="2"/>
  <c r="E45" i="2"/>
  <c r="H45" i="2"/>
  <c r="K45" i="2"/>
  <c r="N45" i="2"/>
  <c r="R45" i="2"/>
  <c r="R54" i="2" s="1"/>
  <c r="R46" i="2"/>
  <c r="E47" i="2"/>
  <c r="H47" i="2"/>
  <c r="K47" i="2"/>
  <c r="N47" i="2"/>
  <c r="R47" i="2"/>
  <c r="E48" i="2"/>
  <c r="H48" i="2"/>
  <c r="K48" i="2"/>
  <c r="R48" i="2"/>
  <c r="E49" i="2"/>
  <c r="H49" i="2"/>
  <c r="K49" i="2"/>
  <c r="R49" i="2"/>
  <c r="R50" i="2"/>
  <c r="R51" i="2"/>
  <c r="E52" i="2"/>
  <c r="R52" i="2"/>
  <c r="E53" i="2"/>
  <c r="M53" i="2"/>
  <c r="R53" i="2"/>
  <c r="C54" i="2"/>
  <c r="C14" i="2" s="1"/>
  <c r="D54" i="2"/>
  <c r="E54" i="2"/>
  <c r="E14" i="2" s="1"/>
  <c r="F54" i="2"/>
  <c r="F14" i="2" s="1"/>
  <c r="G54" i="2"/>
  <c r="I54" i="2"/>
  <c r="I14" i="2" s="1"/>
  <c r="J54" i="2"/>
  <c r="L54" i="2"/>
  <c r="M54" i="2"/>
  <c r="O54" i="2"/>
  <c r="O14" i="2" s="1"/>
  <c r="Q54" i="2"/>
  <c r="Q14" i="2" s="1"/>
  <c r="E57" i="2"/>
  <c r="H57" i="2"/>
  <c r="K57" i="2"/>
  <c r="N57" i="2"/>
  <c r="R57" i="2"/>
  <c r="E58" i="2"/>
  <c r="H58" i="2"/>
  <c r="K58" i="2"/>
  <c r="R58" i="2"/>
  <c r="E59" i="2"/>
  <c r="H59" i="2"/>
  <c r="K59" i="2"/>
  <c r="R59" i="2"/>
  <c r="E60" i="2"/>
  <c r="H60" i="2"/>
  <c r="K60" i="2"/>
  <c r="R60" i="2"/>
  <c r="R61" i="2"/>
  <c r="E62" i="2"/>
  <c r="H62" i="2"/>
  <c r="K62" i="2"/>
  <c r="N62" i="2"/>
  <c r="R62" i="2"/>
  <c r="E63" i="2"/>
  <c r="H63" i="2"/>
  <c r="K63" i="2"/>
  <c r="N63" i="2"/>
  <c r="R63" i="2"/>
  <c r="R64" i="2"/>
  <c r="R65" i="2"/>
  <c r="C66" i="2"/>
  <c r="C15" i="2" s="1"/>
  <c r="D66" i="2"/>
  <c r="F66" i="2"/>
  <c r="F15" i="2" s="1"/>
  <c r="G66" i="2"/>
  <c r="I66" i="2"/>
  <c r="J66" i="2"/>
  <c r="L66" i="2"/>
  <c r="L15" i="2" s="1"/>
  <c r="M66" i="2"/>
  <c r="M15" i="2" s="1"/>
  <c r="N66" i="2"/>
  <c r="N15" i="2" s="1"/>
  <c r="O66" i="2"/>
  <c r="O15" i="2" s="1"/>
  <c r="Q66" i="2"/>
  <c r="E69" i="2"/>
  <c r="H69" i="2"/>
  <c r="K69" i="2"/>
  <c r="R69" i="2"/>
  <c r="E70" i="2"/>
  <c r="H70" i="2"/>
  <c r="K70" i="2"/>
  <c r="N70" i="2"/>
  <c r="R70" i="2"/>
  <c r="K71" i="2"/>
  <c r="R71" i="2"/>
  <c r="E72" i="2"/>
  <c r="H72" i="2"/>
  <c r="K72" i="2"/>
  <c r="R72" i="2"/>
  <c r="E73" i="2"/>
  <c r="H73" i="2"/>
  <c r="K73" i="2"/>
  <c r="R73" i="2"/>
  <c r="E74" i="2"/>
  <c r="K74" i="2"/>
  <c r="N74" i="2"/>
  <c r="R74" i="2"/>
  <c r="E75" i="2"/>
  <c r="H75" i="2"/>
  <c r="K75" i="2"/>
  <c r="N75" i="2"/>
  <c r="R75" i="2"/>
  <c r="E76" i="2"/>
  <c r="K76" i="2"/>
  <c r="R76" i="2"/>
  <c r="C77" i="2"/>
  <c r="C16" i="2" s="1"/>
  <c r="D77" i="2"/>
  <c r="F77" i="2"/>
  <c r="G77" i="2"/>
  <c r="I77" i="2"/>
  <c r="I16" i="2" s="1"/>
  <c r="J77" i="2"/>
  <c r="J16" i="2" s="1"/>
  <c r="K77" i="2"/>
  <c r="K16" i="2" s="1"/>
  <c r="L77" i="2"/>
  <c r="M77" i="2"/>
  <c r="O77" i="2"/>
  <c r="O16" i="2" s="1"/>
  <c r="Q77" i="2"/>
  <c r="Q16" i="2" s="1"/>
  <c r="C78" i="2"/>
  <c r="G78" i="2"/>
  <c r="J78" i="2"/>
  <c r="L78" i="2"/>
  <c r="O78" i="2"/>
  <c r="E81" i="2"/>
  <c r="H81" i="2"/>
  <c r="R81" i="2"/>
  <c r="E82" i="2"/>
  <c r="H82" i="2"/>
  <c r="K82" i="2"/>
  <c r="N82" i="2"/>
  <c r="R82" i="2"/>
  <c r="E83" i="2"/>
  <c r="H83" i="2"/>
  <c r="K83" i="2"/>
  <c r="N83" i="2"/>
  <c r="R83" i="2"/>
  <c r="E84" i="2"/>
  <c r="H84" i="2"/>
  <c r="K84" i="2"/>
  <c r="N84" i="2"/>
  <c r="R84" i="2"/>
  <c r="E85" i="2"/>
  <c r="H85" i="2"/>
  <c r="K85" i="2"/>
  <c r="N85" i="2"/>
  <c r="R85" i="2"/>
  <c r="R86" i="2"/>
  <c r="E87" i="2"/>
  <c r="H87" i="2"/>
  <c r="K87" i="2"/>
  <c r="N87" i="2"/>
  <c r="R87" i="2"/>
  <c r="E88" i="2"/>
  <c r="H88" i="2"/>
  <c r="K88" i="2"/>
  <c r="L88" i="2"/>
  <c r="M88" i="2"/>
  <c r="N88" i="2" s="1"/>
  <c r="R88" i="2"/>
  <c r="E89" i="2"/>
  <c r="H89" i="2"/>
  <c r="K89" i="2"/>
  <c r="L89" i="2"/>
  <c r="R89" i="2"/>
  <c r="E90" i="2"/>
  <c r="H90" i="2"/>
  <c r="K90" i="2"/>
  <c r="L90" i="2"/>
  <c r="M90" i="2"/>
  <c r="R90" i="2"/>
  <c r="C92" i="2"/>
  <c r="C17" i="2" s="1"/>
  <c r="D92" i="2"/>
  <c r="F92" i="2"/>
  <c r="F17" i="2" s="1"/>
  <c r="G92" i="2"/>
  <c r="I92" i="2"/>
  <c r="I17" i="2" s="1"/>
  <c r="J92" i="2"/>
  <c r="J17" i="2" s="1"/>
  <c r="O92" i="2"/>
  <c r="O17" i="2" s="1"/>
  <c r="Q92" i="2"/>
  <c r="Q17" i="2" s="1"/>
  <c r="K95" i="2"/>
  <c r="N95" i="2"/>
  <c r="R95" i="2"/>
  <c r="R96" i="2"/>
  <c r="R98" i="2"/>
  <c r="E99" i="2"/>
  <c r="H99" i="2"/>
  <c r="K99" i="2"/>
  <c r="N99" i="2"/>
  <c r="R99" i="2"/>
  <c r="R100" i="2"/>
  <c r="R101" i="2"/>
  <c r="E102" i="2"/>
  <c r="H102" i="2"/>
  <c r="K102" i="2"/>
  <c r="N102" i="2"/>
  <c r="R102" i="2"/>
  <c r="R103" i="2"/>
  <c r="E104" i="2"/>
  <c r="K104" i="2"/>
  <c r="N104" i="2"/>
  <c r="R104" i="2"/>
  <c r="R105" i="2"/>
  <c r="E106" i="2"/>
  <c r="R106" i="2"/>
  <c r="K107" i="2"/>
  <c r="R107" i="2"/>
  <c r="R108" i="2"/>
  <c r="E109" i="2"/>
  <c r="H109" i="2"/>
  <c r="N109" i="2"/>
  <c r="R109" i="2"/>
  <c r="E110" i="2"/>
  <c r="H110" i="2"/>
  <c r="K110" i="2"/>
  <c r="R110" i="2"/>
  <c r="E111" i="2"/>
  <c r="H111" i="2"/>
  <c r="K111" i="2"/>
  <c r="R111" i="2"/>
  <c r="R112" i="2"/>
  <c r="R113" i="2"/>
  <c r="R114" i="2"/>
  <c r="E115" i="2"/>
  <c r="H115" i="2"/>
  <c r="K115" i="2"/>
  <c r="N115" i="2"/>
  <c r="R115" i="2"/>
  <c r="E116" i="2"/>
  <c r="H116" i="2"/>
  <c r="K116" i="2"/>
  <c r="R116" i="2"/>
  <c r="E117" i="2"/>
  <c r="H117" i="2"/>
  <c r="R117" i="2"/>
  <c r="E118" i="2"/>
  <c r="H118" i="2"/>
  <c r="K118" i="2"/>
  <c r="R118" i="2"/>
  <c r="E119" i="2"/>
  <c r="H119" i="2"/>
  <c r="K119" i="2"/>
  <c r="R119" i="2"/>
  <c r="K120" i="2"/>
  <c r="R120" i="2"/>
  <c r="E121" i="2"/>
  <c r="H121" i="2"/>
  <c r="K121" i="2"/>
  <c r="R121" i="2"/>
  <c r="C122" i="2"/>
  <c r="C19" i="2" s="1"/>
  <c r="D122" i="2"/>
  <c r="F122" i="2"/>
  <c r="F19" i="2" s="1"/>
  <c r="G122" i="2"/>
  <c r="I122" i="2"/>
  <c r="I19" i="2" s="1"/>
  <c r="J122" i="2"/>
  <c r="L122" i="2"/>
  <c r="L19" i="2" s="1"/>
  <c r="M122" i="2"/>
  <c r="M19" i="2" s="1"/>
  <c r="O122" i="2"/>
  <c r="O19" i="2" s="1"/>
  <c r="Q122" i="2"/>
  <c r="Q19" i="2" s="1"/>
  <c r="R123" i="2"/>
  <c r="R124" i="2"/>
  <c r="E125" i="2"/>
  <c r="H125" i="2"/>
  <c r="K125" i="2"/>
  <c r="R125" i="2"/>
  <c r="R126" i="2"/>
  <c r="R127" i="2"/>
  <c r="K128" i="2"/>
  <c r="R128" i="2"/>
  <c r="R129" i="2"/>
  <c r="E130" i="2"/>
  <c r="H130" i="2"/>
  <c r="K130" i="2"/>
  <c r="R130" i="2"/>
  <c r="C131" i="2"/>
  <c r="C20" i="2" s="1"/>
  <c r="D131" i="2"/>
  <c r="F131" i="2"/>
  <c r="F20" i="2" s="1"/>
  <c r="G131" i="2"/>
  <c r="I131" i="2"/>
  <c r="I20" i="2" s="1"/>
  <c r="J131" i="2"/>
  <c r="J20" i="2" s="1"/>
  <c r="L131" i="2"/>
  <c r="M131" i="2"/>
  <c r="M20" i="2" s="1"/>
  <c r="O131" i="2"/>
  <c r="Q131" i="2"/>
  <c r="Q20" i="2" s="1"/>
  <c r="E134" i="2"/>
  <c r="H134" i="2"/>
  <c r="K134" i="2"/>
  <c r="N134" i="2"/>
  <c r="R134" i="2"/>
  <c r="E135" i="2"/>
  <c r="H135" i="2"/>
  <c r="K135" i="2"/>
  <c r="R135" i="2"/>
  <c r="E136" i="2"/>
  <c r="H136" i="2"/>
  <c r="K136" i="2"/>
  <c r="N136" i="2"/>
  <c r="R136" i="2"/>
  <c r="E137" i="2"/>
  <c r="H137" i="2"/>
  <c r="K137" i="2"/>
  <c r="N137" i="2"/>
  <c r="R137" i="2"/>
  <c r="R138" i="2"/>
  <c r="C139" i="2"/>
  <c r="C10" i="2" s="1"/>
  <c r="D139" i="2"/>
  <c r="F139" i="2"/>
  <c r="F10" i="2" s="1"/>
  <c r="G139" i="2"/>
  <c r="I139" i="2"/>
  <c r="I10" i="2" s="1"/>
  <c r="J139" i="2"/>
  <c r="L139" i="2"/>
  <c r="L10" i="2" s="1"/>
  <c r="M139" i="2"/>
  <c r="M10" i="2" s="1"/>
  <c r="O139" i="2"/>
  <c r="O10" i="2" s="1"/>
  <c r="Q139" i="2"/>
  <c r="Q10" i="2" s="1"/>
  <c r="E142" i="2"/>
  <c r="H142" i="2"/>
  <c r="K142" i="2"/>
  <c r="N142" i="2"/>
  <c r="R142" i="2"/>
  <c r="E143" i="2"/>
  <c r="H143" i="2"/>
  <c r="K143" i="2"/>
  <c r="N143" i="2"/>
  <c r="R143" i="2"/>
  <c r="E144" i="2"/>
  <c r="H144" i="2"/>
  <c r="K144" i="2"/>
  <c r="N144" i="2"/>
  <c r="R144" i="2"/>
  <c r="E145" i="2"/>
  <c r="H145" i="2"/>
  <c r="K145" i="2"/>
  <c r="R145" i="2"/>
  <c r="E146" i="2"/>
  <c r="H146" i="2"/>
  <c r="K146" i="2"/>
  <c r="N146" i="2"/>
  <c r="R146" i="2"/>
  <c r="E147" i="2"/>
  <c r="H147" i="2"/>
  <c r="K147" i="2"/>
  <c r="L147" i="2"/>
  <c r="N147" i="2"/>
  <c r="R147" i="2"/>
  <c r="E148" i="2"/>
  <c r="H148" i="2"/>
  <c r="K148" i="2"/>
  <c r="R148" i="2"/>
  <c r="C150" i="2"/>
  <c r="D150" i="2"/>
  <c r="D11" i="2" s="1"/>
  <c r="E150" i="2"/>
  <c r="E11" i="2" s="1"/>
  <c r="F150" i="2"/>
  <c r="G150" i="2"/>
  <c r="I150" i="2"/>
  <c r="I11" i="2" s="1"/>
  <c r="J150" i="2"/>
  <c r="L150" i="2"/>
  <c r="L11" i="2" s="1"/>
  <c r="M150" i="2"/>
  <c r="O150" i="2"/>
  <c r="O11" i="2" s="1"/>
  <c r="Q150" i="2"/>
  <c r="D151" i="2"/>
  <c r="F151" i="2"/>
  <c r="I151" i="2"/>
  <c r="L151" i="2"/>
  <c r="O151" i="2"/>
  <c r="E154" i="2"/>
  <c r="H154" i="2"/>
  <c r="K154" i="2"/>
  <c r="R154" i="2"/>
  <c r="E155" i="2"/>
  <c r="H155" i="2"/>
  <c r="K155" i="2"/>
  <c r="N155" i="2"/>
  <c r="R155" i="2"/>
  <c r="E157" i="2"/>
  <c r="H157" i="2"/>
  <c r="K157" i="2"/>
  <c r="N157" i="2"/>
  <c r="R157" i="2"/>
  <c r="E158" i="2"/>
  <c r="H158" i="2"/>
  <c r="K158" i="2"/>
  <c r="R158" i="2"/>
  <c r="R159" i="2"/>
  <c r="C160" i="2"/>
  <c r="C12" i="2" s="1"/>
  <c r="D160" i="2"/>
  <c r="F160" i="2"/>
  <c r="G160" i="2"/>
  <c r="I160" i="2"/>
  <c r="I12" i="2" s="1"/>
  <c r="J160" i="2"/>
  <c r="J12" i="2" s="1"/>
  <c r="L160" i="2"/>
  <c r="L12" i="2" s="1"/>
  <c r="M160" i="2"/>
  <c r="O160" i="2"/>
  <c r="O12" i="2" s="1"/>
  <c r="Q160" i="2"/>
  <c r="E164" i="2"/>
  <c r="H164" i="2"/>
  <c r="K164" i="2"/>
  <c r="L164" i="2"/>
  <c r="M164" i="2"/>
  <c r="N164" i="2" s="1"/>
  <c r="R164" i="2"/>
  <c r="E165" i="2"/>
  <c r="H165" i="2"/>
  <c r="K165" i="2"/>
  <c r="L165" i="2"/>
  <c r="M165" i="2"/>
  <c r="R165" i="2"/>
  <c r="K166" i="2"/>
  <c r="R166" i="2"/>
  <c r="E167" i="2"/>
  <c r="H167" i="2"/>
  <c r="K167" i="2"/>
  <c r="N167" i="2"/>
  <c r="R167" i="2"/>
  <c r="E168" i="2"/>
  <c r="H168" i="2"/>
  <c r="K168" i="2"/>
  <c r="N168" i="2"/>
  <c r="R168" i="2"/>
  <c r="E169" i="2"/>
  <c r="H169" i="2"/>
  <c r="K169" i="2"/>
  <c r="L169" i="2"/>
  <c r="M169" i="2"/>
  <c r="N169" i="2" s="1"/>
  <c r="R169" i="2"/>
  <c r="R170" i="2"/>
  <c r="E171" i="2"/>
  <c r="H171" i="2"/>
  <c r="K171" i="2"/>
  <c r="N171" i="2"/>
  <c r="R171" i="2"/>
  <c r="E172" i="2"/>
  <c r="H172" i="2"/>
  <c r="K172" i="2"/>
  <c r="R172" i="2"/>
  <c r="E173" i="2"/>
  <c r="H173" i="2"/>
  <c r="K173" i="2"/>
  <c r="M173" i="2"/>
  <c r="N173" i="2" s="1"/>
  <c r="R173" i="2"/>
  <c r="E174" i="2"/>
  <c r="H174" i="2"/>
  <c r="K174" i="2"/>
  <c r="M174" i="2"/>
  <c r="N174" i="2" s="1"/>
  <c r="R174" i="2"/>
  <c r="E175" i="2"/>
  <c r="H175" i="2"/>
  <c r="K175" i="2"/>
  <c r="R175" i="2"/>
  <c r="E176" i="2"/>
  <c r="H176" i="2"/>
  <c r="K176" i="2"/>
  <c r="N176" i="2"/>
  <c r="R176" i="2"/>
  <c r="R177" i="2"/>
  <c r="E178" i="2"/>
  <c r="H178" i="2"/>
  <c r="K178" i="2"/>
  <c r="N178" i="2"/>
  <c r="R178" i="2"/>
  <c r="E179" i="2"/>
  <c r="H179" i="2"/>
  <c r="K179" i="2"/>
  <c r="M179" i="2"/>
  <c r="N179" i="2" s="1"/>
  <c r="R179" i="2"/>
  <c r="E180" i="2"/>
  <c r="H180" i="2"/>
  <c r="K180" i="2"/>
  <c r="R180" i="2"/>
  <c r="E181" i="2"/>
  <c r="H181" i="2"/>
  <c r="K181" i="2"/>
  <c r="L181" i="2"/>
  <c r="N181" i="2" s="1"/>
  <c r="R181" i="2"/>
  <c r="C182" i="2"/>
  <c r="D182" i="2"/>
  <c r="F182" i="2"/>
  <c r="G182" i="2"/>
  <c r="I182" i="2"/>
  <c r="J182" i="2"/>
  <c r="L182" i="2"/>
  <c r="O182" i="2"/>
  <c r="P182" i="2"/>
  <c r="Q182" i="2"/>
  <c r="R182" i="2"/>
  <c r="E185" i="2"/>
  <c r="H185" i="2"/>
  <c r="K185" i="2"/>
  <c r="L185" i="2"/>
  <c r="L188" i="2" s="1"/>
  <c r="N188" i="2" s="1"/>
  <c r="M185" i="2"/>
  <c r="N185" i="2"/>
  <c r="R185" i="2"/>
  <c r="K186" i="2"/>
  <c r="R186" i="2"/>
  <c r="R187" i="2"/>
  <c r="R188" i="2" s="1"/>
  <c r="C188" i="2"/>
  <c r="D188" i="2"/>
  <c r="E188" i="2" s="1"/>
  <c r="F188" i="2"/>
  <c r="G188" i="2"/>
  <c r="H188" i="2" s="1"/>
  <c r="I188" i="2"/>
  <c r="J188" i="2"/>
  <c r="J207" i="2" s="1"/>
  <c r="J18" i="2" s="1"/>
  <c r="M188" i="2"/>
  <c r="O188" i="2"/>
  <c r="Q188" i="2"/>
  <c r="E191" i="2"/>
  <c r="H191" i="2"/>
  <c r="K191" i="2"/>
  <c r="N191" i="2"/>
  <c r="R191" i="2"/>
  <c r="E192" i="2"/>
  <c r="H192" i="2"/>
  <c r="K192" i="2"/>
  <c r="L192" i="2"/>
  <c r="M192" i="2"/>
  <c r="R192" i="2"/>
  <c r="E193" i="2"/>
  <c r="H193" i="2"/>
  <c r="K193" i="2"/>
  <c r="L193" i="2"/>
  <c r="N193" i="2" s="1"/>
  <c r="R193" i="2"/>
  <c r="E194" i="2"/>
  <c r="H194" i="2"/>
  <c r="K194" i="2"/>
  <c r="M194" i="2"/>
  <c r="N194" i="2" s="1"/>
  <c r="R194" i="2"/>
  <c r="E195" i="2"/>
  <c r="H195" i="2"/>
  <c r="K195" i="2"/>
  <c r="N195" i="2"/>
  <c r="R195" i="2"/>
  <c r="E196" i="2"/>
  <c r="H196" i="2"/>
  <c r="K196" i="2"/>
  <c r="R196" i="2"/>
  <c r="E197" i="2"/>
  <c r="H197" i="2"/>
  <c r="K197" i="2"/>
  <c r="L197" i="2"/>
  <c r="R197" i="2"/>
  <c r="E198" i="2"/>
  <c r="H198" i="2"/>
  <c r="K198" i="2"/>
  <c r="N198" i="2"/>
  <c r="R198" i="2"/>
  <c r="E199" i="2"/>
  <c r="H199" i="2"/>
  <c r="K199" i="2"/>
  <c r="R199" i="2"/>
  <c r="E200" i="2"/>
  <c r="H200" i="2"/>
  <c r="K200" i="2"/>
  <c r="L200" i="2"/>
  <c r="M200" i="2"/>
  <c r="R200" i="2"/>
  <c r="E201" i="2"/>
  <c r="H201" i="2"/>
  <c r="K201" i="2"/>
  <c r="R201" i="2"/>
  <c r="E202" i="2"/>
  <c r="H202" i="2"/>
  <c r="K202" i="2"/>
  <c r="N202" i="2"/>
  <c r="R202" i="2"/>
  <c r="E203" i="2"/>
  <c r="H203" i="2"/>
  <c r="K203" i="2"/>
  <c r="R203" i="2"/>
  <c r="E204" i="2"/>
  <c r="K204" i="2"/>
  <c r="R204" i="2"/>
  <c r="E205" i="2"/>
  <c r="H205" i="2"/>
  <c r="K205" i="2"/>
  <c r="R205" i="2"/>
  <c r="C206" i="2"/>
  <c r="D206" i="2"/>
  <c r="F206" i="2"/>
  <c r="G206" i="2"/>
  <c r="I206" i="2"/>
  <c r="I207" i="2" s="1"/>
  <c r="I18" i="2" s="1"/>
  <c r="J206" i="2"/>
  <c r="L206" i="2"/>
  <c r="L207" i="2" s="1"/>
  <c r="L18" i="2" s="1"/>
  <c r="Q206" i="2"/>
  <c r="Q207" i="2" s="1"/>
  <c r="F207" i="2"/>
  <c r="F18" i="2" s="1"/>
  <c r="E211" i="2"/>
  <c r="H211" i="2"/>
  <c r="K211" i="2"/>
  <c r="L211" i="2"/>
  <c r="L218" i="2" s="1"/>
  <c r="M211" i="2"/>
  <c r="N211" i="2"/>
  <c r="R211" i="2"/>
  <c r="R212" i="2"/>
  <c r="E213" i="2"/>
  <c r="H213" i="2"/>
  <c r="K213" i="2"/>
  <c r="N213" i="2"/>
  <c r="R213" i="2"/>
  <c r="E214" i="2"/>
  <c r="H214" i="2"/>
  <c r="K214" i="2"/>
  <c r="N214" i="2"/>
  <c r="R214" i="2"/>
  <c r="E215" i="2"/>
  <c r="H215" i="2"/>
  <c r="K215" i="2"/>
  <c r="N215" i="2"/>
  <c r="R215" i="2"/>
  <c r="R216" i="2"/>
  <c r="R217" i="2"/>
  <c r="C218" i="2"/>
  <c r="D218" i="2"/>
  <c r="E218" i="2"/>
  <c r="F218" i="2"/>
  <c r="G218" i="2"/>
  <c r="H218" i="2" s="1"/>
  <c r="I218" i="2"/>
  <c r="J218" i="2"/>
  <c r="K218" i="2" s="1"/>
  <c r="M218" i="2"/>
  <c r="O218" i="2"/>
  <c r="Q218" i="2"/>
  <c r="E221" i="2"/>
  <c r="H221" i="2"/>
  <c r="K221" i="2"/>
  <c r="L221" i="2"/>
  <c r="M221" i="2"/>
  <c r="M225" i="2" s="1"/>
  <c r="R221" i="2"/>
  <c r="E222" i="2"/>
  <c r="H222" i="2"/>
  <c r="K222" i="2"/>
  <c r="R222" i="2"/>
  <c r="R223" i="2"/>
  <c r="E224" i="2"/>
  <c r="H224" i="2"/>
  <c r="K224" i="2"/>
  <c r="N224" i="2"/>
  <c r="R224" i="2"/>
  <c r="C225" i="2"/>
  <c r="D225" i="2"/>
  <c r="F225" i="2"/>
  <c r="F226" i="2" s="1"/>
  <c r="F13" i="2" s="1"/>
  <c r="G225" i="2"/>
  <c r="I225" i="2"/>
  <c r="I226" i="2" s="1"/>
  <c r="I13" i="2" s="1"/>
  <c r="J225" i="2"/>
  <c r="L225" i="2"/>
  <c r="O225" i="2"/>
  <c r="O226" i="2" s="1"/>
  <c r="O13" i="2" s="1"/>
  <c r="Q225" i="2"/>
  <c r="C226" i="2"/>
  <c r="C13" i="2" s="1"/>
  <c r="E229" i="2"/>
  <c r="H229" i="2"/>
  <c r="K229" i="2"/>
  <c r="R229" i="2"/>
  <c r="E230" i="2"/>
  <c r="H230" i="2"/>
  <c r="R230" i="2"/>
  <c r="E231" i="2"/>
  <c r="R231" i="2"/>
  <c r="R232" i="2"/>
  <c r="E233" i="2"/>
  <c r="H233" i="2"/>
  <c r="R233" i="2"/>
  <c r="E234" i="2"/>
  <c r="H234" i="2"/>
  <c r="R234" i="2"/>
  <c r="E235" i="2"/>
  <c r="K235" i="2"/>
  <c r="R235" i="2"/>
  <c r="K236" i="2"/>
  <c r="R236" i="2"/>
  <c r="E237" i="2"/>
  <c r="H237" i="2"/>
  <c r="K237" i="2"/>
  <c r="R237" i="2"/>
  <c r="C238" i="2"/>
  <c r="C21" i="2" s="1"/>
  <c r="D238" i="2"/>
  <c r="F238" i="2"/>
  <c r="F21" i="2" s="1"/>
  <c r="G238" i="2"/>
  <c r="I238" i="2"/>
  <c r="I21" i="2" s="1"/>
  <c r="J238" i="2"/>
  <c r="J21" i="2" s="1"/>
  <c r="L238" i="2"/>
  <c r="M238" i="2"/>
  <c r="O238" i="2"/>
  <c r="O21" i="2" s="1"/>
  <c r="Q238" i="2"/>
  <c r="E241" i="2"/>
  <c r="H241" i="2"/>
  <c r="K241" i="2"/>
  <c r="M241" i="2"/>
  <c r="N241" i="2" s="1"/>
  <c r="R241" i="2"/>
  <c r="E242" i="2"/>
  <c r="R242" i="2"/>
  <c r="R243" i="2" s="1"/>
  <c r="C243" i="2"/>
  <c r="D243" i="2"/>
  <c r="F243" i="2"/>
  <c r="F22" i="2" s="1"/>
  <c r="G243" i="2"/>
  <c r="I243" i="2"/>
  <c r="J243" i="2"/>
  <c r="J22" i="2" s="1"/>
  <c r="L243" i="2"/>
  <c r="L22" i="2" s="1"/>
  <c r="O243" i="2"/>
  <c r="O22" i="2" s="1"/>
  <c r="Q243" i="2"/>
  <c r="N91" i="5"/>
  <c r="M91" i="5"/>
  <c r="L91" i="5"/>
  <c r="K91" i="5"/>
  <c r="J91" i="5"/>
  <c r="I91" i="5"/>
  <c r="H91" i="5"/>
  <c r="G91" i="5"/>
  <c r="F91" i="5"/>
  <c r="E91" i="5"/>
  <c r="D91" i="5"/>
  <c r="C91" i="5"/>
  <c r="M91" i="4"/>
  <c r="R21" i="1" l="1"/>
  <c r="H222" i="1"/>
  <c r="H13" i="1" s="1"/>
  <c r="G13" i="1"/>
  <c r="Q23" i="1"/>
  <c r="I23" i="1"/>
  <c r="F23" i="1"/>
  <c r="C13" i="1"/>
  <c r="C23" i="1" s="1"/>
  <c r="E222" i="1"/>
  <c r="E13" i="1" s="1"/>
  <c r="L18" i="1"/>
  <c r="L23" i="1" s="1"/>
  <c r="P184" i="1"/>
  <c r="R202" i="1"/>
  <c r="P202" i="1" s="1"/>
  <c r="O23" i="1"/>
  <c r="P140" i="1"/>
  <c r="P10" i="1" s="1"/>
  <c r="R10" i="1"/>
  <c r="R152" i="1"/>
  <c r="R20" i="1"/>
  <c r="N222" i="1"/>
  <c r="N13" i="1" s="1"/>
  <c r="M13" i="1"/>
  <c r="K203" i="1"/>
  <c r="K18" i="1" s="1"/>
  <c r="J18" i="1"/>
  <c r="R12" i="1"/>
  <c r="H163" i="1"/>
  <c r="H12" i="1" s="1"/>
  <c r="G12" i="1"/>
  <c r="R11" i="1"/>
  <c r="H151" i="1"/>
  <c r="H11" i="1" s="1"/>
  <c r="G11" i="1"/>
  <c r="E140" i="1"/>
  <c r="E10" i="1" s="1"/>
  <c r="D10" i="1"/>
  <c r="H132" i="1"/>
  <c r="H20" i="1" s="1"/>
  <c r="G20" i="1"/>
  <c r="R19" i="1"/>
  <c r="K122" i="1"/>
  <c r="K19" i="1" s="1"/>
  <c r="J19" i="1"/>
  <c r="R15" i="1"/>
  <c r="R14" i="1"/>
  <c r="D22" i="1"/>
  <c r="J21" i="1"/>
  <c r="N246" i="1"/>
  <c r="H240" i="1"/>
  <c r="H22" i="1" s="1"/>
  <c r="N235" i="1"/>
  <c r="N21" i="1" s="1"/>
  <c r="R222" i="1"/>
  <c r="J222" i="1"/>
  <c r="N221" i="1"/>
  <c r="E214" i="1"/>
  <c r="G203" i="1"/>
  <c r="D203" i="1"/>
  <c r="M202" i="1"/>
  <c r="N202" i="1" s="1"/>
  <c r="K202" i="1"/>
  <c r="N196" i="1"/>
  <c r="M184" i="1"/>
  <c r="K184" i="1"/>
  <c r="N172" i="1"/>
  <c r="N167" i="1"/>
  <c r="N163" i="1"/>
  <c r="N12" i="1" s="1"/>
  <c r="M12" i="1"/>
  <c r="K163" i="1"/>
  <c r="K12" i="1" s="1"/>
  <c r="O152" i="1"/>
  <c r="L152" i="1"/>
  <c r="N152" i="1" s="1"/>
  <c r="J152" i="1"/>
  <c r="K152" i="1" s="1"/>
  <c r="G152" i="1"/>
  <c r="H152" i="1" s="1"/>
  <c r="C152" i="1"/>
  <c r="E152" i="1" s="1"/>
  <c r="N151" i="1"/>
  <c r="N11" i="1" s="1"/>
  <c r="M11" i="1"/>
  <c r="K151" i="1"/>
  <c r="K11" i="1" s="1"/>
  <c r="K140" i="1"/>
  <c r="K10" i="1" s="1"/>
  <c r="J10" i="1"/>
  <c r="H140" i="1"/>
  <c r="H10" i="1" s="1"/>
  <c r="K132" i="1"/>
  <c r="K20" i="1" s="1"/>
  <c r="N122" i="1"/>
  <c r="N19" i="1" s="1"/>
  <c r="E122" i="1"/>
  <c r="E19" i="1" s="1"/>
  <c r="D19" i="1"/>
  <c r="N93" i="1"/>
  <c r="N17" i="1" s="1"/>
  <c r="H93" i="1"/>
  <c r="H17" i="1" s="1"/>
  <c r="G17" i="1"/>
  <c r="E93" i="1"/>
  <c r="E17" i="1" s="1"/>
  <c r="R16" i="1"/>
  <c r="K78" i="1"/>
  <c r="K16" i="1" s="1"/>
  <c r="E78" i="1"/>
  <c r="E16" i="1" s="1"/>
  <c r="N67" i="1"/>
  <c r="N15" i="1" s="1"/>
  <c r="H67" i="1"/>
  <c r="H15" i="1" s="1"/>
  <c r="N55" i="1"/>
  <c r="N14" i="1" s="1"/>
  <c r="H55" i="1"/>
  <c r="H14" i="1" s="1"/>
  <c r="M22" i="1"/>
  <c r="G22" i="1"/>
  <c r="M21" i="1"/>
  <c r="G21" i="1"/>
  <c r="P54" i="2"/>
  <c r="P14" i="2" s="1"/>
  <c r="P188" i="2"/>
  <c r="O206" i="2"/>
  <c r="C207" i="2"/>
  <c r="C18" i="2" s="1"/>
  <c r="M12" i="2"/>
  <c r="N160" i="2"/>
  <c r="N12" i="2" s="1"/>
  <c r="H160" i="2"/>
  <c r="H12" i="2" s="1"/>
  <c r="G12" i="2"/>
  <c r="E160" i="2"/>
  <c r="E12" i="2" s="1"/>
  <c r="D12" i="2"/>
  <c r="R160" i="2"/>
  <c r="P160" i="2" s="1"/>
  <c r="P12" i="2" s="1"/>
  <c r="Q11" i="2"/>
  <c r="Q151" i="2"/>
  <c r="M11" i="2"/>
  <c r="M151" i="2"/>
  <c r="K150" i="2"/>
  <c r="K11" i="2" s="1"/>
  <c r="J151" i="2"/>
  <c r="K151" i="2" s="1"/>
  <c r="J11" i="2"/>
  <c r="H150" i="2"/>
  <c r="H11" i="2" s="1"/>
  <c r="G11" i="2"/>
  <c r="G151" i="2"/>
  <c r="H151" i="2" s="1"/>
  <c r="C11" i="2"/>
  <c r="C23" i="2" s="1"/>
  <c r="C151" i="2"/>
  <c r="E151" i="2" s="1"/>
  <c r="E122" i="2"/>
  <c r="E19" i="2" s="1"/>
  <c r="D19" i="2"/>
  <c r="N89" i="2"/>
  <c r="L92" i="2"/>
  <c r="L17" i="2" s="1"/>
  <c r="N77" i="2"/>
  <c r="N16" i="2" s="1"/>
  <c r="M16" i="2"/>
  <c r="F16" i="2"/>
  <c r="F23" i="2" s="1"/>
  <c r="F78" i="2"/>
  <c r="Q15" i="2"/>
  <c r="Q78" i="2"/>
  <c r="I15" i="2"/>
  <c r="I23" i="2" s="1"/>
  <c r="I78" i="2"/>
  <c r="K78" i="2" s="1"/>
  <c r="M14" i="2"/>
  <c r="N54" i="2"/>
  <c r="N14" i="2" s="1"/>
  <c r="M78" i="2"/>
  <c r="N78" i="2" s="1"/>
  <c r="K54" i="2"/>
  <c r="K14" i="2" s="1"/>
  <c r="J14" i="2"/>
  <c r="H54" i="2"/>
  <c r="H14" i="2" s="1"/>
  <c r="G14" i="2"/>
  <c r="H243" i="2"/>
  <c r="H22" i="2" s="1"/>
  <c r="G22" i="2"/>
  <c r="E243" i="2"/>
  <c r="E22" i="2" s="1"/>
  <c r="D22" i="2"/>
  <c r="P243" i="2"/>
  <c r="P22" i="2" s="1"/>
  <c r="R22" i="2" s="1"/>
  <c r="N238" i="2"/>
  <c r="N21" i="2" s="1"/>
  <c r="L21" i="2"/>
  <c r="O207" i="2"/>
  <c r="O18" i="2" s="1"/>
  <c r="R12" i="2"/>
  <c r="D10" i="2"/>
  <c r="E139" i="2"/>
  <c r="E10" i="2" s="1"/>
  <c r="H131" i="2"/>
  <c r="H20" i="2" s="1"/>
  <c r="G20" i="2"/>
  <c r="E131" i="2"/>
  <c r="E20" i="2" s="1"/>
  <c r="D20" i="2"/>
  <c r="H92" i="2"/>
  <c r="H17" i="2" s="1"/>
  <c r="G17" i="2"/>
  <c r="E92" i="2"/>
  <c r="E17" i="2" s="1"/>
  <c r="D17" i="2"/>
  <c r="H78" i="2"/>
  <c r="E77" i="2"/>
  <c r="E16" i="2" s="1"/>
  <c r="D16" i="2"/>
  <c r="R77" i="2"/>
  <c r="P77" i="2" s="1"/>
  <c r="P16" i="2" s="1"/>
  <c r="R16" i="2" s="1"/>
  <c r="G15" i="2"/>
  <c r="H66" i="2"/>
  <c r="H15" i="2" s="1"/>
  <c r="E66" i="2"/>
  <c r="E15" i="2" s="1"/>
  <c r="D78" i="2"/>
  <c r="E78" i="2" s="1"/>
  <c r="D15" i="2"/>
  <c r="R66" i="2"/>
  <c r="P66" i="2" s="1"/>
  <c r="P15" i="2" s="1"/>
  <c r="R15" i="2" s="1"/>
  <c r="R14" i="2"/>
  <c r="H238" i="2"/>
  <c r="H21" i="2" s="1"/>
  <c r="E238" i="2"/>
  <c r="E21" i="2" s="1"/>
  <c r="R238" i="2"/>
  <c r="P238" i="2" s="1"/>
  <c r="P21" i="2" s="1"/>
  <c r="R21" i="2" s="1"/>
  <c r="K225" i="2"/>
  <c r="E225" i="2"/>
  <c r="Q226" i="2"/>
  <c r="Q13" i="2" s="1"/>
  <c r="M226" i="2"/>
  <c r="M13" i="2" s="1"/>
  <c r="H206" i="2"/>
  <c r="E206" i="2"/>
  <c r="R206" i="2"/>
  <c r="N192" i="2"/>
  <c r="Q18" i="2"/>
  <c r="H182" i="2"/>
  <c r="E182" i="2"/>
  <c r="K139" i="2"/>
  <c r="K10" i="2" s="1"/>
  <c r="H139" i="2"/>
  <c r="H10" i="2" s="1"/>
  <c r="G10" i="2"/>
  <c r="K122" i="2"/>
  <c r="K19" i="2" s="1"/>
  <c r="H122" i="2"/>
  <c r="H19" i="2" s="1"/>
  <c r="G19" i="2"/>
  <c r="N90" i="2"/>
  <c r="H77" i="2"/>
  <c r="H16" i="2" s="1"/>
  <c r="G16" i="2"/>
  <c r="K66" i="2"/>
  <c r="K15" i="2" s="1"/>
  <c r="D21" i="2"/>
  <c r="J19" i="2"/>
  <c r="J15" i="2"/>
  <c r="P206" i="2"/>
  <c r="R207" i="2"/>
  <c r="P207" i="2" s="1"/>
  <c r="P18" i="2" s="1"/>
  <c r="R225" i="2"/>
  <c r="P225" i="2" s="1"/>
  <c r="R218" i="2"/>
  <c r="K207" i="2"/>
  <c r="K18" i="2" s="1"/>
  <c r="R150" i="2"/>
  <c r="P150" i="2" s="1"/>
  <c r="P11" i="2" s="1"/>
  <c r="R11" i="2" s="1"/>
  <c r="R139" i="2"/>
  <c r="R131" i="2"/>
  <c r="P131" i="2" s="1"/>
  <c r="P20" i="2" s="1"/>
  <c r="R20" i="2" s="1"/>
  <c r="R122" i="2"/>
  <c r="P122" i="2" s="1"/>
  <c r="P19" i="2" s="1"/>
  <c r="R19" i="2" s="1"/>
  <c r="K243" i="2"/>
  <c r="K22" i="2" s="1"/>
  <c r="K238" i="2"/>
  <c r="K21" i="2" s="1"/>
  <c r="J226" i="2"/>
  <c r="G226" i="2"/>
  <c r="G13" i="2" s="1"/>
  <c r="N225" i="2"/>
  <c r="H226" i="2"/>
  <c r="H13" i="2" s="1"/>
  <c r="N221" i="2"/>
  <c r="G207" i="2"/>
  <c r="D207" i="2"/>
  <c r="K206" i="2"/>
  <c r="N200" i="2"/>
  <c r="K188" i="2"/>
  <c r="K182" i="2"/>
  <c r="N165" i="2"/>
  <c r="K160" i="2"/>
  <c r="K12" i="2" s="1"/>
  <c r="N151" i="2"/>
  <c r="N150" i="2"/>
  <c r="N11" i="2" s="1"/>
  <c r="N139" i="2"/>
  <c r="N10" i="2" s="1"/>
  <c r="K131" i="2"/>
  <c r="K20" i="2" s="1"/>
  <c r="N122" i="2"/>
  <c r="N19" i="2" s="1"/>
  <c r="M92" i="2"/>
  <c r="K92" i="2"/>
  <c r="K17" i="2" s="1"/>
  <c r="P218" i="2"/>
  <c r="R226" i="2"/>
  <c r="N218" i="2"/>
  <c r="L226" i="2"/>
  <c r="R151" i="2"/>
  <c r="P151" i="2" s="1"/>
  <c r="M243" i="2"/>
  <c r="D226" i="2"/>
  <c r="M206" i="2"/>
  <c r="N206" i="2" s="1"/>
  <c r="M182" i="2"/>
  <c r="N178" i="5"/>
  <c r="K178" i="5"/>
  <c r="H178" i="5"/>
  <c r="E178" i="5"/>
  <c r="M178" i="5"/>
  <c r="L178" i="5"/>
  <c r="J178" i="5"/>
  <c r="I178" i="5"/>
  <c r="G178" i="5"/>
  <c r="F178" i="5"/>
  <c r="D178" i="5"/>
  <c r="C178" i="5"/>
  <c r="J23" i="1" l="1"/>
  <c r="N184" i="1"/>
  <c r="M203" i="1"/>
  <c r="E203" i="1"/>
  <c r="E18" i="1" s="1"/>
  <c r="D18" i="1"/>
  <c r="D23" i="1" s="1"/>
  <c r="E23" i="1" s="1"/>
  <c r="J13" i="1"/>
  <c r="K222" i="1"/>
  <c r="K13" i="1" s="1"/>
  <c r="K23" i="1"/>
  <c r="G18" i="1"/>
  <c r="G23" i="1" s="1"/>
  <c r="H23" i="1" s="1"/>
  <c r="H203" i="1"/>
  <c r="H18" i="1" s="1"/>
  <c r="P222" i="1"/>
  <c r="P13" i="1" s="1"/>
  <c r="R13" i="1"/>
  <c r="P152" i="1"/>
  <c r="R203" i="1"/>
  <c r="N92" i="2"/>
  <c r="N17" i="2" s="1"/>
  <c r="M17" i="2"/>
  <c r="E207" i="2"/>
  <c r="E18" i="2" s="1"/>
  <c r="D18" i="2"/>
  <c r="K226" i="2"/>
  <c r="K13" i="2" s="1"/>
  <c r="J13" i="2"/>
  <c r="J23" i="2" s="1"/>
  <c r="K23" i="2" s="1"/>
  <c r="R78" i="2"/>
  <c r="P78" i="2" s="1"/>
  <c r="E226" i="2"/>
  <c r="E13" i="2" s="1"/>
  <c r="D13" i="2"/>
  <c r="N243" i="2"/>
  <c r="N22" i="2" s="1"/>
  <c r="M22" i="2"/>
  <c r="N226" i="2"/>
  <c r="N13" i="2" s="1"/>
  <c r="L13" i="2"/>
  <c r="L23" i="2" s="1"/>
  <c r="P226" i="2"/>
  <c r="P13" i="2" s="1"/>
  <c r="R13" i="2"/>
  <c r="H207" i="2"/>
  <c r="H18" i="2" s="1"/>
  <c r="G18" i="2"/>
  <c r="G23" i="2" s="1"/>
  <c r="H23" i="2" s="1"/>
  <c r="P139" i="2"/>
  <c r="P10" i="2" s="1"/>
  <c r="R10" i="2"/>
  <c r="D23" i="2"/>
  <c r="R18" i="2"/>
  <c r="E23" i="2"/>
  <c r="Q23" i="2"/>
  <c r="O23" i="2"/>
  <c r="M207" i="2"/>
  <c r="N182" i="2"/>
  <c r="C10" i="4"/>
  <c r="E168" i="5"/>
  <c r="M242" i="5"/>
  <c r="L242" i="5"/>
  <c r="J242" i="5"/>
  <c r="I242" i="5"/>
  <c r="G242" i="5"/>
  <c r="F242" i="5"/>
  <c r="D242" i="5"/>
  <c r="C242" i="5"/>
  <c r="M241" i="5"/>
  <c r="L241" i="5"/>
  <c r="J241" i="5"/>
  <c r="I241" i="5"/>
  <c r="G241" i="5"/>
  <c r="F241" i="5"/>
  <c r="D241" i="5"/>
  <c r="C241" i="5"/>
  <c r="M230" i="5"/>
  <c r="M231" i="5"/>
  <c r="M232" i="5"/>
  <c r="M233" i="5"/>
  <c r="M234" i="5"/>
  <c r="M235" i="5"/>
  <c r="M236" i="5"/>
  <c r="M237" i="5"/>
  <c r="L230" i="5"/>
  <c r="L231" i="5"/>
  <c r="L232" i="5"/>
  <c r="L233" i="5"/>
  <c r="L234" i="5"/>
  <c r="L235" i="5"/>
  <c r="L236" i="5"/>
  <c r="L237" i="5"/>
  <c r="J230" i="5"/>
  <c r="J231" i="5"/>
  <c r="J232" i="5"/>
  <c r="J233" i="5"/>
  <c r="J234" i="5"/>
  <c r="J235" i="5"/>
  <c r="J236" i="5"/>
  <c r="J237" i="5"/>
  <c r="I230" i="5"/>
  <c r="I231" i="5"/>
  <c r="I232" i="5"/>
  <c r="I233" i="5"/>
  <c r="I234" i="5"/>
  <c r="I235" i="5"/>
  <c r="I236" i="5"/>
  <c r="I237" i="5"/>
  <c r="G230" i="5"/>
  <c r="G231" i="5"/>
  <c r="G232" i="5"/>
  <c r="G233" i="5"/>
  <c r="G234" i="5"/>
  <c r="G235" i="5"/>
  <c r="G236" i="5"/>
  <c r="G237" i="5"/>
  <c r="F230" i="5"/>
  <c r="F231" i="5"/>
  <c r="F232" i="5"/>
  <c r="F233" i="5"/>
  <c r="F234" i="5"/>
  <c r="F235" i="5"/>
  <c r="F236" i="5"/>
  <c r="F237" i="5"/>
  <c r="D230" i="5"/>
  <c r="D231" i="5"/>
  <c r="D232" i="5"/>
  <c r="D233" i="5"/>
  <c r="D234" i="5"/>
  <c r="D235" i="5"/>
  <c r="D236" i="5"/>
  <c r="D237" i="5"/>
  <c r="C230" i="5"/>
  <c r="C231" i="5"/>
  <c r="C232" i="5"/>
  <c r="C233" i="5"/>
  <c r="C234" i="5"/>
  <c r="C235" i="5"/>
  <c r="C236" i="5"/>
  <c r="C237" i="5"/>
  <c r="M229" i="5"/>
  <c r="L229" i="5"/>
  <c r="J229" i="5"/>
  <c r="I229" i="5"/>
  <c r="G229" i="5"/>
  <c r="F229" i="5"/>
  <c r="D229" i="5"/>
  <c r="C229" i="5"/>
  <c r="M222" i="5"/>
  <c r="M223" i="5"/>
  <c r="M224" i="5"/>
  <c r="L222" i="5"/>
  <c r="L223" i="5"/>
  <c r="L224" i="5"/>
  <c r="J222" i="5"/>
  <c r="J223" i="5"/>
  <c r="J224" i="5"/>
  <c r="I222" i="5"/>
  <c r="I223" i="5"/>
  <c r="I224" i="5"/>
  <c r="G222" i="5"/>
  <c r="G223" i="5"/>
  <c r="G224" i="5"/>
  <c r="F222" i="5"/>
  <c r="F223" i="5"/>
  <c r="F224" i="5"/>
  <c r="D222" i="5"/>
  <c r="D223" i="5"/>
  <c r="D224" i="5"/>
  <c r="C222" i="5"/>
  <c r="C223" i="5"/>
  <c r="C224" i="5"/>
  <c r="E224" i="5" s="1"/>
  <c r="M221" i="5"/>
  <c r="L221" i="5"/>
  <c r="J221" i="5"/>
  <c r="I221" i="5"/>
  <c r="G221" i="5"/>
  <c r="F221" i="5"/>
  <c r="D221" i="5"/>
  <c r="C221" i="5"/>
  <c r="M212" i="5"/>
  <c r="M213" i="5"/>
  <c r="M214" i="5"/>
  <c r="M215" i="5"/>
  <c r="M216" i="5"/>
  <c r="M217" i="5"/>
  <c r="L212" i="5"/>
  <c r="L213" i="5"/>
  <c r="L214" i="5"/>
  <c r="L215" i="5"/>
  <c r="L216" i="5"/>
  <c r="L217" i="5"/>
  <c r="J212" i="5"/>
  <c r="J213" i="5"/>
  <c r="J214" i="5"/>
  <c r="J215" i="5"/>
  <c r="J216" i="5"/>
  <c r="J217" i="5"/>
  <c r="I212" i="5"/>
  <c r="I213" i="5"/>
  <c r="I214" i="5"/>
  <c r="I215" i="5"/>
  <c r="I216" i="5"/>
  <c r="I217" i="5"/>
  <c r="G212" i="5"/>
  <c r="G213" i="5"/>
  <c r="G214" i="5"/>
  <c r="G215" i="5"/>
  <c r="G216" i="5"/>
  <c r="G217" i="5"/>
  <c r="F212" i="5"/>
  <c r="F213" i="5"/>
  <c r="F214" i="5"/>
  <c r="F215" i="5"/>
  <c r="F216" i="5"/>
  <c r="F217" i="5"/>
  <c r="D212" i="5"/>
  <c r="D213" i="5"/>
  <c r="D214" i="5"/>
  <c r="D215" i="5"/>
  <c r="D216" i="5"/>
  <c r="D217" i="5"/>
  <c r="C212" i="5"/>
  <c r="C213" i="5"/>
  <c r="C214" i="5"/>
  <c r="C215" i="5"/>
  <c r="C216" i="5"/>
  <c r="C217" i="5"/>
  <c r="M211" i="5"/>
  <c r="L211" i="5"/>
  <c r="J211" i="5"/>
  <c r="I211" i="5"/>
  <c r="G211" i="5"/>
  <c r="F211" i="5"/>
  <c r="D211" i="5"/>
  <c r="C211" i="5"/>
  <c r="M193" i="5"/>
  <c r="M194" i="5"/>
  <c r="M195" i="5"/>
  <c r="M196" i="5"/>
  <c r="M197" i="5"/>
  <c r="M198" i="5"/>
  <c r="M199" i="5"/>
  <c r="M201" i="5"/>
  <c r="M202" i="5"/>
  <c r="M204" i="5"/>
  <c r="M205" i="5"/>
  <c r="L193" i="5"/>
  <c r="L194" i="5"/>
  <c r="L195" i="5"/>
  <c r="L196" i="5"/>
  <c r="L197" i="5"/>
  <c r="L198" i="5"/>
  <c r="L199" i="5"/>
  <c r="L201" i="5"/>
  <c r="L202" i="5"/>
  <c r="L204" i="5"/>
  <c r="L205" i="5"/>
  <c r="J193" i="5"/>
  <c r="J194" i="5"/>
  <c r="J195" i="5"/>
  <c r="J196" i="5"/>
  <c r="J197" i="5"/>
  <c r="J198" i="5"/>
  <c r="J199" i="5"/>
  <c r="J201" i="5"/>
  <c r="J202" i="5"/>
  <c r="J204" i="5"/>
  <c r="J205" i="5"/>
  <c r="I193" i="5"/>
  <c r="I194" i="5"/>
  <c r="I195" i="5"/>
  <c r="I196" i="5"/>
  <c r="I197" i="5"/>
  <c r="I198" i="5"/>
  <c r="I199" i="5"/>
  <c r="I201" i="5"/>
  <c r="I202" i="5"/>
  <c r="I204" i="5"/>
  <c r="I205" i="5"/>
  <c r="G193" i="5"/>
  <c r="G194" i="5"/>
  <c r="G195" i="5"/>
  <c r="G196" i="5"/>
  <c r="G197" i="5"/>
  <c r="G198" i="5"/>
  <c r="G199" i="5"/>
  <c r="G201" i="5"/>
  <c r="G202" i="5"/>
  <c r="G204" i="5"/>
  <c r="G205" i="5"/>
  <c r="F193" i="5"/>
  <c r="F194" i="5"/>
  <c r="F195" i="5"/>
  <c r="F196" i="5"/>
  <c r="F197" i="5"/>
  <c r="F198" i="5"/>
  <c r="F199" i="5"/>
  <c r="F201" i="5"/>
  <c r="F202" i="5"/>
  <c r="F204" i="5"/>
  <c r="F205" i="5"/>
  <c r="D193" i="5"/>
  <c r="D194" i="5"/>
  <c r="D195" i="5"/>
  <c r="D196" i="5"/>
  <c r="D197" i="5"/>
  <c r="D198" i="5"/>
  <c r="D199" i="5"/>
  <c r="D201" i="5"/>
  <c r="D202" i="5"/>
  <c r="D204" i="5"/>
  <c r="D205" i="5"/>
  <c r="C193" i="5"/>
  <c r="C194" i="5"/>
  <c r="C195" i="5"/>
  <c r="C196" i="5"/>
  <c r="C197" i="5"/>
  <c r="C198" i="5"/>
  <c r="C199" i="5"/>
  <c r="C201" i="5"/>
  <c r="C202" i="5"/>
  <c r="C204" i="5"/>
  <c r="C205" i="5"/>
  <c r="M191" i="5"/>
  <c r="L191" i="5"/>
  <c r="J191" i="5"/>
  <c r="I191" i="5"/>
  <c r="G191" i="5"/>
  <c r="F191" i="5"/>
  <c r="D191" i="5"/>
  <c r="C191" i="5"/>
  <c r="M186" i="5"/>
  <c r="M187" i="5"/>
  <c r="L186" i="5"/>
  <c r="L187" i="5"/>
  <c r="J186" i="5"/>
  <c r="J187" i="5"/>
  <c r="I186" i="5"/>
  <c r="I187" i="5"/>
  <c r="G186" i="5"/>
  <c r="G187" i="5"/>
  <c r="F186" i="5"/>
  <c r="F187" i="5"/>
  <c r="D186" i="5"/>
  <c r="D187" i="5"/>
  <c r="C186" i="5"/>
  <c r="C187" i="5"/>
  <c r="M185" i="5"/>
  <c r="L185" i="5"/>
  <c r="J185" i="5"/>
  <c r="I185" i="5"/>
  <c r="G185" i="5"/>
  <c r="F185" i="5"/>
  <c r="D185" i="5"/>
  <c r="C185" i="5"/>
  <c r="M165" i="5"/>
  <c r="M166" i="5"/>
  <c r="M167" i="5"/>
  <c r="M168" i="5"/>
  <c r="M169" i="5"/>
  <c r="M170" i="5"/>
  <c r="M171" i="5"/>
  <c r="M172" i="5"/>
  <c r="M173" i="5"/>
  <c r="M174" i="5"/>
  <c r="M176" i="5"/>
  <c r="M179" i="5"/>
  <c r="M180" i="5"/>
  <c r="M181" i="5"/>
  <c r="L165" i="5"/>
  <c r="L166" i="5"/>
  <c r="L167" i="5"/>
  <c r="L168" i="5"/>
  <c r="L169" i="5"/>
  <c r="L170" i="5"/>
  <c r="L171" i="5"/>
  <c r="L172" i="5"/>
  <c r="L173" i="5"/>
  <c r="L174" i="5"/>
  <c r="L176" i="5"/>
  <c r="L179" i="5"/>
  <c r="L180" i="5"/>
  <c r="L181" i="5"/>
  <c r="J165" i="5"/>
  <c r="J166" i="5"/>
  <c r="J167" i="5"/>
  <c r="J168" i="5"/>
  <c r="J169" i="5"/>
  <c r="J170" i="5"/>
  <c r="J171" i="5"/>
  <c r="J172" i="5"/>
  <c r="J173" i="5"/>
  <c r="J174" i="5"/>
  <c r="J176" i="5"/>
  <c r="J179" i="5"/>
  <c r="J180" i="5"/>
  <c r="J181" i="5"/>
  <c r="I165" i="5"/>
  <c r="I166" i="5"/>
  <c r="I167" i="5"/>
  <c r="I168" i="5"/>
  <c r="I169" i="5"/>
  <c r="I170" i="5"/>
  <c r="I171" i="5"/>
  <c r="I172" i="5"/>
  <c r="I173" i="5"/>
  <c r="I174" i="5"/>
  <c r="I176" i="5"/>
  <c r="I179" i="5"/>
  <c r="I180" i="5"/>
  <c r="I181" i="5"/>
  <c r="G165" i="5"/>
  <c r="G166" i="5"/>
  <c r="G167" i="5"/>
  <c r="G168" i="5"/>
  <c r="G169" i="5"/>
  <c r="G170" i="5"/>
  <c r="G171" i="5"/>
  <c r="G172" i="5"/>
  <c r="G173" i="5"/>
  <c r="G174" i="5"/>
  <c r="G176" i="5"/>
  <c r="G179" i="5"/>
  <c r="G180" i="5"/>
  <c r="G181" i="5"/>
  <c r="F165" i="5"/>
  <c r="F166" i="5"/>
  <c r="F167" i="5"/>
  <c r="F168" i="5"/>
  <c r="F169" i="5"/>
  <c r="F170" i="5"/>
  <c r="F171" i="5"/>
  <c r="F172" i="5"/>
  <c r="F173" i="5"/>
  <c r="F174" i="5"/>
  <c r="F176" i="5"/>
  <c r="F179" i="5"/>
  <c r="F180" i="5"/>
  <c r="F181" i="5"/>
  <c r="D165" i="5"/>
  <c r="D166" i="5"/>
  <c r="D167" i="5"/>
  <c r="D168" i="5"/>
  <c r="D169" i="5"/>
  <c r="D170" i="5"/>
  <c r="D171" i="5"/>
  <c r="D172" i="5"/>
  <c r="D173" i="5"/>
  <c r="D174" i="5"/>
  <c r="D176" i="5"/>
  <c r="D179" i="5"/>
  <c r="D180" i="5"/>
  <c r="D181" i="5"/>
  <c r="C165" i="5"/>
  <c r="C166" i="5"/>
  <c r="C167" i="5"/>
  <c r="C168" i="5"/>
  <c r="C169" i="5"/>
  <c r="C170" i="5"/>
  <c r="C171" i="5"/>
  <c r="C172" i="5"/>
  <c r="C174" i="5"/>
  <c r="C176" i="5"/>
  <c r="C179" i="5"/>
  <c r="C180" i="5"/>
  <c r="C181" i="5"/>
  <c r="M164" i="5"/>
  <c r="L164" i="5"/>
  <c r="J164" i="5"/>
  <c r="I164" i="5"/>
  <c r="G164" i="5"/>
  <c r="F164" i="5"/>
  <c r="D164" i="5"/>
  <c r="C164" i="5"/>
  <c r="M155" i="5"/>
  <c r="M156" i="5"/>
  <c r="M157" i="5"/>
  <c r="M159" i="5"/>
  <c r="L155" i="5"/>
  <c r="L156" i="5"/>
  <c r="L157" i="5"/>
  <c r="L159" i="5"/>
  <c r="J159" i="5"/>
  <c r="J155" i="5"/>
  <c r="J156" i="5"/>
  <c r="J157" i="5"/>
  <c r="I155" i="5"/>
  <c r="I156" i="5"/>
  <c r="I157" i="5"/>
  <c r="I159" i="5"/>
  <c r="G155" i="5"/>
  <c r="G156" i="5"/>
  <c r="G157" i="5"/>
  <c r="G159" i="5"/>
  <c r="F155" i="5"/>
  <c r="F156" i="5"/>
  <c r="F157" i="5"/>
  <c r="F159" i="5"/>
  <c r="D155" i="5"/>
  <c r="D156" i="5"/>
  <c r="D157" i="5"/>
  <c r="D159" i="5"/>
  <c r="C155" i="5"/>
  <c r="C156" i="5"/>
  <c r="C157" i="5"/>
  <c r="C159" i="5"/>
  <c r="M154" i="5"/>
  <c r="L154" i="5"/>
  <c r="J154" i="5"/>
  <c r="I154" i="5"/>
  <c r="G154" i="5"/>
  <c r="F154" i="5"/>
  <c r="D154" i="5"/>
  <c r="C154" i="5"/>
  <c r="M143" i="5"/>
  <c r="M144" i="5"/>
  <c r="M145" i="5"/>
  <c r="M146" i="5"/>
  <c r="M147" i="5"/>
  <c r="M148" i="5"/>
  <c r="M149" i="5"/>
  <c r="L143" i="5"/>
  <c r="L144" i="5"/>
  <c r="L145" i="5"/>
  <c r="L146" i="5"/>
  <c r="L147" i="5"/>
  <c r="L148" i="5"/>
  <c r="L149" i="5"/>
  <c r="J143" i="5"/>
  <c r="J144" i="5"/>
  <c r="J145" i="5"/>
  <c r="J146" i="5"/>
  <c r="J147" i="5"/>
  <c r="J148" i="5"/>
  <c r="J149" i="5"/>
  <c r="I143" i="5"/>
  <c r="I144" i="5"/>
  <c r="I145" i="5"/>
  <c r="I146" i="5"/>
  <c r="I147" i="5"/>
  <c r="I148" i="5"/>
  <c r="I149" i="5"/>
  <c r="G143" i="5"/>
  <c r="G144" i="5"/>
  <c r="G145" i="5"/>
  <c r="G146" i="5"/>
  <c r="G147" i="5"/>
  <c r="G148" i="5"/>
  <c r="G149" i="5"/>
  <c r="F143" i="5"/>
  <c r="F144" i="5"/>
  <c r="F145" i="5"/>
  <c r="F146" i="5"/>
  <c r="F147" i="5"/>
  <c r="F148" i="5"/>
  <c r="F149" i="5"/>
  <c r="D143" i="5"/>
  <c r="D144" i="5"/>
  <c r="D145" i="5"/>
  <c r="D146" i="5"/>
  <c r="D147" i="5"/>
  <c r="D148" i="5"/>
  <c r="D149" i="5"/>
  <c r="C143" i="5"/>
  <c r="C144" i="5"/>
  <c r="C145" i="5"/>
  <c r="C146" i="5"/>
  <c r="C147" i="5"/>
  <c r="C148" i="5"/>
  <c r="C149" i="5"/>
  <c r="M142" i="5"/>
  <c r="L142" i="5"/>
  <c r="J142" i="5"/>
  <c r="I142" i="5"/>
  <c r="G142" i="5"/>
  <c r="F142" i="5"/>
  <c r="D142" i="5"/>
  <c r="C142" i="5"/>
  <c r="M135" i="5"/>
  <c r="M136" i="5"/>
  <c r="M137" i="5"/>
  <c r="M138" i="5"/>
  <c r="L135" i="5"/>
  <c r="L136" i="5"/>
  <c r="L137" i="5"/>
  <c r="L138" i="5"/>
  <c r="J135" i="5"/>
  <c r="J136" i="5"/>
  <c r="J137" i="5"/>
  <c r="J138" i="5"/>
  <c r="I135" i="5"/>
  <c r="I136" i="5"/>
  <c r="I137" i="5"/>
  <c r="I138" i="5"/>
  <c r="G135" i="5"/>
  <c r="G136" i="5"/>
  <c r="G137" i="5"/>
  <c r="F135" i="5"/>
  <c r="F136" i="5"/>
  <c r="F137" i="5"/>
  <c r="F138" i="5"/>
  <c r="D135" i="5"/>
  <c r="D136" i="5"/>
  <c r="D137" i="5"/>
  <c r="D138" i="5"/>
  <c r="C135" i="5"/>
  <c r="C136" i="5"/>
  <c r="C137" i="5"/>
  <c r="C138" i="5"/>
  <c r="M134" i="5"/>
  <c r="L134" i="5"/>
  <c r="J134" i="5"/>
  <c r="I134" i="5"/>
  <c r="G134" i="5"/>
  <c r="F134" i="5"/>
  <c r="D134" i="5"/>
  <c r="C134" i="5"/>
  <c r="M126" i="5"/>
  <c r="M127" i="5"/>
  <c r="M128" i="5"/>
  <c r="M129" i="5"/>
  <c r="M130" i="5"/>
  <c r="L126" i="5"/>
  <c r="L127" i="5"/>
  <c r="L128" i="5"/>
  <c r="L129" i="5"/>
  <c r="L130" i="5"/>
  <c r="J126" i="5"/>
  <c r="J127" i="5"/>
  <c r="J128" i="5"/>
  <c r="J129" i="5"/>
  <c r="J130" i="5"/>
  <c r="I126" i="5"/>
  <c r="I127" i="5"/>
  <c r="I128" i="5"/>
  <c r="I129" i="5"/>
  <c r="I130" i="5"/>
  <c r="G126" i="5"/>
  <c r="G127" i="5"/>
  <c r="G128" i="5"/>
  <c r="G129" i="5"/>
  <c r="G130" i="5"/>
  <c r="F126" i="5"/>
  <c r="F127" i="5"/>
  <c r="F128" i="5"/>
  <c r="F129" i="5"/>
  <c r="F130" i="5"/>
  <c r="D126" i="5"/>
  <c r="D127" i="5"/>
  <c r="D128" i="5"/>
  <c r="D129" i="5"/>
  <c r="D130" i="5"/>
  <c r="C126" i="5"/>
  <c r="C127" i="5"/>
  <c r="C128" i="5"/>
  <c r="C129" i="5"/>
  <c r="C130" i="5"/>
  <c r="M125" i="5"/>
  <c r="L125" i="5"/>
  <c r="J125" i="5"/>
  <c r="I125" i="5"/>
  <c r="G125" i="5"/>
  <c r="F125" i="5"/>
  <c r="D125" i="5"/>
  <c r="C12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M95" i="5"/>
  <c r="L95" i="5"/>
  <c r="J95" i="5"/>
  <c r="I95" i="5"/>
  <c r="G95" i="5"/>
  <c r="F95" i="5"/>
  <c r="D95" i="5"/>
  <c r="C95" i="5"/>
  <c r="M82" i="5"/>
  <c r="M83" i="5"/>
  <c r="M84" i="5"/>
  <c r="M85" i="5"/>
  <c r="M86" i="5"/>
  <c r="M87" i="5"/>
  <c r="M88" i="5"/>
  <c r="M90" i="5"/>
  <c r="L82" i="5"/>
  <c r="L83" i="5"/>
  <c r="L84" i="5"/>
  <c r="L85" i="5"/>
  <c r="L86" i="5"/>
  <c r="L87" i="5"/>
  <c r="L88" i="5"/>
  <c r="L90" i="5"/>
  <c r="J82" i="5"/>
  <c r="J83" i="5"/>
  <c r="J84" i="5"/>
  <c r="J85" i="5"/>
  <c r="J86" i="5"/>
  <c r="J87" i="5"/>
  <c r="J88" i="5"/>
  <c r="J90" i="5"/>
  <c r="I82" i="5"/>
  <c r="I83" i="5"/>
  <c r="I84" i="5"/>
  <c r="I85" i="5"/>
  <c r="I86" i="5"/>
  <c r="I87" i="5"/>
  <c r="I88" i="5"/>
  <c r="I90" i="5"/>
  <c r="G82" i="5"/>
  <c r="G83" i="5"/>
  <c r="G84" i="5"/>
  <c r="G85" i="5"/>
  <c r="G86" i="5"/>
  <c r="G87" i="5"/>
  <c r="G88" i="5"/>
  <c r="G90" i="5"/>
  <c r="F82" i="5"/>
  <c r="F83" i="5"/>
  <c r="F84" i="5"/>
  <c r="F85" i="5"/>
  <c r="F86" i="5"/>
  <c r="F87" i="5"/>
  <c r="F88" i="5"/>
  <c r="F90" i="5"/>
  <c r="D82" i="5"/>
  <c r="D83" i="5"/>
  <c r="D84" i="5"/>
  <c r="D85" i="5"/>
  <c r="D86" i="5"/>
  <c r="D87" i="5"/>
  <c r="D88" i="5"/>
  <c r="D90" i="5"/>
  <c r="C82" i="5"/>
  <c r="C83" i="5"/>
  <c r="C84" i="5"/>
  <c r="C85" i="5"/>
  <c r="C86" i="5"/>
  <c r="C87" i="5"/>
  <c r="C88" i="5"/>
  <c r="C90" i="5"/>
  <c r="M81" i="5"/>
  <c r="L81" i="5"/>
  <c r="J81" i="5"/>
  <c r="I81" i="5"/>
  <c r="G81" i="5"/>
  <c r="F81" i="5"/>
  <c r="D81" i="5"/>
  <c r="C81" i="5"/>
  <c r="M70" i="5"/>
  <c r="M72" i="5"/>
  <c r="M73" i="5"/>
  <c r="M74" i="5"/>
  <c r="M75" i="5"/>
  <c r="M76" i="5"/>
  <c r="L70" i="5"/>
  <c r="L72" i="5"/>
  <c r="L73" i="5"/>
  <c r="L74" i="5"/>
  <c r="L75" i="5"/>
  <c r="L76" i="5"/>
  <c r="J70" i="5"/>
  <c r="J72" i="5"/>
  <c r="J73" i="5"/>
  <c r="J74" i="5"/>
  <c r="J75" i="5"/>
  <c r="J76" i="5"/>
  <c r="I70" i="5"/>
  <c r="I72" i="5"/>
  <c r="I73" i="5"/>
  <c r="I74" i="5"/>
  <c r="I75" i="5"/>
  <c r="I76" i="5"/>
  <c r="G70" i="5"/>
  <c r="G72" i="5"/>
  <c r="G73" i="5"/>
  <c r="G74" i="5"/>
  <c r="G75" i="5"/>
  <c r="G76" i="5"/>
  <c r="F70" i="5"/>
  <c r="F72" i="5"/>
  <c r="F73" i="5"/>
  <c r="F74" i="5"/>
  <c r="F75" i="5"/>
  <c r="F76" i="5"/>
  <c r="D70" i="5"/>
  <c r="D72" i="5"/>
  <c r="D73" i="5"/>
  <c r="D74" i="5"/>
  <c r="D75" i="5"/>
  <c r="D76" i="5"/>
  <c r="C70" i="5"/>
  <c r="C72" i="5"/>
  <c r="C73" i="5"/>
  <c r="C74" i="5"/>
  <c r="C75" i="5"/>
  <c r="C76" i="5"/>
  <c r="M69" i="5"/>
  <c r="L69" i="5"/>
  <c r="J69" i="5"/>
  <c r="I69" i="5"/>
  <c r="G69" i="5"/>
  <c r="F69" i="5"/>
  <c r="D69" i="5"/>
  <c r="C69" i="5"/>
  <c r="M58" i="5"/>
  <c r="M59" i="5"/>
  <c r="M60" i="5"/>
  <c r="M61" i="5"/>
  <c r="M62" i="5"/>
  <c r="M63" i="5"/>
  <c r="M64" i="5"/>
  <c r="M65" i="5"/>
  <c r="L58" i="5"/>
  <c r="L59" i="5"/>
  <c r="L60" i="5"/>
  <c r="L61" i="5"/>
  <c r="L62" i="5"/>
  <c r="L63" i="5"/>
  <c r="L64" i="5"/>
  <c r="L65" i="5"/>
  <c r="J58" i="5"/>
  <c r="J59" i="5"/>
  <c r="J60" i="5"/>
  <c r="J61" i="5"/>
  <c r="J62" i="5"/>
  <c r="J63" i="5"/>
  <c r="J64" i="5"/>
  <c r="J65" i="5"/>
  <c r="I58" i="5"/>
  <c r="I59" i="5"/>
  <c r="I60" i="5"/>
  <c r="I61" i="5"/>
  <c r="I62" i="5"/>
  <c r="I63" i="5"/>
  <c r="I64" i="5"/>
  <c r="I65" i="5"/>
  <c r="G58" i="5"/>
  <c r="G59" i="5"/>
  <c r="G60" i="5"/>
  <c r="G61" i="5"/>
  <c r="G62" i="5"/>
  <c r="G63" i="5"/>
  <c r="G64" i="5"/>
  <c r="G65" i="5"/>
  <c r="F58" i="5"/>
  <c r="F59" i="5"/>
  <c r="F60" i="5"/>
  <c r="F61" i="5"/>
  <c r="F62" i="5"/>
  <c r="F63" i="5"/>
  <c r="F64" i="5"/>
  <c r="F65" i="5"/>
  <c r="D58" i="5"/>
  <c r="D59" i="5"/>
  <c r="D60" i="5"/>
  <c r="D61" i="5"/>
  <c r="D62" i="5"/>
  <c r="D63" i="5"/>
  <c r="D64" i="5"/>
  <c r="D65" i="5"/>
  <c r="C58" i="5"/>
  <c r="C59" i="5"/>
  <c r="C60" i="5"/>
  <c r="C61" i="5"/>
  <c r="C62" i="5"/>
  <c r="C63" i="5"/>
  <c r="C64" i="5"/>
  <c r="C65" i="5"/>
  <c r="M57" i="5"/>
  <c r="L57" i="5"/>
  <c r="J57" i="5"/>
  <c r="I57" i="5"/>
  <c r="G57" i="5"/>
  <c r="F57" i="5"/>
  <c r="D57" i="5"/>
  <c r="C57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3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3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3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3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3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3" i="5"/>
  <c r="M36" i="5"/>
  <c r="L36" i="5"/>
  <c r="J36" i="5"/>
  <c r="I36" i="5"/>
  <c r="G36" i="5"/>
  <c r="F36" i="5"/>
  <c r="D36" i="5"/>
  <c r="C36" i="5"/>
  <c r="Q243" i="5"/>
  <c r="O243" i="5"/>
  <c r="L243" i="5"/>
  <c r="J243" i="5"/>
  <c r="I243" i="5"/>
  <c r="G243" i="5"/>
  <c r="F243" i="5"/>
  <c r="D243" i="5"/>
  <c r="C243" i="5"/>
  <c r="C22" i="5" s="1"/>
  <c r="R242" i="5"/>
  <c r="R243" i="5" s="1"/>
  <c r="P243" i="5" s="1"/>
  <c r="N242" i="5"/>
  <c r="K242" i="5"/>
  <c r="H242" i="5"/>
  <c r="R241" i="5"/>
  <c r="N241" i="5"/>
  <c r="K241" i="5"/>
  <c r="H241" i="5"/>
  <c r="E241" i="5"/>
  <c r="Q238" i="5"/>
  <c r="O238" i="5"/>
  <c r="M238" i="5"/>
  <c r="L238" i="5"/>
  <c r="J238" i="5"/>
  <c r="I238" i="5"/>
  <c r="G238" i="5"/>
  <c r="F238" i="5"/>
  <c r="D238" i="5"/>
  <c r="C238" i="5"/>
  <c r="R237" i="5"/>
  <c r="K237" i="5"/>
  <c r="H237" i="5"/>
  <c r="E237" i="5"/>
  <c r="R236" i="5"/>
  <c r="K236" i="5"/>
  <c r="H236" i="5"/>
  <c r="E236" i="5"/>
  <c r="R235" i="5"/>
  <c r="K235" i="5"/>
  <c r="H235" i="5"/>
  <c r="E235" i="5"/>
  <c r="R234" i="5"/>
  <c r="H234" i="5"/>
  <c r="E234" i="5"/>
  <c r="R233" i="5"/>
  <c r="R232" i="5"/>
  <c r="R231" i="5"/>
  <c r="E231" i="5"/>
  <c r="R230" i="5"/>
  <c r="H230" i="5"/>
  <c r="E230" i="5"/>
  <c r="R229" i="5"/>
  <c r="K229" i="5"/>
  <c r="H229" i="5"/>
  <c r="E229" i="5"/>
  <c r="Q225" i="5"/>
  <c r="O225" i="5"/>
  <c r="J225" i="5"/>
  <c r="I225" i="5"/>
  <c r="G225" i="5"/>
  <c r="F225" i="5"/>
  <c r="D225" i="5"/>
  <c r="C225" i="5"/>
  <c r="R224" i="5"/>
  <c r="N224" i="5"/>
  <c r="K224" i="5"/>
  <c r="H224" i="5"/>
  <c r="R223" i="5"/>
  <c r="R222" i="5"/>
  <c r="K222" i="5"/>
  <c r="H222" i="5"/>
  <c r="E222" i="5"/>
  <c r="R221" i="5"/>
  <c r="M225" i="5"/>
  <c r="K221" i="5"/>
  <c r="H221" i="5"/>
  <c r="E221" i="5"/>
  <c r="Q218" i="5"/>
  <c r="Q226" i="5" s="1"/>
  <c r="O218" i="5"/>
  <c r="O226" i="5" s="1"/>
  <c r="J218" i="5"/>
  <c r="J226" i="5" s="1"/>
  <c r="I218" i="5"/>
  <c r="I226" i="5" s="1"/>
  <c r="G218" i="5"/>
  <c r="G226" i="5" s="1"/>
  <c r="F218" i="5"/>
  <c r="D218" i="5"/>
  <c r="D226" i="5" s="1"/>
  <c r="C218" i="5"/>
  <c r="R217" i="5"/>
  <c r="R216" i="5"/>
  <c r="R215" i="5"/>
  <c r="N215" i="5"/>
  <c r="K215" i="5"/>
  <c r="H215" i="5"/>
  <c r="E215" i="5"/>
  <c r="R214" i="5"/>
  <c r="N214" i="5"/>
  <c r="K214" i="5"/>
  <c r="H214" i="5"/>
  <c r="E214" i="5"/>
  <c r="R213" i="5"/>
  <c r="N213" i="5"/>
  <c r="K213" i="5"/>
  <c r="H213" i="5"/>
  <c r="E213" i="5"/>
  <c r="R212" i="5"/>
  <c r="R211" i="5"/>
  <c r="M218" i="5"/>
  <c r="L218" i="5"/>
  <c r="K211" i="5"/>
  <c r="H211" i="5"/>
  <c r="E211" i="5"/>
  <c r="J206" i="5"/>
  <c r="I206" i="5"/>
  <c r="G206" i="5"/>
  <c r="F206" i="5"/>
  <c r="D206" i="5"/>
  <c r="C206" i="5"/>
  <c r="R205" i="5"/>
  <c r="K205" i="5"/>
  <c r="H205" i="5"/>
  <c r="E205" i="5"/>
  <c r="R204" i="5"/>
  <c r="K204" i="5"/>
  <c r="E204" i="5"/>
  <c r="R203" i="5"/>
  <c r="R202" i="5"/>
  <c r="N202" i="5"/>
  <c r="K202" i="5"/>
  <c r="H202" i="5"/>
  <c r="E202" i="5"/>
  <c r="R201" i="5"/>
  <c r="K201" i="5"/>
  <c r="H201" i="5"/>
  <c r="E201" i="5"/>
  <c r="R200" i="5"/>
  <c r="R199" i="5"/>
  <c r="K199" i="5"/>
  <c r="H199" i="5"/>
  <c r="E199" i="5"/>
  <c r="R198" i="5"/>
  <c r="N198" i="5"/>
  <c r="K198" i="5"/>
  <c r="H198" i="5"/>
  <c r="E198" i="5"/>
  <c r="R197" i="5"/>
  <c r="K197" i="5"/>
  <c r="H197" i="5"/>
  <c r="E197" i="5"/>
  <c r="R196" i="5"/>
  <c r="K196" i="5"/>
  <c r="H196" i="5"/>
  <c r="E196" i="5"/>
  <c r="R195" i="5"/>
  <c r="N195" i="5"/>
  <c r="K195" i="5"/>
  <c r="H195" i="5"/>
  <c r="E195" i="5"/>
  <c r="R194" i="5"/>
  <c r="N194" i="5"/>
  <c r="K194" i="5"/>
  <c r="H194" i="5"/>
  <c r="E194" i="5"/>
  <c r="R193" i="5"/>
  <c r="M206" i="5"/>
  <c r="N193" i="5"/>
  <c r="K193" i="5"/>
  <c r="H193" i="5"/>
  <c r="E193" i="5"/>
  <c r="R192" i="5"/>
  <c r="R191" i="5"/>
  <c r="N191" i="5"/>
  <c r="K191" i="5"/>
  <c r="H191" i="5"/>
  <c r="E191" i="5"/>
  <c r="Q189" i="5"/>
  <c r="P189" i="5"/>
  <c r="O189" i="5"/>
  <c r="Q188" i="5"/>
  <c r="O188" i="5"/>
  <c r="J188" i="5"/>
  <c r="I188" i="5"/>
  <c r="G188" i="5"/>
  <c r="F188" i="5"/>
  <c r="D188" i="5"/>
  <c r="C188" i="5"/>
  <c r="R187" i="5"/>
  <c r="E187" i="5"/>
  <c r="R186" i="5"/>
  <c r="K186" i="5"/>
  <c r="R185" i="5"/>
  <c r="M188" i="5"/>
  <c r="L188" i="5"/>
  <c r="K185" i="5"/>
  <c r="H185" i="5"/>
  <c r="E185" i="5"/>
  <c r="Q182" i="5"/>
  <c r="O182" i="5"/>
  <c r="J182" i="5"/>
  <c r="I182" i="5"/>
  <c r="I207" i="5" s="1"/>
  <c r="G182" i="5"/>
  <c r="G207" i="5" s="1"/>
  <c r="F182" i="5"/>
  <c r="F207" i="5" s="1"/>
  <c r="D182" i="5"/>
  <c r="D207" i="5" s="1"/>
  <c r="C182" i="5"/>
  <c r="C207" i="5" s="1"/>
  <c r="R181" i="5"/>
  <c r="N181" i="5"/>
  <c r="K181" i="5"/>
  <c r="H181" i="5"/>
  <c r="E181" i="5"/>
  <c r="R180" i="5"/>
  <c r="K180" i="5"/>
  <c r="H180" i="5"/>
  <c r="E180" i="5"/>
  <c r="R179" i="5"/>
  <c r="N179" i="5"/>
  <c r="K179" i="5"/>
  <c r="H179" i="5"/>
  <c r="E179" i="5"/>
  <c r="R178" i="5"/>
  <c r="R177" i="5"/>
  <c r="S176" i="5"/>
  <c r="R176" i="5"/>
  <c r="N176" i="5"/>
  <c r="K176" i="5"/>
  <c r="H176" i="5"/>
  <c r="E176" i="5"/>
  <c r="R175" i="5"/>
  <c r="R174" i="5"/>
  <c r="N174" i="5"/>
  <c r="K174" i="5"/>
  <c r="H174" i="5"/>
  <c r="E174" i="5"/>
  <c r="R173" i="5"/>
  <c r="N173" i="5"/>
  <c r="K173" i="5"/>
  <c r="H173" i="5"/>
  <c r="E173" i="5"/>
  <c r="R172" i="5"/>
  <c r="K172" i="5"/>
  <c r="H172" i="5"/>
  <c r="E172" i="5"/>
  <c r="R171" i="5"/>
  <c r="N171" i="5"/>
  <c r="K171" i="5"/>
  <c r="H171" i="5"/>
  <c r="E171" i="5"/>
  <c r="R170" i="5"/>
  <c r="R169" i="5"/>
  <c r="N169" i="5"/>
  <c r="K169" i="5"/>
  <c r="H169" i="5"/>
  <c r="E169" i="5"/>
  <c r="R168" i="5"/>
  <c r="N168" i="5"/>
  <c r="K168" i="5"/>
  <c r="H168" i="5"/>
  <c r="R167" i="5"/>
  <c r="N167" i="5"/>
  <c r="K167" i="5"/>
  <c r="H167" i="5"/>
  <c r="E167" i="5"/>
  <c r="R166" i="5"/>
  <c r="N166" i="5"/>
  <c r="K166" i="5"/>
  <c r="H166" i="5"/>
  <c r="E166" i="5"/>
  <c r="R165" i="5"/>
  <c r="N165" i="5"/>
  <c r="K165" i="5"/>
  <c r="H165" i="5"/>
  <c r="E165" i="5"/>
  <c r="R164" i="5"/>
  <c r="M182" i="5"/>
  <c r="L182" i="5"/>
  <c r="K164" i="5"/>
  <c r="H164" i="5"/>
  <c r="E164" i="5"/>
  <c r="Q160" i="5"/>
  <c r="O160" i="5"/>
  <c r="M160" i="5"/>
  <c r="L160" i="5"/>
  <c r="J160" i="5"/>
  <c r="I160" i="5"/>
  <c r="G160" i="5"/>
  <c r="F160" i="5"/>
  <c r="D160" i="5"/>
  <c r="C160" i="5"/>
  <c r="R159" i="5"/>
  <c r="R158" i="5"/>
  <c r="K158" i="5"/>
  <c r="H158" i="5"/>
  <c r="E158" i="5"/>
  <c r="R157" i="5"/>
  <c r="N157" i="5"/>
  <c r="K157" i="5"/>
  <c r="H157" i="5"/>
  <c r="E157" i="5"/>
  <c r="R155" i="5"/>
  <c r="N155" i="5"/>
  <c r="K155" i="5"/>
  <c r="H155" i="5"/>
  <c r="E155" i="5"/>
  <c r="R154" i="5"/>
  <c r="R160" i="5" s="1"/>
  <c r="P160" i="5" s="1"/>
  <c r="K154" i="5"/>
  <c r="H154" i="5"/>
  <c r="E154" i="5"/>
  <c r="Q150" i="5"/>
  <c r="O150" i="5"/>
  <c r="M150" i="5"/>
  <c r="J150" i="5"/>
  <c r="I150" i="5"/>
  <c r="G150" i="5"/>
  <c r="F150" i="5"/>
  <c r="D150" i="5"/>
  <c r="C150" i="5"/>
  <c r="R148" i="5"/>
  <c r="K148" i="5"/>
  <c r="H148" i="5"/>
  <c r="E148" i="5"/>
  <c r="R147" i="5"/>
  <c r="N147" i="5"/>
  <c r="L150" i="5"/>
  <c r="K147" i="5"/>
  <c r="H147" i="5"/>
  <c r="E147" i="5"/>
  <c r="R146" i="5"/>
  <c r="N146" i="5"/>
  <c r="K146" i="5"/>
  <c r="H146" i="5"/>
  <c r="E146" i="5"/>
  <c r="R145" i="5"/>
  <c r="K145" i="5"/>
  <c r="H145" i="5"/>
  <c r="E145" i="5"/>
  <c r="R144" i="5"/>
  <c r="N144" i="5"/>
  <c r="K144" i="5"/>
  <c r="H144" i="5"/>
  <c r="E144" i="5"/>
  <c r="R143" i="5"/>
  <c r="N143" i="5"/>
  <c r="K143" i="5"/>
  <c r="H143" i="5"/>
  <c r="E143" i="5"/>
  <c r="R142" i="5"/>
  <c r="R150" i="5" s="1"/>
  <c r="P150" i="5" s="1"/>
  <c r="N142" i="5"/>
  <c r="K142" i="5"/>
  <c r="H142" i="5"/>
  <c r="E142" i="5"/>
  <c r="Q139" i="5"/>
  <c r="Q151" i="5" s="1"/>
  <c r="O139" i="5"/>
  <c r="O151" i="5" s="1"/>
  <c r="M139" i="5"/>
  <c r="M151" i="5" s="1"/>
  <c r="L139" i="5"/>
  <c r="J139" i="5"/>
  <c r="J151" i="5" s="1"/>
  <c r="I139" i="5"/>
  <c r="I151" i="5" s="1"/>
  <c r="G139" i="5"/>
  <c r="G151" i="5" s="1"/>
  <c r="F139" i="5"/>
  <c r="F151" i="5" s="1"/>
  <c r="D139" i="5"/>
  <c r="D151" i="5" s="1"/>
  <c r="C139" i="5"/>
  <c r="C151" i="5" s="1"/>
  <c r="R138" i="5"/>
  <c r="R137" i="5"/>
  <c r="N137" i="5"/>
  <c r="K137" i="5"/>
  <c r="H137" i="5"/>
  <c r="E137" i="5"/>
  <c r="R136" i="5"/>
  <c r="N136" i="5"/>
  <c r="K136" i="5"/>
  <c r="H136" i="5"/>
  <c r="E136" i="5"/>
  <c r="R135" i="5"/>
  <c r="K135" i="5"/>
  <c r="H135" i="5"/>
  <c r="E135" i="5"/>
  <c r="R134" i="5"/>
  <c r="R139" i="5" s="1"/>
  <c r="N134" i="5"/>
  <c r="K134" i="5"/>
  <c r="H134" i="5"/>
  <c r="E134" i="5"/>
  <c r="Q131" i="5"/>
  <c r="O131" i="5"/>
  <c r="M131" i="5"/>
  <c r="L131" i="5"/>
  <c r="J131" i="5"/>
  <c r="I131" i="5"/>
  <c r="G131" i="5"/>
  <c r="F131" i="5"/>
  <c r="D131" i="5"/>
  <c r="R130" i="5"/>
  <c r="K130" i="5"/>
  <c r="H130" i="5"/>
  <c r="E130" i="5"/>
  <c r="R129" i="5"/>
  <c r="R128" i="5"/>
  <c r="K128" i="5"/>
  <c r="R127" i="5"/>
  <c r="R126" i="5"/>
  <c r="R125" i="5"/>
  <c r="K125" i="5"/>
  <c r="H125" i="5"/>
  <c r="E125" i="5"/>
  <c r="R124" i="5"/>
  <c r="R123" i="5"/>
  <c r="Q122" i="5"/>
  <c r="O122" i="5"/>
  <c r="M122" i="5"/>
  <c r="J122" i="5"/>
  <c r="I122" i="5"/>
  <c r="G122" i="5"/>
  <c r="F122" i="5"/>
  <c r="D122" i="5"/>
  <c r="C122" i="5"/>
  <c r="R121" i="5"/>
  <c r="K121" i="5"/>
  <c r="H121" i="5"/>
  <c r="E121" i="5"/>
  <c r="R120" i="5"/>
  <c r="K120" i="5"/>
  <c r="H120" i="5"/>
  <c r="E120" i="5"/>
  <c r="R119" i="5"/>
  <c r="K119" i="5"/>
  <c r="H119" i="5"/>
  <c r="E119" i="5"/>
  <c r="R118" i="5"/>
  <c r="K118" i="5"/>
  <c r="H118" i="5"/>
  <c r="E118" i="5"/>
  <c r="R117" i="5"/>
  <c r="H117" i="5"/>
  <c r="E117" i="5"/>
  <c r="R116" i="5"/>
  <c r="K116" i="5"/>
  <c r="H116" i="5"/>
  <c r="E116" i="5"/>
  <c r="R115" i="5"/>
  <c r="N115" i="5"/>
  <c r="K115" i="5"/>
  <c r="H115" i="5"/>
  <c r="E115" i="5"/>
  <c r="R114" i="5"/>
  <c r="R113" i="5"/>
  <c r="R112" i="5"/>
  <c r="R111" i="5"/>
  <c r="K111" i="5"/>
  <c r="H111" i="5"/>
  <c r="E111" i="5"/>
  <c r="R110" i="5"/>
  <c r="K110" i="5"/>
  <c r="H110" i="5"/>
  <c r="E110" i="5"/>
  <c r="R109" i="5"/>
  <c r="N109" i="5"/>
  <c r="H109" i="5"/>
  <c r="E109" i="5"/>
  <c r="R108" i="5"/>
  <c r="R107" i="5"/>
  <c r="K107" i="5"/>
  <c r="E107" i="5"/>
  <c r="R106" i="5"/>
  <c r="E106" i="5"/>
  <c r="R105" i="5"/>
  <c r="R104" i="5"/>
  <c r="N104" i="5"/>
  <c r="K104" i="5"/>
  <c r="E104" i="5"/>
  <c r="R103" i="5"/>
  <c r="R102" i="5"/>
  <c r="N102" i="5"/>
  <c r="K102" i="5"/>
  <c r="H102" i="5"/>
  <c r="E102" i="5"/>
  <c r="R101" i="5"/>
  <c r="R100" i="5"/>
  <c r="R99" i="5"/>
  <c r="N99" i="5"/>
  <c r="L122" i="5"/>
  <c r="K99" i="5"/>
  <c r="H99" i="5"/>
  <c r="E99" i="5"/>
  <c r="R98" i="5"/>
  <c r="R96" i="5"/>
  <c r="R95" i="5"/>
  <c r="R122" i="5" s="1"/>
  <c r="P122" i="5" s="1"/>
  <c r="N95" i="5"/>
  <c r="K95" i="5"/>
  <c r="Q92" i="5"/>
  <c r="O92" i="5"/>
  <c r="O17" i="5" s="1"/>
  <c r="J92" i="5"/>
  <c r="I92" i="5"/>
  <c r="G92" i="5"/>
  <c r="F92" i="5"/>
  <c r="D92" i="5"/>
  <c r="C92" i="5"/>
  <c r="R91" i="5"/>
  <c r="R90" i="5"/>
  <c r="N90" i="5"/>
  <c r="K90" i="5"/>
  <c r="H90" i="5"/>
  <c r="E90" i="5"/>
  <c r="R89" i="5"/>
  <c r="R88" i="5"/>
  <c r="M92" i="5"/>
  <c r="L92" i="5"/>
  <c r="K88" i="5"/>
  <c r="H88" i="5"/>
  <c r="E88" i="5"/>
  <c r="R87" i="5"/>
  <c r="R86" i="5"/>
  <c r="R85" i="5"/>
  <c r="N85" i="5"/>
  <c r="K85" i="5"/>
  <c r="H85" i="5"/>
  <c r="E85" i="5"/>
  <c r="R84" i="5"/>
  <c r="N84" i="5"/>
  <c r="K84" i="5"/>
  <c r="H84" i="5"/>
  <c r="E84" i="5"/>
  <c r="R83" i="5"/>
  <c r="N83" i="5"/>
  <c r="K83" i="5"/>
  <c r="H83" i="5"/>
  <c r="E83" i="5"/>
  <c r="R82" i="5"/>
  <c r="N82" i="5"/>
  <c r="K82" i="5"/>
  <c r="H82" i="5"/>
  <c r="E82" i="5"/>
  <c r="R81" i="5"/>
  <c r="R92" i="5" s="1"/>
  <c r="P92" i="5" s="1"/>
  <c r="E81" i="5"/>
  <c r="Q77" i="5"/>
  <c r="O77" i="5"/>
  <c r="R76" i="5"/>
  <c r="K76" i="5"/>
  <c r="E76" i="5"/>
  <c r="R75" i="5"/>
  <c r="N75" i="5"/>
  <c r="K75" i="5"/>
  <c r="H75" i="5"/>
  <c r="E75" i="5"/>
  <c r="R74" i="5"/>
  <c r="N74" i="5"/>
  <c r="K74" i="5"/>
  <c r="E74" i="5"/>
  <c r="R73" i="5"/>
  <c r="K73" i="5"/>
  <c r="H73" i="5"/>
  <c r="E73" i="5"/>
  <c r="R72" i="5"/>
  <c r="K72" i="5"/>
  <c r="E72" i="5"/>
  <c r="R71" i="5"/>
  <c r="R70" i="5"/>
  <c r="N70" i="5"/>
  <c r="K70" i="5"/>
  <c r="E70" i="5"/>
  <c r="R69" i="5"/>
  <c r="R77" i="5" s="1"/>
  <c r="P77" i="5" s="1"/>
  <c r="P16" i="5" s="1"/>
  <c r="K69" i="5"/>
  <c r="H69" i="5"/>
  <c r="E69" i="5"/>
  <c r="Q66" i="5"/>
  <c r="O66" i="5"/>
  <c r="M66" i="5"/>
  <c r="J66" i="5"/>
  <c r="I66" i="5"/>
  <c r="G66" i="5"/>
  <c r="F66" i="5"/>
  <c r="D66" i="5"/>
  <c r="R65" i="5"/>
  <c r="R64" i="5"/>
  <c r="R63" i="5"/>
  <c r="N63" i="5"/>
  <c r="K63" i="5"/>
  <c r="H63" i="5"/>
  <c r="E63" i="5"/>
  <c r="R62" i="5"/>
  <c r="N62" i="5"/>
  <c r="K62" i="5"/>
  <c r="H62" i="5"/>
  <c r="E62" i="5"/>
  <c r="R61" i="5"/>
  <c r="R60" i="5"/>
  <c r="L66" i="5"/>
  <c r="K60" i="5"/>
  <c r="H60" i="5"/>
  <c r="E60" i="5"/>
  <c r="R59" i="5"/>
  <c r="K59" i="5"/>
  <c r="H59" i="5"/>
  <c r="R58" i="5"/>
  <c r="K58" i="5"/>
  <c r="H58" i="5"/>
  <c r="E58" i="5"/>
  <c r="R57" i="5"/>
  <c r="N57" i="5"/>
  <c r="K57" i="5"/>
  <c r="H57" i="5"/>
  <c r="E57" i="5"/>
  <c r="Q54" i="5"/>
  <c r="Q78" i="5" s="1"/>
  <c r="O54" i="5"/>
  <c r="O78" i="5" s="1"/>
  <c r="J54" i="5"/>
  <c r="I54" i="5"/>
  <c r="G54" i="5"/>
  <c r="F54" i="5"/>
  <c r="D54" i="5"/>
  <c r="C54" i="5"/>
  <c r="R53" i="5"/>
  <c r="M54" i="5"/>
  <c r="E53" i="5"/>
  <c r="R52" i="5"/>
  <c r="R51" i="5"/>
  <c r="R50" i="5"/>
  <c r="R49" i="5"/>
  <c r="K49" i="5"/>
  <c r="H49" i="5"/>
  <c r="E49" i="5"/>
  <c r="R48" i="5"/>
  <c r="K48" i="5"/>
  <c r="H48" i="5"/>
  <c r="E48" i="5"/>
  <c r="R47" i="5"/>
  <c r="N47" i="5"/>
  <c r="K47" i="5"/>
  <c r="H47" i="5"/>
  <c r="E47" i="5"/>
  <c r="R46" i="5"/>
  <c r="R45" i="5"/>
  <c r="N45" i="5"/>
  <c r="K45" i="5"/>
  <c r="H45" i="5"/>
  <c r="E45" i="5"/>
  <c r="R44" i="5"/>
  <c r="K44" i="5"/>
  <c r="H44" i="5"/>
  <c r="E44" i="5"/>
  <c r="R43" i="5"/>
  <c r="K43" i="5"/>
  <c r="H43" i="5"/>
  <c r="E43" i="5"/>
  <c r="R42" i="5"/>
  <c r="R41" i="5"/>
  <c r="K41" i="5"/>
  <c r="H41" i="5"/>
  <c r="E41" i="5"/>
  <c r="R40" i="5"/>
  <c r="N40" i="5"/>
  <c r="K40" i="5"/>
  <c r="H40" i="5"/>
  <c r="E40" i="5"/>
  <c r="R39" i="5"/>
  <c r="K39" i="5"/>
  <c r="H39" i="5"/>
  <c r="E39" i="5"/>
  <c r="R38" i="5"/>
  <c r="K38" i="5"/>
  <c r="H38" i="5"/>
  <c r="E38" i="5"/>
  <c r="R37" i="5"/>
  <c r="N37" i="5"/>
  <c r="L54" i="5"/>
  <c r="K37" i="5"/>
  <c r="H37" i="5"/>
  <c r="E37" i="5"/>
  <c r="R36" i="5"/>
  <c r="R54" i="5" s="1"/>
  <c r="K36" i="5"/>
  <c r="H36" i="5"/>
  <c r="E36" i="5"/>
  <c r="Q22" i="5"/>
  <c r="P22" i="5"/>
  <c r="O22" i="5"/>
  <c r="L22" i="5"/>
  <c r="J22" i="5"/>
  <c r="I22" i="5"/>
  <c r="G22" i="5"/>
  <c r="F22" i="5"/>
  <c r="D22" i="5"/>
  <c r="Q21" i="5"/>
  <c r="O21" i="5"/>
  <c r="M21" i="5"/>
  <c r="L21" i="5"/>
  <c r="J21" i="5"/>
  <c r="I21" i="5"/>
  <c r="G21" i="5"/>
  <c r="F21" i="5"/>
  <c r="D21" i="5"/>
  <c r="C21" i="5"/>
  <c r="Q20" i="5"/>
  <c r="O20" i="5"/>
  <c r="N20" i="5"/>
  <c r="M20" i="5"/>
  <c r="L20" i="5"/>
  <c r="J20" i="5"/>
  <c r="I20" i="5"/>
  <c r="G20" i="5"/>
  <c r="F20" i="5"/>
  <c r="D20" i="5"/>
  <c r="Q19" i="5"/>
  <c r="P19" i="5"/>
  <c r="O19" i="5"/>
  <c r="M19" i="5"/>
  <c r="L19" i="5"/>
  <c r="J19" i="5"/>
  <c r="I19" i="5"/>
  <c r="G19" i="5"/>
  <c r="F19" i="5"/>
  <c r="D19" i="5"/>
  <c r="C19" i="5"/>
  <c r="I18" i="5"/>
  <c r="G18" i="5"/>
  <c r="F18" i="5"/>
  <c r="D18" i="5"/>
  <c r="C18" i="5"/>
  <c r="Q17" i="5"/>
  <c r="P17" i="5"/>
  <c r="M17" i="5"/>
  <c r="L17" i="5"/>
  <c r="J17" i="5"/>
  <c r="I17" i="5"/>
  <c r="G17" i="5"/>
  <c r="F17" i="5"/>
  <c r="D17" i="5"/>
  <c r="C17" i="5"/>
  <c r="Q16" i="5"/>
  <c r="O16" i="5"/>
  <c r="Q15" i="5"/>
  <c r="O15" i="5"/>
  <c r="M15" i="5"/>
  <c r="J15" i="5"/>
  <c r="I15" i="5"/>
  <c r="G15" i="5"/>
  <c r="F15" i="5"/>
  <c r="D15" i="5"/>
  <c r="Q14" i="5"/>
  <c r="O14" i="5"/>
  <c r="J14" i="5"/>
  <c r="I14" i="5"/>
  <c r="G14" i="5"/>
  <c r="F14" i="5"/>
  <c r="D14" i="5"/>
  <c r="C14" i="5"/>
  <c r="Q13" i="5"/>
  <c r="O13" i="5"/>
  <c r="J13" i="5"/>
  <c r="I13" i="5"/>
  <c r="G13" i="5"/>
  <c r="D13" i="5"/>
  <c r="Q12" i="5"/>
  <c r="P12" i="5"/>
  <c r="O12" i="5"/>
  <c r="R12" i="5" s="1"/>
  <c r="M12" i="5"/>
  <c r="L12" i="5"/>
  <c r="J12" i="5"/>
  <c r="I12" i="5"/>
  <c r="G12" i="5"/>
  <c r="F12" i="5"/>
  <c r="D12" i="5"/>
  <c r="C12" i="5"/>
  <c r="Q11" i="5"/>
  <c r="P11" i="5"/>
  <c r="O11" i="5"/>
  <c r="M11" i="5"/>
  <c r="L11" i="5"/>
  <c r="J11" i="5"/>
  <c r="I11" i="5"/>
  <c r="G11" i="5"/>
  <c r="F11" i="5"/>
  <c r="D11" i="5"/>
  <c r="C11" i="5"/>
  <c r="R10" i="5"/>
  <c r="Q10" i="5"/>
  <c r="O10" i="5"/>
  <c r="M10" i="5"/>
  <c r="L10" i="5"/>
  <c r="J10" i="5"/>
  <c r="I10" i="5"/>
  <c r="G10" i="5"/>
  <c r="F10" i="5"/>
  <c r="D10" i="5"/>
  <c r="C10" i="5"/>
  <c r="P203" i="1" l="1"/>
  <c r="P18" i="1" s="1"/>
  <c r="R18" i="1"/>
  <c r="M18" i="1"/>
  <c r="M23" i="1" s="1"/>
  <c r="N23" i="1" s="1"/>
  <c r="N203" i="1"/>
  <c r="N18" i="1" s="1"/>
  <c r="N207" i="2"/>
  <c r="N18" i="2" s="1"/>
  <c r="M18" i="2"/>
  <c r="M23" i="2" s="1"/>
  <c r="N23" i="2" s="1"/>
  <c r="P182" i="5"/>
  <c r="E242" i="5"/>
  <c r="K243" i="5"/>
  <c r="K22" i="5" s="1"/>
  <c r="H243" i="5"/>
  <c r="H22" i="5" s="1"/>
  <c r="E243" i="5"/>
  <c r="E22" i="5" s="1"/>
  <c r="N238" i="5"/>
  <c r="N21" i="5" s="1"/>
  <c r="K238" i="5"/>
  <c r="K21" i="5" s="1"/>
  <c r="H238" i="5"/>
  <c r="H21" i="5" s="1"/>
  <c r="E238" i="5"/>
  <c r="E21" i="5" s="1"/>
  <c r="C226" i="5"/>
  <c r="C13" i="5" s="1"/>
  <c r="M226" i="5"/>
  <c r="M13" i="5" s="1"/>
  <c r="K225" i="5"/>
  <c r="E225" i="5"/>
  <c r="K226" i="5"/>
  <c r="K13" i="5" s="1"/>
  <c r="H218" i="5"/>
  <c r="E226" i="5"/>
  <c r="E13" i="5" s="1"/>
  <c r="C131" i="5"/>
  <c r="C20" i="5" s="1"/>
  <c r="R11" i="5"/>
  <c r="R17" i="5"/>
  <c r="R19" i="5"/>
  <c r="R22" i="5"/>
  <c r="R66" i="5"/>
  <c r="P66" i="5" s="1"/>
  <c r="P15" i="5" s="1"/>
  <c r="R15" i="5" s="1"/>
  <c r="R182" i="5"/>
  <c r="R206" i="5"/>
  <c r="R218" i="5"/>
  <c r="N221" i="5"/>
  <c r="R225" i="5"/>
  <c r="P225" i="5" s="1"/>
  <c r="R238" i="5"/>
  <c r="P238" i="5" s="1"/>
  <c r="P21" i="5" s="1"/>
  <c r="R21" i="5" s="1"/>
  <c r="C66" i="5"/>
  <c r="C15" i="5" s="1"/>
  <c r="H76" i="5"/>
  <c r="H72" i="5"/>
  <c r="K206" i="5"/>
  <c r="H206" i="5"/>
  <c r="E206" i="5"/>
  <c r="J207" i="5"/>
  <c r="J18" i="5" s="1"/>
  <c r="K188" i="5"/>
  <c r="H188" i="5"/>
  <c r="E188" i="5"/>
  <c r="K207" i="5"/>
  <c r="K18" i="5" s="1"/>
  <c r="H207" i="5"/>
  <c r="H18" i="5" s="1"/>
  <c r="E207" i="5"/>
  <c r="E18" i="5" s="1"/>
  <c r="N160" i="5"/>
  <c r="N12" i="5" s="1"/>
  <c r="K160" i="5"/>
  <c r="K12" i="5" s="1"/>
  <c r="H160" i="5"/>
  <c r="H12" i="5" s="1"/>
  <c r="E160" i="5"/>
  <c r="E12" i="5" s="1"/>
  <c r="N150" i="5"/>
  <c r="N11" i="5" s="1"/>
  <c r="K150" i="5"/>
  <c r="K11" i="5" s="1"/>
  <c r="H150" i="5"/>
  <c r="H11" i="5" s="1"/>
  <c r="E150" i="5"/>
  <c r="E11" i="5" s="1"/>
  <c r="R131" i="5"/>
  <c r="P131" i="5" s="1"/>
  <c r="P20" i="5" s="1"/>
  <c r="R20" i="5" s="1"/>
  <c r="K131" i="5"/>
  <c r="K20" i="5" s="1"/>
  <c r="H131" i="5"/>
  <c r="H20" i="5" s="1"/>
  <c r="E131" i="5"/>
  <c r="E20" i="5" s="1"/>
  <c r="N122" i="5"/>
  <c r="N19" i="5" s="1"/>
  <c r="K122" i="5"/>
  <c r="K19" i="5" s="1"/>
  <c r="H122" i="5"/>
  <c r="H19" i="5" s="1"/>
  <c r="E122" i="5"/>
  <c r="E19" i="5" s="1"/>
  <c r="K92" i="5"/>
  <c r="K17" i="5" s="1"/>
  <c r="H92" i="5"/>
  <c r="H17" i="5" s="1"/>
  <c r="E92" i="5"/>
  <c r="E17" i="5" s="1"/>
  <c r="H70" i="5"/>
  <c r="E59" i="5"/>
  <c r="K66" i="5"/>
  <c r="K15" i="5" s="1"/>
  <c r="H66" i="5"/>
  <c r="H15" i="5" s="1"/>
  <c r="E66" i="5"/>
  <c r="E15" i="5" s="1"/>
  <c r="R16" i="5"/>
  <c r="R78" i="5"/>
  <c r="P78" i="5" s="1"/>
  <c r="P54" i="5"/>
  <c r="P14" i="5" s="1"/>
  <c r="R14" i="5" s="1"/>
  <c r="L14" i="5"/>
  <c r="N54" i="5"/>
  <c r="N14" i="5" s="1"/>
  <c r="M14" i="5"/>
  <c r="N66" i="5"/>
  <c r="N15" i="5" s="1"/>
  <c r="L15" i="5"/>
  <c r="H54" i="5"/>
  <c r="H14" i="5" s="1"/>
  <c r="N92" i="5"/>
  <c r="N17" i="5" s="1"/>
  <c r="R151" i="5"/>
  <c r="P151" i="5" s="1"/>
  <c r="P139" i="5"/>
  <c r="P10" i="5" s="1"/>
  <c r="E151" i="5"/>
  <c r="H151" i="5"/>
  <c r="K151" i="5"/>
  <c r="L151" i="5"/>
  <c r="N151" i="5" s="1"/>
  <c r="M207" i="5"/>
  <c r="M18" i="5" s="1"/>
  <c r="N188" i="5"/>
  <c r="N218" i="5"/>
  <c r="P218" i="5"/>
  <c r="R226" i="5"/>
  <c r="E54" i="5"/>
  <c r="E14" i="5" s="1"/>
  <c r="K54" i="5"/>
  <c r="K14" i="5" s="1"/>
  <c r="N182" i="5"/>
  <c r="N88" i="5"/>
  <c r="E139" i="5"/>
  <c r="E10" i="5" s="1"/>
  <c r="K139" i="5"/>
  <c r="K10" i="5" s="1"/>
  <c r="N164" i="5"/>
  <c r="H182" i="5"/>
  <c r="N185" i="5"/>
  <c r="L206" i="5"/>
  <c r="N206" i="5" s="1"/>
  <c r="N211" i="5"/>
  <c r="E218" i="5"/>
  <c r="K218" i="5"/>
  <c r="L225" i="5"/>
  <c r="N225" i="5" s="1"/>
  <c r="F226" i="5"/>
  <c r="M243" i="5"/>
  <c r="M22" i="5" s="1"/>
  <c r="H139" i="5"/>
  <c r="H10" i="5" s="1"/>
  <c r="N139" i="5"/>
  <c r="N10" i="5" s="1"/>
  <c r="E182" i="5"/>
  <c r="K182" i="5"/>
  <c r="O206" i="5"/>
  <c r="P206" i="5" s="1"/>
  <c r="Q206" i="5"/>
  <c r="Q18" i="5" s="1"/>
  <c r="Q23" i="5" s="1"/>
  <c r="R207" i="5" l="1"/>
  <c r="O207" i="5"/>
  <c r="H226" i="5"/>
  <c r="H13" i="5" s="1"/>
  <c r="F13" i="5"/>
  <c r="N243" i="5"/>
  <c r="N22" i="5" s="1"/>
  <c r="L207" i="5"/>
  <c r="P226" i="5"/>
  <c r="P13" i="5" s="1"/>
  <c r="R13" i="5"/>
  <c r="L226" i="5"/>
  <c r="Q207" i="5"/>
  <c r="N207" i="5" l="1"/>
  <c r="N18" i="5" s="1"/>
  <c r="L18" i="5"/>
  <c r="N226" i="5"/>
  <c r="N13" i="5" s="1"/>
  <c r="L13" i="5"/>
  <c r="O18" i="5"/>
  <c r="P207" i="5"/>
  <c r="P18" i="5" s="1"/>
  <c r="R18" i="5" l="1"/>
  <c r="R23" i="5" s="1"/>
  <c r="O23" i="5"/>
  <c r="P23" i="5" l="1"/>
  <c r="E107" i="4" l="1"/>
  <c r="M196" i="4"/>
  <c r="K167" i="4"/>
  <c r="M185" i="4" l="1"/>
  <c r="L185" i="4"/>
  <c r="H120" i="4"/>
  <c r="E120" i="4"/>
  <c r="L181" i="4"/>
  <c r="M173" i="4"/>
  <c r="L187" i="4"/>
  <c r="L197" i="4"/>
  <c r="M169" i="4"/>
  <c r="L169" i="4"/>
  <c r="M168" i="4" l="1"/>
  <c r="L168" i="4"/>
  <c r="E167" i="4"/>
  <c r="E168" i="4"/>
  <c r="N166" i="4"/>
  <c r="L166" i="4"/>
  <c r="H166" i="4"/>
  <c r="E166" i="4"/>
  <c r="M165" i="4"/>
  <c r="M194" i="4"/>
  <c r="L194" i="4"/>
  <c r="M193" i="4"/>
  <c r="L193" i="4"/>
  <c r="N242" i="4"/>
  <c r="K242" i="4"/>
  <c r="H242" i="4"/>
  <c r="H76" i="4"/>
  <c r="L224" i="4"/>
  <c r="M241" i="4" l="1"/>
  <c r="N187" i="4" l="1"/>
  <c r="N186" i="4"/>
  <c r="K186" i="4"/>
  <c r="K187" i="4"/>
  <c r="H186" i="4"/>
  <c r="H187" i="4"/>
  <c r="E186" i="4"/>
  <c r="E187" i="4"/>
  <c r="L75" i="4"/>
  <c r="L60" i="4"/>
  <c r="M88" i="4"/>
  <c r="L88" i="4"/>
  <c r="M53" i="4"/>
  <c r="M221" i="4"/>
  <c r="L221" i="4"/>
  <c r="M179" i="4" l="1"/>
  <c r="M90" i="4"/>
  <c r="L90" i="4"/>
  <c r="M164" i="4"/>
  <c r="L164" i="4"/>
  <c r="M174" i="4"/>
  <c r="L99" i="4"/>
  <c r="L37" i="4"/>
  <c r="M211" i="4"/>
  <c r="L211" i="4"/>
  <c r="L147" i="4"/>
  <c r="E148" i="4"/>
  <c r="H236" i="4"/>
  <c r="E236" i="4"/>
  <c r="H235" i="4"/>
  <c r="H234" i="4"/>
  <c r="E36" i="4" l="1"/>
  <c r="H36" i="4"/>
  <c r="K36" i="4"/>
  <c r="E37" i="4"/>
  <c r="H37" i="4"/>
  <c r="K37" i="4"/>
  <c r="N37" i="4"/>
  <c r="K49" i="4" l="1"/>
  <c r="K52" i="4"/>
  <c r="S176" i="4"/>
  <c r="C150" i="4" l="1"/>
  <c r="C11" i="4" s="1"/>
  <c r="C139" i="4"/>
  <c r="D139" i="4"/>
  <c r="D10" i="4" s="1"/>
  <c r="Q188" i="4" l="1"/>
  <c r="O188" i="4"/>
  <c r="O189" i="4"/>
  <c r="Q189" i="4"/>
  <c r="L188" i="4"/>
  <c r="M188" i="4"/>
  <c r="I188" i="4"/>
  <c r="J188" i="4"/>
  <c r="F188" i="4"/>
  <c r="G188" i="4"/>
  <c r="D188" i="4"/>
  <c r="C188" i="4"/>
  <c r="R185" i="4"/>
  <c r="R187" i="4" l="1"/>
  <c r="R186" i="4"/>
  <c r="P189" i="4"/>
  <c r="K185" i="4"/>
  <c r="H185" i="4"/>
  <c r="E185" i="4"/>
  <c r="N185" i="4"/>
  <c r="D243" i="4" l="1"/>
  <c r="D22" i="4" s="1"/>
  <c r="C243" i="4"/>
  <c r="C22" i="4" s="1"/>
  <c r="E176" i="4"/>
  <c r="M71" i="4" l="1"/>
  <c r="M71" i="5" s="1"/>
  <c r="M77" i="5" s="1"/>
  <c r="L71" i="4"/>
  <c r="L71" i="5" s="1"/>
  <c r="L77" i="5" s="1"/>
  <c r="J71" i="4"/>
  <c r="J71" i="5" s="1"/>
  <c r="J77" i="5" s="1"/>
  <c r="I71" i="4"/>
  <c r="I71" i="5" s="1"/>
  <c r="I77" i="5" s="1"/>
  <c r="G71" i="4"/>
  <c r="G71" i="5" s="1"/>
  <c r="G77" i="5" s="1"/>
  <c r="F71" i="4"/>
  <c r="F71" i="5" s="1"/>
  <c r="F77" i="5" s="1"/>
  <c r="D71" i="4"/>
  <c r="D71" i="5" s="1"/>
  <c r="D77" i="5" s="1"/>
  <c r="C71" i="4"/>
  <c r="C71" i="5" s="1"/>
  <c r="C77" i="5" s="1"/>
  <c r="F66" i="4"/>
  <c r="F15" i="4" s="1"/>
  <c r="Q243" i="4"/>
  <c r="O243" i="4"/>
  <c r="L243" i="4"/>
  <c r="L22" i="4" s="1"/>
  <c r="J243" i="4"/>
  <c r="J22" i="4" s="1"/>
  <c r="I243" i="4"/>
  <c r="I22" i="4" s="1"/>
  <c r="G243" i="4"/>
  <c r="G22" i="4" s="1"/>
  <c r="F243" i="4"/>
  <c r="F22" i="4" s="1"/>
  <c r="R242" i="4"/>
  <c r="R243" i="4" s="1"/>
  <c r="P243" i="4" s="1"/>
  <c r="E242" i="4"/>
  <c r="R241" i="4"/>
  <c r="M243" i="4"/>
  <c r="M22" i="4" s="1"/>
  <c r="K241" i="4"/>
  <c r="H241" i="4"/>
  <c r="E241" i="4"/>
  <c r="Q238" i="4"/>
  <c r="O238" i="4"/>
  <c r="M238" i="4"/>
  <c r="M21" i="4" s="1"/>
  <c r="L238" i="4"/>
  <c r="L21" i="4" s="1"/>
  <c r="J238" i="4"/>
  <c r="J21" i="4" s="1"/>
  <c r="I238" i="4"/>
  <c r="I21" i="4" s="1"/>
  <c r="G238" i="4"/>
  <c r="G21" i="4" s="1"/>
  <c r="F238" i="4"/>
  <c r="F21" i="4" s="1"/>
  <c r="D238" i="4"/>
  <c r="D21" i="4" s="1"/>
  <c r="C238" i="4"/>
  <c r="C21" i="4" s="1"/>
  <c r="R237" i="4"/>
  <c r="K237" i="4"/>
  <c r="H237" i="4"/>
  <c r="E237" i="4"/>
  <c r="R236" i="4"/>
  <c r="K236" i="4"/>
  <c r="R235" i="4"/>
  <c r="K235" i="4"/>
  <c r="E235" i="4"/>
  <c r="R234" i="4"/>
  <c r="E234" i="4"/>
  <c r="R233" i="4"/>
  <c r="H233" i="4"/>
  <c r="E233" i="4"/>
  <c r="R232" i="4"/>
  <c r="R231" i="4"/>
  <c r="E231" i="4"/>
  <c r="R230" i="4"/>
  <c r="H230" i="4"/>
  <c r="E230" i="4"/>
  <c r="R229" i="4"/>
  <c r="K229" i="4"/>
  <c r="H229" i="4"/>
  <c r="E229" i="4"/>
  <c r="Q225" i="4"/>
  <c r="O225" i="4"/>
  <c r="J225" i="4"/>
  <c r="I225" i="4"/>
  <c r="G225" i="4"/>
  <c r="F225" i="4"/>
  <c r="D225" i="4"/>
  <c r="C225" i="4"/>
  <c r="R224" i="4"/>
  <c r="N224" i="4"/>
  <c r="K224" i="4"/>
  <c r="H224" i="4"/>
  <c r="E224" i="4"/>
  <c r="R223" i="4"/>
  <c r="R222" i="4"/>
  <c r="K222" i="4"/>
  <c r="H222" i="4"/>
  <c r="E222" i="4"/>
  <c r="R221" i="4"/>
  <c r="R225" i="4" s="1"/>
  <c r="P225" i="4" s="1"/>
  <c r="M225" i="4"/>
  <c r="L225" i="4"/>
  <c r="K221" i="4"/>
  <c r="H221" i="4"/>
  <c r="E221" i="4"/>
  <c r="Q218" i="4"/>
  <c r="Q226" i="4" s="1"/>
  <c r="O218" i="4"/>
  <c r="O226" i="4" s="1"/>
  <c r="J218" i="4"/>
  <c r="J226" i="4" s="1"/>
  <c r="J13" i="4" s="1"/>
  <c r="I218" i="4"/>
  <c r="I226" i="4" s="1"/>
  <c r="I13" i="4" s="1"/>
  <c r="G218" i="4"/>
  <c r="G226" i="4" s="1"/>
  <c r="G13" i="4" s="1"/>
  <c r="F218" i="4"/>
  <c r="F226" i="4" s="1"/>
  <c r="F13" i="4" s="1"/>
  <c r="D218" i="4"/>
  <c r="D226" i="4" s="1"/>
  <c r="D13" i="4" s="1"/>
  <c r="C218" i="4"/>
  <c r="C226" i="4" s="1"/>
  <c r="C13" i="4" s="1"/>
  <c r="R217" i="4"/>
  <c r="R216" i="4"/>
  <c r="R215" i="4"/>
  <c r="N215" i="4"/>
  <c r="K215" i="4"/>
  <c r="H215" i="4"/>
  <c r="E215" i="4"/>
  <c r="R214" i="4"/>
  <c r="N214" i="4"/>
  <c r="K214" i="4"/>
  <c r="H214" i="4"/>
  <c r="E214" i="4"/>
  <c r="R213" i="4"/>
  <c r="N213" i="4"/>
  <c r="K213" i="4"/>
  <c r="H213" i="4"/>
  <c r="E213" i="4"/>
  <c r="R212" i="4"/>
  <c r="R211" i="4"/>
  <c r="M218" i="4"/>
  <c r="M226" i="4" s="1"/>
  <c r="M13" i="4" s="1"/>
  <c r="N211" i="4"/>
  <c r="K211" i="4"/>
  <c r="H211" i="4"/>
  <c r="E211" i="4"/>
  <c r="J206" i="4"/>
  <c r="I206" i="4"/>
  <c r="G206" i="4"/>
  <c r="F206" i="4"/>
  <c r="D206" i="4"/>
  <c r="C206" i="4"/>
  <c r="R205" i="4"/>
  <c r="K205" i="4"/>
  <c r="H205" i="4"/>
  <c r="E205" i="4"/>
  <c r="R204" i="4"/>
  <c r="K204" i="4"/>
  <c r="E204" i="4"/>
  <c r="R203" i="4"/>
  <c r="K203" i="4"/>
  <c r="H203" i="4"/>
  <c r="E203" i="4"/>
  <c r="R202" i="4"/>
  <c r="N202" i="4"/>
  <c r="K202" i="4"/>
  <c r="H202" i="4"/>
  <c r="E202" i="4"/>
  <c r="R201" i="4"/>
  <c r="K201" i="4"/>
  <c r="H201" i="4"/>
  <c r="E201" i="4"/>
  <c r="R200" i="4"/>
  <c r="N200" i="4"/>
  <c r="K200" i="4"/>
  <c r="H200" i="4"/>
  <c r="E200" i="4"/>
  <c r="R199" i="4"/>
  <c r="K199" i="4"/>
  <c r="H199" i="4"/>
  <c r="E199" i="4"/>
  <c r="R198" i="4"/>
  <c r="N198" i="4"/>
  <c r="K198" i="4"/>
  <c r="H198" i="4"/>
  <c r="E198" i="4"/>
  <c r="R197" i="4"/>
  <c r="K197" i="4"/>
  <c r="H197" i="4"/>
  <c r="E197" i="4"/>
  <c r="R196" i="4"/>
  <c r="K196" i="4"/>
  <c r="H196" i="4"/>
  <c r="E196" i="4"/>
  <c r="R195" i="4"/>
  <c r="N195" i="4"/>
  <c r="K195" i="4"/>
  <c r="H195" i="4"/>
  <c r="E195" i="4"/>
  <c r="R194" i="4"/>
  <c r="N194" i="4"/>
  <c r="K194" i="4"/>
  <c r="H194" i="4"/>
  <c r="E194" i="4"/>
  <c r="R193" i="4"/>
  <c r="N193" i="4"/>
  <c r="K193" i="4"/>
  <c r="H193" i="4"/>
  <c r="E193" i="4"/>
  <c r="R192" i="4"/>
  <c r="M206" i="4"/>
  <c r="L206" i="4"/>
  <c r="K192" i="4"/>
  <c r="H192" i="4"/>
  <c r="E192" i="4"/>
  <c r="R191" i="4"/>
  <c r="N191" i="4"/>
  <c r="K191" i="4"/>
  <c r="H191" i="4"/>
  <c r="E191" i="4"/>
  <c r="Q182" i="4"/>
  <c r="O182" i="4"/>
  <c r="J182" i="4"/>
  <c r="I182" i="4"/>
  <c r="G182" i="4"/>
  <c r="F182" i="4"/>
  <c r="D182" i="4"/>
  <c r="C182" i="4"/>
  <c r="R181" i="4"/>
  <c r="N181" i="4"/>
  <c r="K181" i="4"/>
  <c r="H181" i="4"/>
  <c r="E181" i="4"/>
  <c r="R180" i="4"/>
  <c r="K180" i="4"/>
  <c r="H180" i="4"/>
  <c r="E180" i="4"/>
  <c r="R179" i="4"/>
  <c r="N179" i="4"/>
  <c r="K179" i="4"/>
  <c r="H179" i="4"/>
  <c r="E179" i="4"/>
  <c r="R178" i="4"/>
  <c r="N178" i="4"/>
  <c r="K178" i="4"/>
  <c r="H178" i="4"/>
  <c r="E178" i="4"/>
  <c r="R177" i="4"/>
  <c r="R176" i="4"/>
  <c r="N176" i="4"/>
  <c r="K176" i="4"/>
  <c r="H176" i="4"/>
  <c r="R175" i="4"/>
  <c r="K175" i="4"/>
  <c r="H175" i="4"/>
  <c r="E175" i="4"/>
  <c r="R174" i="4"/>
  <c r="N174" i="4"/>
  <c r="K174" i="4"/>
  <c r="H174" i="4"/>
  <c r="E174" i="4"/>
  <c r="R173" i="4"/>
  <c r="N173" i="4"/>
  <c r="K173" i="4"/>
  <c r="H173" i="4"/>
  <c r="E173" i="4"/>
  <c r="R172" i="4"/>
  <c r="K172" i="4"/>
  <c r="H172" i="4"/>
  <c r="E172" i="4"/>
  <c r="R171" i="4"/>
  <c r="N171" i="4"/>
  <c r="K171" i="4"/>
  <c r="H171" i="4"/>
  <c r="E171" i="4"/>
  <c r="R170" i="4"/>
  <c r="R169" i="4"/>
  <c r="N169" i="4"/>
  <c r="K169" i="4"/>
  <c r="H169" i="4"/>
  <c r="E169" i="4"/>
  <c r="R168" i="4"/>
  <c r="N168" i="4"/>
  <c r="K168" i="4"/>
  <c r="H168" i="4"/>
  <c r="R167" i="4"/>
  <c r="N167" i="4"/>
  <c r="H167" i="4"/>
  <c r="R166" i="4"/>
  <c r="K166" i="4"/>
  <c r="R165" i="4"/>
  <c r="N165" i="4"/>
  <c r="K165" i="4"/>
  <c r="H165" i="4"/>
  <c r="E165" i="4"/>
  <c r="R164" i="4"/>
  <c r="M182" i="4"/>
  <c r="L182" i="4"/>
  <c r="K164" i="4"/>
  <c r="H164" i="4"/>
  <c r="E164" i="4"/>
  <c r="Q160" i="4"/>
  <c r="O160" i="4"/>
  <c r="M160" i="4"/>
  <c r="M12" i="4" s="1"/>
  <c r="L160" i="4"/>
  <c r="L12" i="4" s="1"/>
  <c r="J160" i="4"/>
  <c r="J12" i="4" s="1"/>
  <c r="I160" i="4"/>
  <c r="I12" i="4" s="1"/>
  <c r="G160" i="4"/>
  <c r="G12" i="4" s="1"/>
  <c r="F160" i="4"/>
  <c r="F12" i="4" s="1"/>
  <c r="D160" i="4"/>
  <c r="D12" i="4" s="1"/>
  <c r="C160" i="4"/>
  <c r="C12" i="4" s="1"/>
  <c r="R159" i="4"/>
  <c r="R158" i="4"/>
  <c r="K158" i="4"/>
  <c r="H158" i="4"/>
  <c r="E158" i="4"/>
  <c r="R157" i="4"/>
  <c r="N157" i="4"/>
  <c r="K157" i="4"/>
  <c r="H157" i="4"/>
  <c r="E157" i="4"/>
  <c r="R155" i="4"/>
  <c r="N155" i="4"/>
  <c r="K155" i="4"/>
  <c r="H155" i="4"/>
  <c r="E155" i="4"/>
  <c r="R154" i="4"/>
  <c r="R160" i="4" s="1"/>
  <c r="P160" i="4" s="1"/>
  <c r="K154" i="4"/>
  <c r="H154" i="4"/>
  <c r="E154" i="4"/>
  <c r="Q150" i="4"/>
  <c r="O150" i="4"/>
  <c r="M150" i="4"/>
  <c r="M11" i="4" s="1"/>
  <c r="J150" i="4"/>
  <c r="J11" i="4" s="1"/>
  <c r="I150" i="4"/>
  <c r="I11" i="4" s="1"/>
  <c r="G150" i="4"/>
  <c r="G11" i="4" s="1"/>
  <c r="F150" i="4"/>
  <c r="F11" i="4" s="1"/>
  <c r="D150" i="4"/>
  <c r="D11" i="4" s="1"/>
  <c r="R148" i="4"/>
  <c r="K148" i="4"/>
  <c r="H148" i="4"/>
  <c r="R147" i="4"/>
  <c r="N147" i="4"/>
  <c r="L150" i="4"/>
  <c r="L11" i="4" s="1"/>
  <c r="K147" i="4"/>
  <c r="H147" i="4"/>
  <c r="E147" i="4"/>
  <c r="R146" i="4"/>
  <c r="N146" i="4"/>
  <c r="K146" i="4"/>
  <c r="H146" i="4"/>
  <c r="E146" i="4"/>
  <c r="R145" i="4"/>
  <c r="K145" i="4"/>
  <c r="H145" i="4"/>
  <c r="E145" i="4"/>
  <c r="R144" i="4"/>
  <c r="N144" i="4"/>
  <c r="K144" i="4"/>
  <c r="H144" i="4"/>
  <c r="E144" i="4"/>
  <c r="R143" i="4"/>
  <c r="N143" i="4"/>
  <c r="K143" i="4"/>
  <c r="H143" i="4"/>
  <c r="E143" i="4"/>
  <c r="R142" i="4"/>
  <c r="N142" i="4"/>
  <c r="K142" i="4"/>
  <c r="H142" i="4"/>
  <c r="E142" i="4"/>
  <c r="Q139" i="4"/>
  <c r="Q151" i="4" s="1"/>
  <c r="O139" i="4"/>
  <c r="M139" i="4"/>
  <c r="L139" i="4"/>
  <c r="L10" i="4" s="1"/>
  <c r="J139" i="4"/>
  <c r="I139" i="4"/>
  <c r="G139" i="4"/>
  <c r="F139" i="4"/>
  <c r="C151" i="4"/>
  <c r="R138" i="4"/>
  <c r="R137" i="4"/>
  <c r="N137" i="4"/>
  <c r="K137" i="4"/>
  <c r="H137" i="4"/>
  <c r="E137" i="4"/>
  <c r="R136" i="4"/>
  <c r="N136" i="4"/>
  <c r="K136" i="4"/>
  <c r="H136" i="4"/>
  <c r="E136" i="4"/>
  <c r="R135" i="4"/>
  <c r="K135" i="4"/>
  <c r="H135" i="4"/>
  <c r="E135" i="4"/>
  <c r="R134" i="4"/>
  <c r="N134" i="4"/>
  <c r="K134" i="4"/>
  <c r="H134" i="4"/>
  <c r="E134" i="4"/>
  <c r="Q131" i="4"/>
  <c r="O131" i="4"/>
  <c r="M131" i="4"/>
  <c r="M20" i="4" s="1"/>
  <c r="L131" i="4"/>
  <c r="L20" i="4" s="1"/>
  <c r="J131" i="4"/>
  <c r="J20" i="4" s="1"/>
  <c r="I131" i="4"/>
  <c r="I20" i="4" s="1"/>
  <c r="G131" i="4"/>
  <c r="G20" i="4" s="1"/>
  <c r="F131" i="4"/>
  <c r="F20" i="4" s="1"/>
  <c r="D131" i="4"/>
  <c r="D20" i="4" s="1"/>
  <c r="C131" i="4"/>
  <c r="C20" i="4" s="1"/>
  <c r="R130" i="4"/>
  <c r="K130" i="4"/>
  <c r="H130" i="4"/>
  <c r="E130" i="4"/>
  <c r="R129" i="4"/>
  <c r="R128" i="4"/>
  <c r="K128" i="4"/>
  <c r="R127" i="4"/>
  <c r="R126" i="4"/>
  <c r="R125" i="4"/>
  <c r="R131" i="4" s="1"/>
  <c r="P131" i="4" s="1"/>
  <c r="K125" i="4"/>
  <c r="H125" i="4"/>
  <c r="E125" i="4"/>
  <c r="R124" i="4"/>
  <c r="R123" i="4"/>
  <c r="Q122" i="4"/>
  <c r="O122" i="4"/>
  <c r="O19" i="4" s="1"/>
  <c r="M122" i="4"/>
  <c r="M19" i="4" s="1"/>
  <c r="L122" i="4"/>
  <c r="L19" i="4" s="1"/>
  <c r="J122" i="4"/>
  <c r="J19" i="4" s="1"/>
  <c r="I122" i="4"/>
  <c r="I19" i="4" s="1"/>
  <c r="G122" i="4"/>
  <c r="G19" i="4" s="1"/>
  <c r="F122" i="4"/>
  <c r="F19" i="4" s="1"/>
  <c r="D122" i="4"/>
  <c r="D19" i="4" s="1"/>
  <c r="C122" i="4"/>
  <c r="C19" i="4" s="1"/>
  <c r="R121" i="4"/>
  <c r="K121" i="4"/>
  <c r="H121" i="4"/>
  <c r="E121" i="4"/>
  <c r="R120" i="4"/>
  <c r="K120" i="4"/>
  <c r="R119" i="4"/>
  <c r="K119" i="4"/>
  <c r="H119" i="4"/>
  <c r="E119" i="4"/>
  <c r="R118" i="4"/>
  <c r="K118" i="4"/>
  <c r="H118" i="4"/>
  <c r="E118" i="4"/>
  <c r="R117" i="4"/>
  <c r="H117" i="4"/>
  <c r="E117" i="4"/>
  <c r="R116" i="4"/>
  <c r="K116" i="4"/>
  <c r="H116" i="4"/>
  <c r="E116" i="4"/>
  <c r="R115" i="4"/>
  <c r="N115" i="4"/>
  <c r="K115" i="4"/>
  <c r="H115" i="4"/>
  <c r="E115" i="4"/>
  <c r="R114" i="4"/>
  <c r="R113" i="4"/>
  <c r="R112" i="4"/>
  <c r="R111" i="4"/>
  <c r="K111" i="4"/>
  <c r="H111" i="4"/>
  <c r="E111" i="4"/>
  <c r="R110" i="4"/>
  <c r="K110" i="4"/>
  <c r="H110" i="4"/>
  <c r="E110" i="4"/>
  <c r="R109" i="4"/>
  <c r="N109" i="4"/>
  <c r="H109" i="4"/>
  <c r="E109" i="4"/>
  <c r="R108" i="4"/>
  <c r="R107" i="4"/>
  <c r="K107" i="4"/>
  <c r="R106" i="4"/>
  <c r="E106" i="4"/>
  <c r="R105" i="4"/>
  <c r="R104" i="4"/>
  <c r="N104" i="4"/>
  <c r="K104" i="4"/>
  <c r="E104" i="4"/>
  <c r="R103" i="4"/>
  <c r="R102" i="4"/>
  <c r="N102" i="4"/>
  <c r="K102" i="4"/>
  <c r="H102" i="4"/>
  <c r="E102" i="4"/>
  <c r="R101" i="4"/>
  <c r="R100" i="4"/>
  <c r="R99" i="4"/>
  <c r="N99" i="4"/>
  <c r="K99" i="4"/>
  <c r="H99" i="4"/>
  <c r="E99" i="4"/>
  <c r="R98" i="4"/>
  <c r="R96" i="4"/>
  <c r="R95" i="4"/>
  <c r="N95" i="4"/>
  <c r="K95" i="4"/>
  <c r="Q92" i="4"/>
  <c r="O92" i="4"/>
  <c r="O17" i="4" s="1"/>
  <c r="J92" i="4"/>
  <c r="J17" i="4" s="1"/>
  <c r="I92" i="4"/>
  <c r="I17" i="4" s="1"/>
  <c r="G92" i="4"/>
  <c r="G17" i="4" s="1"/>
  <c r="F92" i="4"/>
  <c r="F17" i="4" s="1"/>
  <c r="D92" i="4"/>
  <c r="D17" i="4" s="1"/>
  <c r="C92" i="4"/>
  <c r="C17" i="4" s="1"/>
  <c r="R91" i="4"/>
  <c r="N91" i="4"/>
  <c r="K91" i="4"/>
  <c r="H91" i="4"/>
  <c r="E91" i="4"/>
  <c r="R90" i="4"/>
  <c r="N90" i="4"/>
  <c r="K90" i="4"/>
  <c r="H90" i="4"/>
  <c r="E90" i="4"/>
  <c r="R89" i="4"/>
  <c r="N89" i="4"/>
  <c r="K89" i="4"/>
  <c r="H89" i="4"/>
  <c r="E89" i="4"/>
  <c r="R88" i="4"/>
  <c r="M92" i="4"/>
  <c r="M17" i="4" s="1"/>
  <c r="L92" i="4"/>
  <c r="L17" i="4" s="1"/>
  <c r="K88" i="4"/>
  <c r="H88" i="4"/>
  <c r="E88" i="4"/>
  <c r="R87" i="4"/>
  <c r="R86" i="4"/>
  <c r="R85" i="4"/>
  <c r="N85" i="4"/>
  <c r="K85" i="4"/>
  <c r="H85" i="4"/>
  <c r="E85" i="4"/>
  <c r="R84" i="4"/>
  <c r="N84" i="4"/>
  <c r="K84" i="4"/>
  <c r="H84" i="4"/>
  <c r="E84" i="4"/>
  <c r="R83" i="4"/>
  <c r="N83" i="4"/>
  <c r="K83" i="4"/>
  <c r="H83" i="4"/>
  <c r="E83" i="4"/>
  <c r="R82" i="4"/>
  <c r="N82" i="4"/>
  <c r="K82" i="4"/>
  <c r="H82" i="4"/>
  <c r="E82" i="4"/>
  <c r="R81" i="4"/>
  <c r="H81" i="4"/>
  <c r="E81" i="4"/>
  <c r="Q77" i="4"/>
  <c r="O77" i="4"/>
  <c r="L77" i="4"/>
  <c r="L16" i="4" s="1"/>
  <c r="F77" i="4"/>
  <c r="F16" i="4" s="1"/>
  <c r="R76" i="4"/>
  <c r="K76" i="4"/>
  <c r="E76" i="4"/>
  <c r="R75" i="4"/>
  <c r="N75" i="4"/>
  <c r="K75" i="4"/>
  <c r="H75" i="4"/>
  <c r="E75" i="4"/>
  <c r="R74" i="4"/>
  <c r="N74" i="4"/>
  <c r="K74" i="4"/>
  <c r="E74" i="4"/>
  <c r="R73" i="4"/>
  <c r="K73" i="4"/>
  <c r="H73" i="4"/>
  <c r="E73" i="4"/>
  <c r="R72" i="4"/>
  <c r="K72" i="4"/>
  <c r="H72" i="4"/>
  <c r="E72" i="4"/>
  <c r="R71" i="4"/>
  <c r="R70" i="4"/>
  <c r="N70" i="4"/>
  <c r="K70" i="4"/>
  <c r="H70" i="4"/>
  <c r="E70" i="4"/>
  <c r="R69" i="4"/>
  <c r="R77" i="4" s="1"/>
  <c r="P77" i="4" s="1"/>
  <c r="P16" i="4" s="1"/>
  <c r="K69" i="4"/>
  <c r="H69" i="4"/>
  <c r="E69" i="4"/>
  <c r="Q66" i="4"/>
  <c r="O66" i="4"/>
  <c r="M66" i="4"/>
  <c r="M15" i="4" s="1"/>
  <c r="L66" i="4"/>
  <c r="L15" i="4" s="1"/>
  <c r="J66" i="4"/>
  <c r="J15" i="4" s="1"/>
  <c r="I66" i="4"/>
  <c r="I15" i="4" s="1"/>
  <c r="G66" i="4"/>
  <c r="G15" i="4" s="1"/>
  <c r="D66" i="4"/>
  <c r="D15" i="4" s="1"/>
  <c r="C66" i="4"/>
  <c r="C15" i="4" s="1"/>
  <c r="R65" i="4"/>
  <c r="R64" i="4"/>
  <c r="R63" i="4"/>
  <c r="N63" i="4"/>
  <c r="K63" i="4"/>
  <c r="H63" i="4"/>
  <c r="E63" i="4"/>
  <c r="R62" i="4"/>
  <c r="N62" i="4"/>
  <c r="K62" i="4"/>
  <c r="H62" i="4"/>
  <c r="E62" i="4"/>
  <c r="R61" i="4"/>
  <c r="R60" i="4"/>
  <c r="K60" i="4"/>
  <c r="H60" i="4"/>
  <c r="E60" i="4"/>
  <c r="R59" i="4"/>
  <c r="K59" i="4"/>
  <c r="H59" i="4"/>
  <c r="E59" i="4"/>
  <c r="R58" i="4"/>
  <c r="K58" i="4"/>
  <c r="H58" i="4"/>
  <c r="E58" i="4"/>
  <c r="R57" i="4"/>
  <c r="N57" i="4"/>
  <c r="K57" i="4"/>
  <c r="H57" i="4"/>
  <c r="E57" i="4"/>
  <c r="Q54" i="4"/>
  <c r="O54" i="4"/>
  <c r="O78" i="4" s="1"/>
  <c r="L54" i="4"/>
  <c r="J54" i="4"/>
  <c r="I54" i="4"/>
  <c r="I14" i="4" s="1"/>
  <c r="G54" i="4"/>
  <c r="F54" i="4"/>
  <c r="F14" i="4" s="1"/>
  <c r="D54" i="4"/>
  <c r="D14" i="4" s="1"/>
  <c r="R53" i="4"/>
  <c r="M54" i="4"/>
  <c r="M14" i="4" s="1"/>
  <c r="E53" i="4"/>
  <c r="R52" i="4"/>
  <c r="E52" i="4"/>
  <c r="R51" i="4"/>
  <c r="R50" i="4"/>
  <c r="R49" i="4"/>
  <c r="H49" i="4"/>
  <c r="E49" i="4"/>
  <c r="R48" i="4"/>
  <c r="K48" i="4"/>
  <c r="H48" i="4"/>
  <c r="E48" i="4"/>
  <c r="R47" i="4"/>
  <c r="N47" i="4"/>
  <c r="K47" i="4"/>
  <c r="H47" i="4"/>
  <c r="E47" i="4"/>
  <c r="R46" i="4"/>
  <c r="R45" i="4"/>
  <c r="N45" i="4"/>
  <c r="K45" i="4"/>
  <c r="H45" i="4"/>
  <c r="E45" i="4"/>
  <c r="R44" i="4"/>
  <c r="K44" i="4"/>
  <c r="H44" i="4"/>
  <c r="E44" i="4"/>
  <c r="R43" i="4"/>
  <c r="K43" i="4"/>
  <c r="H43" i="4"/>
  <c r="E43" i="4"/>
  <c r="R42" i="4"/>
  <c r="R41" i="4"/>
  <c r="K41" i="4"/>
  <c r="H41" i="4"/>
  <c r="E41" i="4"/>
  <c r="R40" i="4"/>
  <c r="N40" i="4"/>
  <c r="K40" i="4"/>
  <c r="H40" i="4"/>
  <c r="E40" i="4"/>
  <c r="R39" i="4"/>
  <c r="K39" i="4"/>
  <c r="H39" i="4"/>
  <c r="E39" i="4"/>
  <c r="R38" i="4"/>
  <c r="K38" i="4"/>
  <c r="H38" i="4"/>
  <c r="E38" i="4"/>
  <c r="R37" i="4"/>
  <c r="R36" i="4"/>
  <c r="Q22" i="4"/>
  <c r="P22" i="4"/>
  <c r="O22" i="4"/>
  <c r="R22" i="4" s="1"/>
  <c r="Q21" i="4"/>
  <c r="O21" i="4"/>
  <c r="Q20" i="4"/>
  <c r="P20" i="4"/>
  <c r="O20" i="4"/>
  <c r="N20" i="4"/>
  <c r="Q19" i="4"/>
  <c r="Q17" i="4"/>
  <c r="Q16" i="4"/>
  <c r="O16" i="4"/>
  <c r="Q15" i="4"/>
  <c r="O15" i="4"/>
  <c r="Q14" i="4"/>
  <c r="Q13" i="4"/>
  <c r="O13" i="4"/>
  <c r="Q12" i="4"/>
  <c r="P12" i="4"/>
  <c r="O12" i="4"/>
  <c r="Q11" i="4"/>
  <c r="O11" i="4"/>
  <c r="Q10" i="4"/>
  <c r="O10" i="4"/>
  <c r="K71" i="4" l="1"/>
  <c r="C77" i="4"/>
  <c r="C16" i="4" s="1"/>
  <c r="I77" i="4"/>
  <c r="I16" i="4" s="1"/>
  <c r="D77" i="4"/>
  <c r="D16" i="4" s="1"/>
  <c r="G77" i="4"/>
  <c r="G16" i="4" s="1"/>
  <c r="J77" i="4"/>
  <c r="J16" i="4" s="1"/>
  <c r="M77" i="4"/>
  <c r="M16" i="4" s="1"/>
  <c r="E77" i="5"/>
  <c r="E16" i="5" s="1"/>
  <c r="C16" i="5"/>
  <c r="C23" i="5" s="1"/>
  <c r="C78" i="5"/>
  <c r="F16" i="5"/>
  <c r="F23" i="5" s="1"/>
  <c r="H77" i="5"/>
  <c r="H16" i="5" s="1"/>
  <c r="F78" i="5"/>
  <c r="K77" i="5"/>
  <c r="K16" i="5" s="1"/>
  <c r="I78" i="5"/>
  <c r="I16" i="5"/>
  <c r="I23" i="5" s="1"/>
  <c r="L16" i="5"/>
  <c r="L23" i="5" s="1"/>
  <c r="N77" i="5"/>
  <c r="N16" i="5" s="1"/>
  <c r="L78" i="5"/>
  <c r="D16" i="5"/>
  <c r="D23" i="5" s="1"/>
  <c r="D78" i="5"/>
  <c r="G16" i="5"/>
  <c r="G23" i="5" s="1"/>
  <c r="G78" i="5"/>
  <c r="J16" i="5"/>
  <c r="J23" i="5" s="1"/>
  <c r="J78" i="5"/>
  <c r="M16" i="5"/>
  <c r="M23" i="5" s="1"/>
  <c r="M78" i="5"/>
  <c r="R206" i="4"/>
  <c r="R16" i="4"/>
  <c r="R92" i="4"/>
  <c r="P92" i="4" s="1"/>
  <c r="P17" i="4" s="1"/>
  <c r="O151" i="4"/>
  <c r="R66" i="4"/>
  <c r="P66" i="4" s="1"/>
  <c r="P15" i="4" s="1"/>
  <c r="R15" i="4" s="1"/>
  <c r="O14" i="4"/>
  <c r="R150" i="4"/>
  <c r="P150" i="4" s="1"/>
  <c r="P11" i="4" s="1"/>
  <c r="D151" i="4"/>
  <c r="E151" i="4" s="1"/>
  <c r="R238" i="4"/>
  <c r="P238" i="4" s="1"/>
  <c r="P21" i="4" s="1"/>
  <c r="R21" i="4" s="1"/>
  <c r="R218" i="4"/>
  <c r="P218" i="4" s="1"/>
  <c r="R182" i="4"/>
  <c r="R207" i="4" s="1"/>
  <c r="R139" i="4"/>
  <c r="R10" i="4" s="1"/>
  <c r="Q78" i="4"/>
  <c r="M151" i="4"/>
  <c r="M10" i="4"/>
  <c r="J151" i="4"/>
  <c r="J10" i="4"/>
  <c r="I151" i="4"/>
  <c r="I10" i="4"/>
  <c r="G151" i="4"/>
  <c r="G10" i="4"/>
  <c r="F151" i="4"/>
  <c r="H151" i="4" s="1"/>
  <c r="F10" i="4"/>
  <c r="L78" i="4"/>
  <c r="L14" i="4"/>
  <c r="G78" i="4"/>
  <c r="G14" i="4"/>
  <c r="J14" i="4"/>
  <c r="M207" i="4"/>
  <c r="M18" i="4" s="1"/>
  <c r="P182" i="4"/>
  <c r="R12" i="4"/>
  <c r="R54" i="4"/>
  <c r="R78" i="4" s="1"/>
  <c r="P78" i="4" s="1"/>
  <c r="R20" i="4"/>
  <c r="R11" i="4"/>
  <c r="R122" i="4"/>
  <c r="P122" i="4" s="1"/>
  <c r="P19" i="4" s="1"/>
  <c r="R19" i="4" s="1"/>
  <c r="R17" i="4"/>
  <c r="H243" i="4"/>
  <c r="H22" i="4" s="1"/>
  <c r="K243" i="4"/>
  <c r="K22" i="4" s="1"/>
  <c r="E243" i="4"/>
  <c r="E22" i="4" s="1"/>
  <c r="H238" i="4"/>
  <c r="H21" i="4" s="1"/>
  <c r="N238" i="4"/>
  <c r="N21" i="4" s="1"/>
  <c r="K238" i="4"/>
  <c r="K21" i="4" s="1"/>
  <c r="E238" i="4"/>
  <c r="E21" i="4" s="1"/>
  <c r="N225" i="4"/>
  <c r="K225" i="4"/>
  <c r="E225" i="4"/>
  <c r="N206" i="4"/>
  <c r="K206" i="4"/>
  <c r="H206" i="4"/>
  <c r="E206" i="4"/>
  <c r="N188" i="4"/>
  <c r="J207" i="4"/>
  <c r="J18" i="4" s="1"/>
  <c r="J23" i="4" s="1"/>
  <c r="K188" i="4"/>
  <c r="I207" i="4"/>
  <c r="I18" i="4" s="1"/>
  <c r="I23" i="4" s="1"/>
  <c r="G207" i="4"/>
  <c r="H188" i="4"/>
  <c r="F207" i="4"/>
  <c r="F18" i="4" s="1"/>
  <c r="F23" i="4" s="1"/>
  <c r="D207" i="4"/>
  <c r="D18" i="4" s="1"/>
  <c r="E188" i="4"/>
  <c r="N160" i="4"/>
  <c r="N12" i="4" s="1"/>
  <c r="K160" i="4"/>
  <c r="K12" i="4" s="1"/>
  <c r="H160" i="4"/>
  <c r="H12" i="4" s="1"/>
  <c r="E160" i="4"/>
  <c r="E12" i="4" s="1"/>
  <c r="N150" i="4"/>
  <c r="N11" i="4" s="1"/>
  <c r="L151" i="4"/>
  <c r="K150" i="4"/>
  <c r="K11" i="4" s="1"/>
  <c r="H150" i="4"/>
  <c r="H11" i="4" s="1"/>
  <c r="E150" i="4"/>
  <c r="E11" i="4" s="1"/>
  <c r="N151" i="4"/>
  <c r="K131" i="4"/>
  <c r="K20" i="4" s="1"/>
  <c r="H131" i="4"/>
  <c r="H20" i="4" s="1"/>
  <c r="E131" i="4"/>
  <c r="E20" i="4" s="1"/>
  <c r="H122" i="4"/>
  <c r="H19" i="4" s="1"/>
  <c r="C207" i="4"/>
  <c r="C18" i="4" s="1"/>
  <c r="N122" i="4"/>
  <c r="N19" i="4" s="1"/>
  <c r="K122" i="4"/>
  <c r="K19" i="4" s="1"/>
  <c r="E122" i="4"/>
  <c r="E19" i="4" s="1"/>
  <c r="K92" i="4"/>
  <c r="K17" i="4" s="1"/>
  <c r="H92" i="4"/>
  <c r="H17" i="4" s="1"/>
  <c r="E92" i="4"/>
  <c r="E17" i="4" s="1"/>
  <c r="D78" i="4"/>
  <c r="K66" i="4"/>
  <c r="K15" i="4" s="1"/>
  <c r="N66" i="4"/>
  <c r="N15" i="4" s="1"/>
  <c r="H66" i="4"/>
  <c r="H15" i="4" s="1"/>
  <c r="F78" i="4"/>
  <c r="E66" i="4"/>
  <c r="E15" i="4" s="1"/>
  <c r="K54" i="4"/>
  <c r="K14" i="4" s="1"/>
  <c r="P54" i="4"/>
  <c r="P14" i="4" s="1"/>
  <c r="R14" i="4" s="1"/>
  <c r="H54" i="4"/>
  <c r="H14" i="4" s="1"/>
  <c r="N54" i="4"/>
  <c r="N14" i="4" s="1"/>
  <c r="N92" i="4"/>
  <c r="N17" i="4" s="1"/>
  <c r="L207" i="4"/>
  <c r="L18" i="4" s="1"/>
  <c r="N182" i="4"/>
  <c r="R226" i="4"/>
  <c r="E226" i="4"/>
  <c r="E13" i="4" s="1"/>
  <c r="H226" i="4"/>
  <c r="H13" i="4" s="1"/>
  <c r="K226" i="4"/>
  <c r="K13" i="4" s="1"/>
  <c r="N243" i="4"/>
  <c r="N22" i="4" s="1"/>
  <c r="N88" i="4"/>
  <c r="H139" i="4"/>
  <c r="H10" i="4" s="1"/>
  <c r="N139" i="4"/>
  <c r="N10" i="4" s="1"/>
  <c r="E182" i="4"/>
  <c r="K182" i="4"/>
  <c r="N192" i="4"/>
  <c r="O206" i="4"/>
  <c r="O207" i="4" s="1"/>
  <c r="Q206" i="4"/>
  <c r="Q18" i="4" s="1"/>
  <c r="Q23" i="4" s="1"/>
  <c r="H218" i="4"/>
  <c r="L218" i="4"/>
  <c r="N221" i="4"/>
  <c r="N241" i="4"/>
  <c r="E139" i="4"/>
  <c r="E10" i="4" s="1"/>
  <c r="K139" i="4"/>
  <c r="K10" i="4" s="1"/>
  <c r="N164" i="4"/>
  <c r="H182" i="4"/>
  <c r="E218" i="4"/>
  <c r="K218" i="4"/>
  <c r="I78" i="4" l="1"/>
  <c r="M78" i="4"/>
  <c r="N78" i="4" s="1"/>
  <c r="N77" i="4"/>
  <c r="N16" i="4" s="1"/>
  <c r="H77" i="4"/>
  <c r="H16" i="4" s="1"/>
  <c r="E77" i="4"/>
  <c r="E16" i="4" s="1"/>
  <c r="K77" i="4"/>
  <c r="K16" i="4" s="1"/>
  <c r="J78" i="4"/>
  <c r="K78" i="4" s="1"/>
  <c r="N78" i="5"/>
  <c r="N23" i="5"/>
  <c r="K78" i="5"/>
  <c r="H78" i="5"/>
  <c r="H23" i="5"/>
  <c r="E23" i="5"/>
  <c r="K23" i="5"/>
  <c r="E78" i="5"/>
  <c r="M23" i="4"/>
  <c r="H78" i="4"/>
  <c r="R151" i="4"/>
  <c r="P151" i="4" s="1"/>
  <c r="K151" i="4"/>
  <c r="P139" i="4"/>
  <c r="P10" i="4" s="1"/>
  <c r="P207" i="4"/>
  <c r="G18" i="4"/>
  <c r="G23" i="4" s="1"/>
  <c r="H23" i="4" s="1"/>
  <c r="D23" i="4"/>
  <c r="K207" i="4"/>
  <c r="K18" i="4" s="1"/>
  <c r="K23" i="4"/>
  <c r="H207" i="4"/>
  <c r="H18" i="4" s="1"/>
  <c r="E207" i="4"/>
  <c r="E18" i="4" s="1"/>
  <c r="O18" i="4"/>
  <c r="P18" i="4"/>
  <c r="L226" i="4"/>
  <c r="L13" i="4" s="1"/>
  <c r="N218" i="4"/>
  <c r="P206" i="4"/>
  <c r="N207" i="4"/>
  <c r="N18" i="4" s="1"/>
  <c r="Q207" i="4"/>
  <c r="P226" i="4"/>
  <c r="P13" i="4" s="1"/>
  <c r="R13" i="4"/>
  <c r="N226" i="4" l="1"/>
  <c r="N13" i="4" s="1"/>
  <c r="L23" i="4"/>
  <c r="N23" i="4" s="1"/>
  <c r="R18" i="4"/>
  <c r="R23" i="4" s="1"/>
  <c r="O23" i="4"/>
  <c r="P23" i="4" l="1"/>
  <c r="R91" i="2" l="1"/>
  <c r="R92" i="2" s="1"/>
  <c r="P92" i="2" s="1"/>
  <c r="P17" i="2" s="1"/>
  <c r="R17" i="2" s="1"/>
  <c r="R23" i="2" s="1"/>
  <c r="P23" i="2" s="1"/>
  <c r="N91" i="2"/>
  <c r="K91" i="2"/>
  <c r="H91" i="2"/>
  <c r="E91" i="2"/>
  <c r="R92" i="1" l="1"/>
  <c r="R93" i="1" s="1"/>
  <c r="P93" i="1" s="1"/>
  <c r="P17" i="1" s="1"/>
  <c r="R17" i="1" s="1"/>
  <c r="R23" i="1" s="1"/>
  <c r="P23" i="1" s="1"/>
  <c r="N92" i="1"/>
  <c r="K92" i="1"/>
  <c r="H92" i="1"/>
  <c r="E92" i="1"/>
  <c r="C54" i="4" l="1"/>
  <c r="E54" i="4" l="1"/>
  <c r="E14" i="4" s="1"/>
  <c r="C14" i="4"/>
  <c r="C78" i="4"/>
  <c r="E78" i="4" s="1"/>
  <c r="C23" i="4"/>
  <c r="E23" i="4" s="1"/>
  <c r="E11" i="7"/>
  <c r="C10" i="7"/>
  <c r="E10" i="7" s="1"/>
  <c r="P11" i="7"/>
  <c r="Q10" i="7"/>
  <c r="P10" i="7" s="1"/>
</calcChain>
</file>

<file path=xl/sharedStrings.xml><?xml version="1.0" encoding="utf-8"?>
<sst xmlns="http://schemas.openxmlformats.org/spreadsheetml/2006/main" count="4153" uniqueCount="836">
  <si>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(ûå»ñ³ïÇí ï»Õ»Ï³ïíáõÃÛáõÝ 01.01.2014Ã.¹ñáõÃÛ³Ùµ)                             ընթացիկ գներով   /Ñ³½.ÐÐ ¹ñ³Ù/</t>
  </si>
  <si>
    <t>Հ/Հ</t>
  </si>
  <si>
    <t>àÉáñï</t>
  </si>
  <si>
    <t xml:space="preserve">   ²åñ³Ýù³ÛÇÝ ³ñï³¹ñ³Ýù (ÁÝÃ³óÇÏ ·Ý»ñáí)</t>
  </si>
  <si>
    <t xml:space="preserve">             Æñ³óáõÙ</t>
  </si>
  <si>
    <t>²ñï³Ñ³ÝáõÙ</t>
  </si>
  <si>
    <t>ö³ëï ³ßË³ïáÕ. ù³-Ý³Ï</t>
  </si>
  <si>
    <t>ØÇç. ³ßË³ï³í³ñÓ</t>
  </si>
  <si>
    <t>Ü³Ë. ³Ùëí³ ÷³ëï. ³ßË. ù³Ý³Ï</t>
  </si>
  <si>
    <t>î³ñí³ ëÏ½µÇó</t>
  </si>
  <si>
    <t xml:space="preserve">Ü³Ëáñ¹ ï³ñí³ Ñ³Ù³å³ï³ëË³Ý Å³Ù³Ý³Ï³Ñ³ïí³Í.  </t>
  </si>
  <si>
    <t>²×/³ÝÏáõÙ %</t>
  </si>
  <si>
    <t>Ð³ßí»ïáõ ³ÙëáõÙ</t>
  </si>
  <si>
    <t>Ð³ßí»ïáõ ï³ñí³ Å³Ù³Ý.</t>
  </si>
  <si>
    <t>Հանքարդարդյունաբ.</t>
  </si>
  <si>
    <t>Մետալուրգիա</t>
  </si>
  <si>
    <t>Շինանյութեր</t>
  </si>
  <si>
    <t>Ակնագործ. և ոսկեգործ.</t>
  </si>
  <si>
    <t>Հաստոցագործիքաշին</t>
  </si>
  <si>
    <t>Սարքաշինություն</t>
  </si>
  <si>
    <t>Էլեկտրատեխնիկա</t>
  </si>
  <si>
    <t>Քիմիա և դեղագործ.</t>
  </si>
  <si>
    <t>Սննդի արդյունաբերություն</t>
  </si>
  <si>
    <t>Թեթև արդյունաբերություն</t>
  </si>
  <si>
    <t>Փայտամշակում</t>
  </si>
  <si>
    <t>Գիտարտադրական համալիր</t>
  </si>
  <si>
    <t>Հատուկ ծրագրեր</t>
  </si>
  <si>
    <t>ԸՆԴԱՄԵՆԸ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</si>
  <si>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01.01.2014Ã. ¹ñáõÃÛ³Ùµ   (ընթացիկ գներով)          /Ñ³½.ÐÐ ¹ñ³Ù/</t>
  </si>
  <si>
    <t>Ò»éÝ³ñÏáõÃÛ³Ý ³Ýí³ÝáõÙÁ</t>
  </si>
  <si>
    <t>ö³ëï. ³ßË. ù³Ý³ÏÁ</t>
  </si>
  <si>
    <t>ØÇç. ³ßË³ï³í³ñÓÁ</t>
  </si>
  <si>
    <t>Ü³Ëáñ¹ ³Ùëí³ ÷³ëï. ³ßË. ù³Ý³ÏÁ</t>
  </si>
  <si>
    <t xml:space="preserve">Ü³Ëáñ¹ ï³ñí³ Ñ³Ù³å³ï³ëË³Ý Å³Ù³Ý.  </t>
  </si>
  <si>
    <t xml:space="preserve">Ü³Ëáñ¹ ï³ñí³ Ñ³Ù³å³ï³ëË³Ý Å³Ù³Ý  </t>
  </si>
  <si>
    <r>
      <t xml:space="preserve">Ø»ù»Ý³ßÇÝ³Ï³Ý ³ñ¹ÛáõÝ³µ»ñáõÃÛáõÝ` </t>
    </r>
    <r>
      <rPr>
        <sz val="9"/>
        <rFont val="Arial Armenian"/>
        <family val="2"/>
      </rPr>
      <t>³Û¹ ÃíáõÙ</t>
    </r>
  </si>
  <si>
    <t>³/   Ð³ëïáó³·áñÍÇù³ßÇÝ.</t>
  </si>
  <si>
    <t>ÆÝï»ñÑ³ëïáó µµÁ</t>
  </si>
  <si>
    <t>Ð³ñí³É Ø³ßÇÝÁñÇ êäÀ</t>
  </si>
  <si>
    <t>²ñÙ³í.Ñ³ëï.·-Ý µµÁ</t>
  </si>
  <si>
    <t>ºñ¨³ÝÇ ÐÇ¹ñáÑ³Õáñ¹³Ï µµÁ</t>
  </si>
  <si>
    <t>â³ñ»Ýó.·áñÍÇù³ßÇÝ.·-Ý µµÁ</t>
  </si>
  <si>
    <t>²ÉÙ³ëï ÷µÁ</t>
  </si>
  <si>
    <t>î»Ëë³ñù³íáñáõÙ µµÁ</t>
  </si>
  <si>
    <t>Î³å.Ù»ù»Ý³ßÇÝ.·-Ý µµÁ</t>
  </si>
  <si>
    <t>æñÏáÝëïñáõÏóÇ³ êäÀ</t>
  </si>
  <si>
    <t>ì³Ý.²íïá·»Ý-Ø  êäÀ</t>
  </si>
  <si>
    <t xml:space="preserve">ÎáÙåñ»ëáñÝ»ñÇ ·-Ý µµÁ </t>
  </si>
  <si>
    <t>º²¼ µµÁ</t>
  </si>
  <si>
    <t>²ñÃÇÏÇ ²å³Ï»Ù»ù.µµÁ</t>
  </si>
  <si>
    <t xml:space="preserve">§²ëïñ³¦ ö´À </t>
  </si>
  <si>
    <t>§ø³ñÑ³ï¦ Ø»ù»Ý³¦ ö´À</t>
  </si>
  <si>
    <t>§´áé¦ ´´À</t>
  </si>
  <si>
    <t>ì³Ý. §âÇÝí³Ý¦ êäÀ</t>
  </si>
  <si>
    <t>§¶áÉ¹»Ý üÇÉ¹¦ êäÀ</t>
  </si>
  <si>
    <t>ÀÝ¹³Ù»ÝÁ Ñ³ëïáó³ßÇÝ.</t>
  </si>
  <si>
    <t>µ/ ê³ñù³ßÇÝáõÃÛáõÝ</t>
  </si>
  <si>
    <t>¾É»Ïïñ³ë³ñù ´´À</t>
  </si>
  <si>
    <t>Ø³ñë ö´À</t>
  </si>
  <si>
    <t>ÎáÝÝ»Ïï ´´À</t>
  </si>
  <si>
    <t>¶³ÙÙ³ ´´À</t>
  </si>
  <si>
    <t>²Ý³ÉÇïë³ñù ö´À</t>
  </si>
  <si>
    <t xml:space="preserve">è³ý¿É·ñÇ· ´´À </t>
  </si>
  <si>
    <t>ì³Ý ´´À</t>
  </si>
  <si>
    <t>§²Ý³ÉÇï-1¦ ´´À</t>
  </si>
  <si>
    <t>ÆÙåáõÉë ´´À</t>
  </si>
  <si>
    <t>ÀÝ¹³Ù»ÝÁ ë³ñù³ßÇÝ.</t>
  </si>
  <si>
    <t>·/ ¾É»Ïïñ³ï»ËÝÇÏ³</t>
  </si>
  <si>
    <t>Ð³Û¿É»Ïïñ³Ù»ù»Ý³ ´´À</t>
  </si>
  <si>
    <t>îñ³Ýë¿É»ÏïñÇÏ êäÀ</t>
  </si>
  <si>
    <t>²ñÙ»ÝÙáïáñ ö´À</t>
  </si>
  <si>
    <t>¾É»Ïïñ³³å³ñ³ï ´´À</t>
  </si>
  <si>
    <t>¶ñ³Ý¹ ê³Ý êäÀ</t>
  </si>
  <si>
    <t xml:space="preserve"> ԲՀԷՍ äÉ³½Ù³ ´´À</t>
  </si>
  <si>
    <t>¾Éµ³ï ö´À</t>
  </si>
  <si>
    <t>ԷÉ»Ïïñ³.ÇÝÅ»Ý»ñÇÝ· ö´À</t>
  </si>
  <si>
    <t>ÀÝ¹³Ù»ÝÁ ¿É»Ïïñ³ï»Ë.</t>
  </si>
  <si>
    <t>ÀÝ¹³Ù»ÝÁ ¿É»Ïïñ³ï»Ë</t>
  </si>
  <si>
    <t>ÀÜ¸²ØºÜÀ`Ù»ù»Ý³ßÇÝáõÃÛáõÝ</t>
  </si>
  <si>
    <t>øÇÙÇ³ ¨ ¹»Õ³·áñÍ.</t>
  </si>
  <si>
    <t>§Ü³ÇñÇï-·áñÍ³ñ³Ý¦ ö´À</t>
  </si>
  <si>
    <t>§ì³Ý³Óáñ-øÇÙåñáÙ¦ö´À</t>
  </si>
  <si>
    <t>§Øáõñ³¹-ê³ñ¦êäÀ</t>
  </si>
  <si>
    <t>øÇÙ.¹»Õ³·.ýÇñÙ³ ´´À</t>
  </si>
  <si>
    <t>§Î»Ýó³ÕùÇÙ¦ ´´À</t>
  </si>
  <si>
    <t>§²å³Ï»Ù»ÏáõëÇã¦´´À</t>
  </si>
  <si>
    <t>§øñ³áõÝ ø»ÙÇù³É¦ êäÀ</t>
  </si>
  <si>
    <t>§ÈÇÏíáñ¦ ö´À</t>
  </si>
  <si>
    <t>§Արփիմեդ¦ ՍՊԸ</t>
  </si>
  <si>
    <t>§Վիտամաքս-Ե¦ ՍՊԸ</t>
  </si>
  <si>
    <t>§ü³ñÙ³ï»ù¦ êäÀ</t>
  </si>
  <si>
    <t>ÀÝ¹³Ù»ÝÁ` ùÇÙÇ³ ¨ ¹»Õ³·áñÍ.</t>
  </si>
  <si>
    <t>ÀÝ¹³Ù»ÝÁ ùÇÙÇ³</t>
  </si>
  <si>
    <t>Â»Ã¨ ³ñ¹ÛáõÝ³µ»ñáõÃÛáõÝ</t>
  </si>
  <si>
    <t>§ê³ñïáÝ¦ êäÀ</t>
  </si>
  <si>
    <t>§¶Û.Ø³Ýí. ý-Ï³¦ ´´À</t>
  </si>
  <si>
    <t>§¾Ý ì³Û ¾Û ¸Ç¦êäÀ</t>
  </si>
  <si>
    <t>§²ñÙ»Ý-Î³ñå»ï¦ ´´À</t>
  </si>
  <si>
    <t>§ìÎê ²ñÙ»ÝÇ³¦ êäÀ</t>
  </si>
  <si>
    <t>§Ø³Ñáõ¹¦ ö´À</t>
  </si>
  <si>
    <t>§æñ³ßáÕ¦ ö´À</t>
  </si>
  <si>
    <t>§îáëå¦ ´´À</t>
  </si>
  <si>
    <t>§Üáõµ.ïñÇÏáï.ý-Ï³¦ ´´À</t>
  </si>
  <si>
    <t>§¶¨áñ· ¨ ì³Ñ³Ý¦ êäÀ</t>
  </si>
  <si>
    <t>§Ð. ¾¹.Ð³Û³ë ¶ñáõå¦ ´´À</t>
  </si>
  <si>
    <t>§²ñß³ÉáõÛë¦ ´´À</t>
  </si>
  <si>
    <t>§´³½áõÙ üÇñÙ³¦ ²Î</t>
  </si>
  <si>
    <t>§ì³ÝáõÑÇ¦ ´´À</t>
  </si>
  <si>
    <t>§´ñ³ï»ùë¦ ´´À</t>
  </si>
  <si>
    <t>§Ü³ÛÃ»ùë¦ ´´À</t>
  </si>
  <si>
    <t>§ø³Ý³ù»é¦ Ï³ñÇ ´´À</t>
  </si>
  <si>
    <t>§¶ÉáñÇ³¦ ·ÉË. ֆ³µñÇÏ³</t>
  </si>
  <si>
    <t>§Î³ßÇ¦ ´´À</t>
  </si>
  <si>
    <t>§Î³ßí»-·³É³Ýï»ñ ý-Ï³¦´´À</t>
  </si>
  <si>
    <t>§ÈÛáõùë¦ ´´À</t>
  </si>
  <si>
    <t>§¾É»Ý-93¦ êäÀ</t>
  </si>
  <si>
    <t>§äÉ³ëïÇÏ¦ ´´À</t>
  </si>
  <si>
    <t>§Ø»·»ñÛ³Ý-Ï³ñå»ï¦ ´´À</t>
  </si>
  <si>
    <t>§Ø»ï³Õ³Ù³Ý»Õ»ÝÇ ·-Ý¦ ´´À</t>
  </si>
  <si>
    <t>ÀÝ¹³Ù»ÝÁ Ã»Ã¨ ³ñ¹.</t>
  </si>
  <si>
    <t>ö³Ûï³Ùß³ÏáõÙ</t>
  </si>
  <si>
    <t>§È.².Ü.². ¾¹»Ý¦ ö´À</t>
  </si>
  <si>
    <t>Ø³ë. §¶áýñáï³ñ³¦ ö´À</t>
  </si>
  <si>
    <t>§ºñ¨³Ý-Ï³ÑáõÛù¦ ´´À</t>
  </si>
  <si>
    <t>§Æç¨³ÝÇ öØÎ¦ ´´À</t>
  </si>
  <si>
    <t>§50/50¦ êäÀ</t>
  </si>
  <si>
    <t>§ê³ÉÙ³ëï Î³ÑáõÛù¦ êäÀ</t>
  </si>
  <si>
    <t>ÀÝ¹³Ù»ÝÁ ÷³Ûï³Ùß³Ï.</t>
  </si>
  <si>
    <t>Ð³Ýù³ñ¹ÛáõÝ³µ»ñáõÃÛáõÝ</t>
  </si>
  <si>
    <t>§¼³Ý·»½áõñÇ äØÎ¦ ö´À</t>
  </si>
  <si>
    <t>§²·³ñ³ÏÇ äØÎ¦ ö´À</t>
  </si>
  <si>
    <t xml:space="preserve">¸³Ý¹Ç öñÇßë Ø»ï³Éë Î³å³Ý </t>
  </si>
  <si>
    <t>§²ËÃ³É³ÛÇ ÈÐÎ¦ ö´À</t>
  </si>
  <si>
    <t>§ê³·³Ù³ñ¦ ö´À</t>
  </si>
  <si>
    <t>ÀÝ¹³Ù»ÝÁ`Ñ³Ýù³ñ¹.</t>
  </si>
  <si>
    <t>ÀÝ¹³Ù»ÝÁ Ñ³Ýù³ñ¹.</t>
  </si>
  <si>
    <t>Ø»ï³Éáõñ·Ç³</t>
  </si>
  <si>
    <t>§AMP¦ êäÀ</t>
  </si>
  <si>
    <t>§Ð³ÛÏ.äÕÇÝÓ Ìñ³·Çñ¦ ö´À</t>
  </si>
  <si>
    <t>§Ø³ùáõñ »ñÏ³Ã¦ ´´À</t>
  </si>
  <si>
    <t>§ÒáõÉ³Ï»ÝïñáÝ¦ ´´À</t>
  </si>
  <si>
    <t>§¶»á äñá Ø³ÛÝÇÝ· ¶áÉ¹¦ êäÀ</t>
  </si>
  <si>
    <t>§èáõë²É-²ñÙ»Ý²É¦ ö´À</t>
  </si>
  <si>
    <t>§Մետալ Ստիլ¦ ՓԲԸ</t>
  </si>
  <si>
    <t>§²ëÏ» ¶ñáõå¦ ´´À</t>
  </si>
  <si>
    <t>ÀÝ¹³Ù»ÝÁ`Ù»ï³Éáõñ·Ç³</t>
  </si>
  <si>
    <t>ÀÜ¸²ØºÜÀ`Ñ³Ýù³ñ¹ ¨ Ù»ï³Éáõñ·</t>
  </si>
  <si>
    <t>ÞÇÝ³ÝÛáõÃ»ñÇ ³ñï³¹ñáõÃ.</t>
  </si>
  <si>
    <t>§ø³ñ ¨ ³í³½¦ ö´À</t>
  </si>
  <si>
    <t>§ê³ñ³ÝÇëï¦ êäÀ</t>
  </si>
  <si>
    <t>§ÂáõñÇÝç¦ êäÀ</t>
  </si>
  <si>
    <t>§¶É³ë àõáéÉ¹ ø³Ù÷ÝÇ¦ ö´À</t>
  </si>
  <si>
    <t>§Þ»Ý ÎáÝó»éÝ¦ ö´À</t>
  </si>
  <si>
    <t>§ØÇÏ³  ó»Ù»Ýï¦   êäÀ</t>
  </si>
  <si>
    <t>ÀÝ¹³Ù»ÝÁ ßÇÝ³ÝÛáõÃ»ñ`</t>
  </si>
  <si>
    <t>ÀÝ¹³Ù»ÝÁ ßÇÝ³ÝÛáõÃ»ñ</t>
  </si>
  <si>
    <t>Սննդի արդյունաբերութ, այդ թվում`</t>
  </si>
  <si>
    <t>Խմիչքների արտադրութ.</t>
  </si>
  <si>
    <t>Երևանի կոնյակի գործարան</t>
  </si>
  <si>
    <t>Վեդի ալկո</t>
  </si>
  <si>
    <t>Հայասի Գրուպ</t>
  </si>
  <si>
    <t>ՄԱՊ ԲԲԸ</t>
  </si>
  <si>
    <t>Երևանի Արարատ կոնյակի-գինու-օղու կոմբինատ ԲԲԸ</t>
  </si>
  <si>
    <t>Պռոշյանի կոնյակի գործ.</t>
  </si>
  <si>
    <t>§Ա և Գ¦ ՍՊԸ</t>
  </si>
  <si>
    <t>Սակի ընդ Սանս</t>
  </si>
  <si>
    <t>Գյումրի գարեջուր</t>
  </si>
  <si>
    <t>«Շահնազ.» գինու-կոնյակի տուն ՍՊԸ</t>
  </si>
  <si>
    <t>Ջերմուկ Ինթերնեյշնլ ՍՊԸ</t>
  </si>
  <si>
    <t>Ընդամենը խմիչքների արտադր.`</t>
  </si>
  <si>
    <t>Սննդի այլ ոլորտներ</t>
  </si>
  <si>
    <t>§Շամբ բիզնես¦ ՍՊԸ</t>
  </si>
  <si>
    <t>§²ñ³ñ³ï¦ êÝÝ¹Ç ÎáÙµÇÝ³ï</t>
  </si>
  <si>
    <t>§Թամարա ֆրուտ¦</t>
  </si>
  <si>
    <t>§Եվրոթերմ¦</t>
  </si>
  <si>
    <t>§Ալեքս Գրիգ¦ ՍՊԸ</t>
  </si>
  <si>
    <t>§Աշտարակ Կաթ¦</t>
  </si>
  <si>
    <t>§Մանչո Գրուպ¦</t>
  </si>
  <si>
    <t>§Բիգա¦ ՍՊԸ</t>
  </si>
  <si>
    <t>§Աթենք¦</t>
  </si>
  <si>
    <t>Էկո տոմատո</t>
  </si>
  <si>
    <t>Առկոլադ</t>
  </si>
  <si>
    <t>§Նատֆուդ¦ ՓԲԸ</t>
  </si>
  <si>
    <t>Ամստեր ֆլաուերս</t>
  </si>
  <si>
    <t>§²ñ³ùë ÂéãÝ³ý³µñÇÏ³¦ ö´À</t>
  </si>
  <si>
    <t>Ընդամենը սննդի այլ ոլորտ`</t>
  </si>
  <si>
    <t>Ընդամենը սննդի արդ.</t>
  </si>
  <si>
    <t>²ÏÝ³·áñÍ.¨ áëÏ»·áñÍ,այդ թվում`</t>
  </si>
  <si>
    <t>Ակնագործություն</t>
  </si>
  <si>
    <t>§²ñ¨³ÏÝ¦ êäÀ</t>
  </si>
  <si>
    <t>§ê³åýÇñ¦ ö´À</t>
  </si>
  <si>
    <t xml:space="preserve"> §ÈáñÇ¦ êäÀ</t>
  </si>
  <si>
    <t>§²Ý¹ñ³ÝÇÏ¦ êäÀ</t>
  </si>
  <si>
    <t>§¸³ÛÙáÃ»ù¦ êäÀ</t>
  </si>
  <si>
    <t>¾Û-¾É-ÂÇ</t>
  </si>
  <si>
    <t>§Òáñ³·ÛáõÕ¦ ²Î</t>
  </si>
  <si>
    <t xml:space="preserve">ÀÝ¹³Ù»ÝÁ ակնագործութ.` </t>
  </si>
  <si>
    <t>Ոսկեգործություն</t>
  </si>
  <si>
    <t>§Գնոմոն-1¦ ՍՊԸ</t>
  </si>
  <si>
    <t>ºñ¨³ÝÇ áëÏ»ñã. ·-Ý ´´À</t>
  </si>
  <si>
    <t>§²ñ³ùë-¶áÉ¹¦ êäÀ</t>
  </si>
  <si>
    <t>§æ»Û êÇ ¾Û¦ ö´À</t>
  </si>
  <si>
    <t xml:space="preserve">ÀÝ¹³Ù»ÝÁ` </t>
  </si>
  <si>
    <t>Ընդամենը ակնագործ. և ոսկերչութ.</t>
  </si>
  <si>
    <t>¶Çï³³ñï³¹ñ³Ï³Ý Ñ³Ù³ÉÇñ</t>
  </si>
  <si>
    <t>§È»éÝ³Ù»ï³Éáõñ·Ç³¦ ö´À</t>
  </si>
  <si>
    <t>§ÜÛáõÃ³µ³ÝáõÃÛáõÝ ¶²Ò¦ ö´À</t>
  </si>
  <si>
    <t>§Üáñ³ÙáõÍáõÃÛ³Ý ¨ Ó»éÝ»ñ»óáõÃÛ³Ý ²Î¦ ö´À</t>
  </si>
  <si>
    <t>§ºñ¨³ÝÇ äÉ³ëïåáÉ. ¶ÐÆ¦ ö´À</t>
  </si>
  <si>
    <t>§¾É»Ïïñ³Ù³ß ¶ÐÆ¦ ö´À</t>
  </si>
  <si>
    <t>§ÎáÙ»ï³¦ ´´À</t>
  </si>
  <si>
    <t>§²Éý³¦ ö´À</t>
  </si>
  <si>
    <t>§ø³ñ ¨ ëÇÉÇÏ³ïÝ»ñ¦ ö´À</t>
  </si>
  <si>
    <t>§¾É³ë¦ ö´À</t>
  </si>
  <si>
    <t xml:space="preserve">ÀÝ¹³Ù»ÝÁ </t>
  </si>
  <si>
    <t>Ð³ïáõÏ Íñ³·ñ»ñ</t>
  </si>
  <si>
    <t>§²ñÇ³Ï¦ ö´À</t>
  </si>
  <si>
    <t>§¾É»ÏïñáÝ¦ ´´À</t>
  </si>
  <si>
    <t>Երևանի շամպայն գինիների գործ.</t>
  </si>
  <si>
    <t>Արենի գինու գործարան</t>
  </si>
  <si>
    <t>Երևանի գարեջուր</t>
  </si>
  <si>
    <t>Երևանի շամպայն գինիներ</t>
  </si>
  <si>
    <t>Գոլդեն Գրեյպ Արմաս</t>
  </si>
  <si>
    <t>Բեկոն Պրոդուկտ</t>
  </si>
  <si>
    <t>Ծխախոտի արտադրություն</t>
  </si>
  <si>
    <t>Գրանդ Տոբակո</t>
  </si>
  <si>
    <t>Մասիս Տոբակո</t>
  </si>
  <si>
    <t>«Էկո Տոմատո» ՓԲԸ</t>
  </si>
  <si>
    <t>«Ագնեսա» արտադր. կոոպ.</t>
  </si>
  <si>
    <t>«Ջերմուկ Գրուպ» ՓԲԸ</t>
  </si>
  <si>
    <t>«Ջերմուկ Ինթերնեյշնլ Պեպսի-Կոլա Բոթլեր» ՍՊԸ</t>
  </si>
  <si>
    <t>«Ռուսալ Արմենալ» ՓԲԸ</t>
  </si>
  <si>
    <t>§Ø³ùáõñ ԵñÏ³Ã¦ ´´À</t>
  </si>
  <si>
    <t>«Ա և Գ» ՍՊԸ</t>
  </si>
  <si>
    <t>Գինու-Կոնյակի տուն «Շահնազարյան» ՍՊԸ</t>
  </si>
  <si>
    <t>«Արկոլադ» ՓԲԸ</t>
  </si>
  <si>
    <t>Գոլդեն Գրեյփ Արմաս</t>
  </si>
  <si>
    <t>«Իջևանի գինու գործարան»</t>
  </si>
  <si>
    <t>«Սաթենկար» ՍՊԸ</t>
  </si>
  <si>
    <t>«ՌՌՌ» հանքային ջրերի գործարան ՓԲԸ</t>
  </si>
  <si>
    <t>ՀՀ էկոնոմիկայի նախարարության կողմից մոնիտորինգում ընդգրկված արդյունաբերական ոլորտների տնտեսական ցուցանիշների մասին                                                                                                                                 (օպերատիվ տեղեկատվություն 01.03.2014թ.դրությամբ)/ընթացիկ գներով /հազ.ՀՀ դրամ/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</si>
  <si>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01.03.2014Ã. ¹ñáõÃÛ³Ùµ (ընթացիկ գներով) /Ñ³½.ÐÐ ¹ñ³Ù/</t>
  </si>
  <si>
    <r>
      <t xml:space="preserve">Սննդի արդյունաբերութ, </t>
    </r>
    <r>
      <rPr>
        <sz val="10"/>
        <rFont val="Arial Armenian"/>
        <family val="2"/>
      </rPr>
      <t>այդ թվում`</t>
    </r>
  </si>
  <si>
    <r>
      <t xml:space="preserve">²ÏÝ³·áñÍ. ¨ áëÏ»·áñÍ, </t>
    </r>
    <r>
      <rPr>
        <sz val="9"/>
        <rFont val="Arial Armenian"/>
        <family val="2"/>
      </rPr>
      <t>այդ թվում`</t>
    </r>
  </si>
  <si>
    <t>«ՍՊՍ Սիգարոն» ՍՊԸ</t>
  </si>
  <si>
    <t>Վանաձորի §¶ÉáñÇ³¦ ·ÉË. ֆ³µñÇÏ³ ֆաբրիկա» ՍՊԸ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</si>
  <si>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01.03.2014Ã. ¹ñáõÃÛ³Ùµ (ընթացիկ գներով) /մլն.ÐÐ ¹ñ³Ù/</t>
  </si>
  <si>
    <t>ՀՀ էկոնոմիկայի նախարարության կողմից մոնիտորինգում ընդգրկված արդյունաբերական ոլորտների տնտեսական ցուցանիշների մասին                                                                                                                                 (օպերատիվ տեղեկատվություն 01.03.2014թ.դրությամբ)/ընթացիկ գներով /մլրդ.ՀՀ դրամ/</t>
  </si>
  <si>
    <t xml:space="preserve">2013թ. Հունվար-փետրվար  </t>
  </si>
  <si>
    <t xml:space="preserve">2013թ. Հունվար-փետրվար </t>
  </si>
  <si>
    <t>2013թ. Հունվար-փետրվար</t>
  </si>
  <si>
    <t>2014թ.
Հունվար-փետրվար</t>
  </si>
  <si>
    <t xml:space="preserve">2013թ. Հունվար-փետրվար   </t>
  </si>
  <si>
    <t>2014թ.
Փետրվար</t>
  </si>
  <si>
    <t xml:space="preserve">2013թ.
Փետրվար  </t>
  </si>
  <si>
    <t>ö³ëï ³ßË³ïáÕ. ù³Ý³Ï, 2014թ.
Փետրվար</t>
  </si>
  <si>
    <t>ØÇç. ³ßË³ï³í³ñÓ,
2014թ. Փետրվար</t>
  </si>
  <si>
    <t>Ü³Ë. ³Ùëí³ ÷³ëï. ³ßË ù³Ý³Ï,
2014թ. Հունվար</t>
  </si>
  <si>
    <t>«Վանաձորի կարի ֆաբրիկա» ՍՊԸ</t>
  </si>
  <si>
    <t>§Þ»Ý Հոլդինգ¦ ö´À</t>
  </si>
  <si>
    <t>ö³ëï ³ßË³ïáÕ. ù³-Ý³Ï, 2014թ.
Փետրվար</t>
  </si>
  <si>
    <t>ØÇç. ³ßË³ï³í³ñÓ,
2014թ.
Փետրվար</t>
  </si>
  <si>
    <t>Ü³Ë. ³Ùëí³ ÷³ëï. ³ßË ù³Ý³Ï,
2014թ.
Հունվար</t>
  </si>
  <si>
    <t>ՀՀ էկոնոմիկայի նախարարության կողմից մոնիտորինգում ընդգրկված արդյունաբերական ոլորտների տնտեսական ցուցանիշների մասին                                                                                                                                 (օպերատիվ տեղեկատվություն 01.04.2014թ.դրությամբ)/ընթացիկ գներով /մլրդ.ՀՀ դրամ/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</si>
  <si>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01.04.2014Ã. ¹ñáõÃÛ³Ùµ (ընթացիկ գներով) /մլն.ÐÐ ¹ñ³Ù/</t>
  </si>
  <si>
    <t>2014թ.
Հունվար-մարտ</t>
  </si>
  <si>
    <t xml:space="preserve">2013թ. Հունվար-մարտ  </t>
  </si>
  <si>
    <t>2014թ.
Մարտ</t>
  </si>
  <si>
    <t xml:space="preserve">2013թ.
Մարտ  </t>
  </si>
  <si>
    <t xml:space="preserve">2013թ. Հունվար-մարտ </t>
  </si>
  <si>
    <t>2013թ. Հունվար-մարտ</t>
  </si>
  <si>
    <t>ö³ëï ³ßË³ïáÕ. ù³Ý³Ï, 2014թ.
Մարտ</t>
  </si>
  <si>
    <t>Ü³Ë. ³Ùëí³ ÷³ëï. ³ßË ù³Ý³Ï,
2014թ. Փետրվար</t>
  </si>
  <si>
    <t>ØÇç. ³ßË³ï³í³ñÓ,
2014թ. Մարտ</t>
  </si>
  <si>
    <t xml:space="preserve">2013թ. Հունվար-մարտ   </t>
  </si>
  <si>
    <t>ö³ëï ³ßË³ïáÕ. ù³-Ý³Ï, 2014թ.
Մարտ</t>
  </si>
  <si>
    <t>Ü³Ë. ³Ùëí³ ÷³ëï. ³ßË ù³Ý³Ï,
2014թ.
Փետրվար</t>
  </si>
  <si>
    <t xml:space="preserve">ØÇç. ³ßË³ï³í³ñÓ,
2014թ. Մարտ
</t>
  </si>
  <si>
    <t xml:space="preserve">2013թ.
Մարտ </t>
  </si>
  <si>
    <t>2014թ.
Հունվար-Ապրիլ</t>
  </si>
  <si>
    <t xml:space="preserve">2013թ. Հունվար-Ապրիլ  </t>
  </si>
  <si>
    <t>2014թ.
Ապրիլ</t>
  </si>
  <si>
    <t xml:space="preserve">2013թ.
Ապրիլ  </t>
  </si>
  <si>
    <t>2013թ. Հունվար-Ապրիլ</t>
  </si>
  <si>
    <t>ö³ëï ³ßË³ïáÕ. ù³Ý³Ï, 2014թ.
Ապրիլ</t>
  </si>
  <si>
    <t>2014թ.
Հունվար-ապրիլ</t>
  </si>
  <si>
    <t xml:space="preserve">2013թ. Հունվար-ապրիլ  </t>
  </si>
  <si>
    <t xml:space="preserve">2013թ.
ապրիլ </t>
  </si>
  <si>
    <t xml:space="preserve">2013թ. Հունվար-ապրիլ </t>
  </si>
  <si>
    <t>2013թ. Հունվար-ապրիլ</t>
  </si>
  <si>
    <t>ö³ëï ³ßË³ïáÕ. ù³-Ý³Ï, 2014թ.
Ապրիլ</t>
  </si>
  <si>
    <t>ØÇç. ³ßË³ï³í³ñÓ,
2014թ.
Ապրիլ</t>
  </si>
  <si>
    <t>ՀՀ էկոնոմիկայի նախարարության կողմից մոնիտորինգում ընդգրկված արդյունաբերական ոլորտների տնտեսական ցուցանիշների մասին                                                                                                                                 (օպերատիվ տեղեկատվություն 01.05.2014թ.դրությամբ)/ընթացիկ գներով /հազար.ՀՀ դրամ/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</si>
  <si>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01.05.2014Ã. ¹ñáõÃÛ³Ùµ (ընթացիկ գներով) /հազ.ÐÐ ¹ñ³Ù/</t>
  </si>
  <si>
    <r>
      <t xml:space="preserve">Ø»ù»Ý³ßÇÝ³Ï³Ý ³ñ¹ÛáõÝ³µ»ñáõÃÛáõÝ` </t>
    </r>
    <r>
      <rPr>
        <sz val="10"/>
        <rFont val="Arial Armenian"/>
        <family val="2"/>
      </rPr>
      <t>³Û¹ ÃíáõÙ</t>
    </r>
  </si>
  <si>
    <r>
      <t xml:space="preserve">²ÏÝ³·áñÍ. ¨ áëÏ»·áñÍ, </t>
    </r>
    <r>
      <rPr>
        <sz val="10"/>
        <rFont val="Arial Armenian"/>
        <family val="2"/>
      </rPr>
      <t>այդ թվում`</t>
    </r>
  </si>
  <si>
    <t>ØÇç. ³ßË³ï³í³ñÓ
2014թ Ապրիլ</t>
  </si>
  <si>
    <t xml:space="preserve">Ü³Ëորդ ³Ùëí³ ÷³ëï. ³ßË ù³Ý³Ï,
</t>
  </si>
  <si>
    <t>«Սակի ընդ Սանս» ՓԲԸ</t>
  </si>
  <si>
    <t>«Մասիս Տոբակո» ՍՊԸ</t>
  </si>
  <si>
    <t>«Երևանի շամպայն գինիների գործարան» ԲԲԸ</t>
  </si>
  <si>
    <t>«Երևանի գարեջուր» ՓԲԸ</t>
  </si>
  <si>
    <t>2014թ.
Հունվար-Մայիս</t>
  </si>
  <si>
    <t>2013թ. Հունվար-Մայիս</t>
  </si>
  <si>
    <t>2014թ.
Մայիս</t>
  </si>
  <si>
    <t>2013թ.
Մայիս</t>
  </si>
  <si>
    <t>«ՀԱԷԿ» ՓԲԸ</t>
  </si>
  <si>
    <t>«Երևանի ՋԷԿ» ՓԲԸ</t>
  </si>
  <si>
    <t>«Որոտանի ՀԷԿՀ» ՓԲԸ</t>
  </si>
  <si>
    <t>«ԲԷՑ» ՓԲԸ</t>
  </si>
  <si>
    <t>«Էլ.էներգետիկ համակարգի օպերատոր» ՓԲԸ</t>
  </si>
  <si>
    <t>«Հաշվարկային կենտրոն» ՓԲԸ</t>
  </si>
  <si>
    <t>«Էներգակարգաբերում» ՓԲԸ</t>
  </si>
  <si>
    <t>«էներգետիկայի գիտահետազոտական ինստիտուտ» ՓԲԸ</t>
  </si>
  <si>
    <t>«Հայատոմ» ՓԲԸ</t>
  </si>
  <si>
    <t>«Անալիտիկ» ՓԲԸ</t>
  </si>
  <si>
    <t>«Հայաստանի էլ.ցանցեր» ՓԲԸ</t>
  </si>
  <si>
    <t>«Միջազգային էներգետիկ կորպորացիա» ՓԲԸ</t>
  </si>
  <si>
    <t>«Հրազ ՋԷԿ» ԲԲԸ</t>
  </si>
  <si>
    <t>«Գազպրոմ Արմենիա» ՓԲԸ</t>
  </si>
  <si>
    <t>«Տրանսգազ» ՍՊԸ</t>
  </si>
  <si>
    <t>Տրանսպորտ և կապ</t>
  </si>
  <si>
    <t xml:space="preserve"> էներգետիկա</t>
  </si>
  <si>
    <t>Աճի տեմպը %</t>
  </si>
  <si>
    <t>Տվյալ ամսվա փաստ.աշխատողների քանակը</t>
  </si>
  <si>
    <t>Տվյալ ամսվա միջին աշխատավարձը</t>
  </si>
  <si>
    <t>Արտադրանք (ընթացիկ գներով)</t>
  </si>
  <si>
    <t xml:space="preserve">            Իրացում</t>
  </si>
  <si>
    <t>Արտահանում</t>
  </si>
  <si>
    <t>Տվյալ ամսվա միջին աշխատավարձը /հազ.դր/</t>
  </si>
  <si>
    <t>Տվյալ ամսվա փաստ.աշխատ. Քանակը</t>
  </si>
  <si>
    <t>«Վարչատնտեսական« ՓԲԸ</t>
  </si>
  <si>
    <t>«Հայավտոկայարան« ՓԲԸ</t>
  </si>
  <si>
    <t>«Հայաստանի Հեռուստատեսային և ռադիոհաղորդիչ ցանց« ՓԲԸ</t>
  </si>
  <si>
    <t>«Հատուկ կապ« ՓԲԸ</t>
  </si>
  <si>
    <t>«Երկաթուղու շինարարության տնօրինություն« ՓԲԸ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</si>
  <si>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01.06.2014թ.դրությամբ)/ընթացիկ գներով /մլրդ ՀՀ դրամ/</t>
  </si>
  <si>
    <t>Ոլորտ</t>
  </si>
  <si>
    <t>Ընկերության անվանումը</t>
  </si>
  <si>
    <t>Ընդամենը սննդի արդյունաբերություն., այդ թվում`</t>
  </si>
  <si>
    <t xml:space="preserve">ակնագործություն </t>
  </si>
  <si>
    <t xml:space="preserve">ոսկեգործություն </t>
  </si>
  <si>
    <t>Ընդամենը ակնագործություն և ոսկեգործություն, այդ թվում`</t>
  </si>
  <si>
    <t xml:space="preserve">գիտարտադրական համալիր, այդ թվում` </t>
  </si>
  <si>
    <t>ընդամենը, այդ թվում`</t>
  </si>
  <si>
    <t>ԷՆԵՐԳԵՏԻԿԱ</t>
  </si>
  <si>
    <t>ՏՐԱՆՍՊՈՐՏ ԵՎ ԿԱՊ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</si>
  <si>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01.06.2014թ.դրությամբ, ընթացիկ գներով)     /հազ. դրամ/</t>
    </r>
  </si>
  <si>
    <t>Արդյունաբերություն` ներառյալ էներգետիկա</t>
  </si>
  <si>
    <t>հանքարդարդյունաբերություն</t>
  </si>
  <si>
    <t>մշակող արդյունաբերություն, այդ թվում`</t>
  </si>
  <si>
    <t>մետալուրգիա /հազ.դր/</t>
  </si>
  <si>
    <t>շինանյութեր /հազ.դր/</t>
  </si>
  <si>
    <t>ակնագործ. և ոսկեգործ. /հազ.դր/</t>
  </si>
  <si>
    <t>հաստոցագործիքաշին</t>
  </si>
  <si>
    <t>սարքաշինություն</t>
  </si>
  <si>
    <t>էլեկտրատեխնիկա</t>
  </si>
  <si>
    <t>քիմիա և դեղագործ.</t>
  </si>
  <si>
    <t>սննդի արդյունաբերություն</t>
  </si>
  <si>
    <t>թեթև արդյունաբերություն</t>
  </si>
  <si>
    <t>փայտամշակում</t>
  </si>
  <si>
    <t>գիտարտադրական համալիր</t>
  </si>
  <si>
    <t>Արդյունաբերություն,           այդ թվում`</t>
  </si>
  <si>
    <t xml:space="preserve">սննդի այլ ոլորտներ    </t>
  </si>
  <si>
    <t>ծխախոտի արտադրություն</t>
  </si>
  <si>
    <t>հանքարդյունաբերություն և բաց հանքերի շահագործում</t>
  </si>
  <si>
    <t>Ընդամենը` հանքարդյունաբերություն, բաց հանքերի շահագործում և մետալուրգիա, այդ թվում`</t>
  </si>
  <si>
    <t>փայտամշակում,                                                այդ թվում`</t>
  </si>
  <si>
    <t xml:space="preserve">ընդամենը, այդ թվում` </t>
  </si>
  <si>
    <t>Մեքենաշինական արդյունաբերություն` այդ թվում</t>
  </si>
  <si>
    <t>ԸՆԴԱՄԵՆԸ`մեքենաշինություն</t>
  </si>
  <si>
    <t xml:space="preserve">հաստոցագործիքաշին,                     այդ թվում`  </t>
  </si>
  <si>
    <t>Ինտերհաստոց բբը</t>
  </si>
  <si>
    <t>Հարվալ Մաշինըրի ՍՊԸ</t>
  </si>
  <si>
    <t>Արմավ.հաստ.գ-ն բբը</t>
  </si>
  <si>
    <t>«Երևանի Հիդրոհաղորդակ գործարանե ԲԲԸ</t>
  </si>
  <si>
    <t>Չարենց.գործիքաշին.գ-ն բբը</t>
  </si>
  <si>
    <t>Ալմաստ փբը</t>
  </si>
  <si>
    <t>Տեխսարքավորում բբը</t>
  </si>
  <si>
    <t>«Կապանի մեքենաշինական գործարանե ԲԲԸ</t>
  </si>
  <si>
    <t>Ջրկոնստրուկցիա ՍՊԸ</t>
  </si>
  <si>
    <t>«Ավտոգեն-Մե ՍՊԸ</t>
  </si>
  <si>
    <t xml:space="preserve">Կոմպրեսորների գ-ն բբը </t>
  </si>
  <si>
    <t>ԵԱԶ ԲԲԸ</t>
  </si>
  <si>
    <t>Արթիկի Ապակեմեք.բբը</t>
  </si>
  <si>
    <t xml:space="preserve">ՙԱստրա՚ ՓԲԸ </t>
  </si>
  <si>
    <t>ՙՔարհատ՚ Մեքենա՚ ՓԲԸ</t>
  </si>
  <si>
    <t>ՙԲոռ՚ ԲԲԸ</t>
  </si>
  <si>
    <t>Վան. ՙՉինվան՚ ՍՊԸ</t>
  </si>
  <si>
    <t>ՙԳոլդեն Ֆիլդ՚ ՍՊԸ</t>
  </si>
  <si>
    <t xml:space="preserve">սարքաշինություն,                          այդ թվում` </t>
  </si>
  <si>
    <t>Էլեկտրասարք ԲԲԸ</t>
  </si>
  <si>
    <t>«ՌԱՕ Մարսե ՓԲԸ</t>
  </si>
  <si>
    <t>Կոննեկտ ԲԲԸ</t>
  </si>
  <si>
    <t>Գամմա ԲԲԸ</t>
  </si>
  <si>
    <t>Անալիտսարք ՓԲԸ</t>
  </si>
  <si>
    <t xml:space="preserve">Ռաֆէլգրիգ ԲԲԸ </t>
  </si>
  <si>
    <t>Վան ԲԲԸ</t>
  </si>
  <si>
    <t>ՙԱնալիտ-1՚ ԲԲԸ</t>
  </si>
  <si>
    <t>Իմպուլս ԲԲԸ</t>
  </si>
  <si>
    <t>ՙԱրիակ՚ ՓԲԸ</t>
  </si>
  <si>
    <t>էլեկտրատեխնւկա,                 այդ թվում`</t>
  </si>
  <si>
    <t>Հայէլեկտրամեքենա ԲԲԸ</t>
  </si>
  <si>
    <t>Տրանսէլեկտրիկ ՍՊԸ</t>
  </si>
  <si>
    <t>Արմենմոտոր ՓԲԸ</t>
  </si>
  <si>
    <t>Էլեկտրաապարատ ԲԲԸ</t>
  </si>
  <si>
    <t>Գրանդ Սան ՍՊԸ</t>
  </si>
  <si>
    <t>ԲՀԷՍ Պլազմա ԲԲԸ</t>
  </si>
  <si>
    <t>Էլբատ ՓԲԸ</t>
  </si>
  <si>
    <t>Էլեկտրա.ինժեներինգ ՓԲԸ</t>
  </si>
  <si>
    <t>քիմիա,                                    այդ թվում`</t>
  </si>
  <si>
    <t>ՙՆաիրիտ-գործարան՚ ՓԲԸ</t>
  </si>
  <si>
    <t>ՙՎանաձոր-Քիմպրոմ՚ՓԲԸ</t>
  </si>
  <si>
    <t>ՙՄուրադ-Սար՚ՍՊԸ</t>
  </si>
  <si>
    <t>Քիմ.դեղագ.ֆիրմա ԲԲԸ</t>
  </si>
  <si>
    <t>ՙԿենցաղքիմ՚ ԲԲԸ</t>
  </si>
  <si>
    <t>ՙԱպակեմեկուսիչ՚ԲԲԸ</t>
  </si>
  <si>
    <t>ՙՔրաուն Քեմիքալ՚ ՍՊԸ</t>
  </si>
  <si>
    <t>ՙԼիկվոր՚ ՓԲԸ</t>
  </si>
  <si>
    <t>ՙԱրփիմեդ՚ ՍՊԸ</t>
  </si>
  <si>
    <t>ՙՎիտամաքս-Ե՚ ՍՊԸ</t>
  </si>
  <si>
    <t>ՙՖարմատեք՚ ՍՊԸ</t>
  </si>
  <si>
    <t>ՙԷլեկտրոն՚ ԲԲԸ</t>
  </si>
  <si>
    <t>թեթև արդյունաբերություն, այդ թվում`</t>
  </si>
  <si>
    <t>ՙՍարտոն՚ ՍՊԸ</t>
  </si>
  <si>
    <t>ՙԳյ.Մանվ. ֆ-կա՚ ԲԲԸ</t>
  </si>
  <si>
    <t>ՙԷն Վայ Էյ Դի՚ՍՊԸ</t>
  </si>
  <si>
    <t>ՙԱրմեն-Կարպետ՚ ԲԲԸ</t>
  </si>
  <si>
    <t>ՙՎԿՍ Արմենիա՚ ՍՊԸ</t>
  </si>
  <si>
    <t>ՙՄահուդ՚ ՓԲԸ</t>
  </si>
  <si>
    <t>ՙՋրաշող՚ ՓԲԸ</t>
  </si>
  <si>
    <t>ՙՏոսպ՚ ԲԲԸ</t>
  </si>
  <si>
    <t>ՙՆուբ.տրիկոտ.ֆ-կա՚ ԲԲԸ</t>
  </si>
  <si>
    <t>ՙԳևորգ և Վահան՚ ՍՊԸ</t>
  </si>
  <si>
    <t>ՙՀ. Էդ.Հայաս Գրուպ՚ ԲԲԸ</t>
  </si>
  <si>
    <t>ՙԱրշալույս՚ ԲԲԸ</t>
  </si>
  <si>
    <t>ՙԲազում Ֆիրմա՚ ԱԿ</t>
  </si>
  <si>
    <t>ՙՎանուհի՚ ԲԲԸ</t>
  </si>
  <si>
    <t>ՙԲրատեքս՚ ԲԲԸ</t>
  </si>
  <si>
    <t>ՙՆայթեքս՚ ԲԲԸ</t>
  </si>
  <si>
    <t>ՙՔանաքեռ՚ կարի ԲԲԸ</t>
  </si>
  <si>
    <t>«Վանաձորի կարի ֆաբրիկաե ՍՊԸ</t>
  </si>
  <si>
    <t>ՙԿաշի՚ ԲԲԸ</t>
  </si>
  <si>
    <t>ՙԿաշվե-գալանտեր ֆ-կա՚ԲԲԸ</t>
  </si>
  <si>
    <t>ՙԼյուքս՚ ԲԲԸ</t>
  </si>
  <si>
    <t>ՙԷլեն-93՚ ՍՊԸ</t>
  </si>
  <si>
    <t>ՙՊլաստիկ՚ ԲԲԸ</t>
  </si>
  <si>
    <t>ՙՄեգերյան-կարպետ՚ ԲԲԸ</t>
  </si>
  <si>
    <t>ՙՄետաղամանեղենի գ-ն՚ ԲԲԸ</t>
  </si>
  <si>
    <t>«Ագնեսաե արտադր. կոոպ.</t>
  </si>
  <si>
    <t>«Սաթենկարե ՍՊԸ</t>
  </si>
  <si>
    <t>ՙԼ.Ա.Ն.Ա. Էդեն՚ ՓԲԸ</t>
  </si>
  <si>
    <t>Մաս. ՙԳոֆրոտարա՚ ՓԲԸ</t>
  </si>
  <si>
    <t>ՙԵրևան-կահույք՚ ԲԲԸ</t>
  </si>
  <si>
    <t>ՙԻջևանի ՓՄԿ՚ ԲԲԸ</t>
  </si>
  <si>
    <t>ՙ50/50՚ ՍՊԸ</t>
  </si>
  <si>
    <t>ՙՍալմաստ Կահույք՚ ՍՊԸ</t>
  </si>
  <si>
    <t>ՙԶանգեզուրի ՊՄԿ՚ ՓԲԸ</t>
  </si>
  <si>
    <t>ՙԱգարակի ՊՄԿ՚ ՓԲԸ</t>
  </si>
  <si>
    <t>«Դանդի Փրիշս Մեթալս Կապանե ՓԲԸ</t>
  </si>
  <si>
    <t>ՙԱխթալայի ԼՀԿ՚ ՓԲԸ</t>
  </si>
  <si>
    <t>ՙՍագամար՚ ՓԲԸ</t>
  </si>
  <si>
    <t>«Միկա-Ցեմենտե ՓԲԸ</t>
  </si>
  <si>
    <t>ՙԹուրինջ՚ ՍՊԸ</t>
  </si>
  <si>
    <t>ՙՔար և ավազ՚ ՓԲԸ</t>
  </si>
  <si>
    <t xml:space="preserve">մետալուրգիա                                </t>
  </si>
  <si>
    <t>ՙAMP՚ ՍՊԸ</t>
  </si>
  <si>
    <t>ՙՀայկ.Պղինձ Ծրագիր՚ ՓԲԸ</t>
  </si>
  <si>
    <t>ՙՄաքուր Երկաթ՚ ԲԲԸ</t>
  </si>
  <si>
    <t>ՙՁուլակենտրոն՚ ԲԲԸ</t>
  </si>
  <si>
    <t>ՙԳեո Պրո Մայնինգ Գոլդ՚ ՍՊԸ</t>
  </si>
  <si>
    <t>«Ռուսալ Արմենալե ՓԲԸ</t>
  </si>
  <si>
    <t>ՙՄետալ Ստիլ՚ ՓԲԸ</t>
  </si>
  <si>
    <t>ՙԱսկե Գրուպ՚ ԲԲԸ</t>
  </si>
  <si>
    <t xml:space="preserve">շինանյութերի արտադրություն`      այդ թվում` </t>
  </si>
  <si>
    <t>ՙՇեն Հոլդինգ՚ ՓԲԸ</t>
  </si>
  <si>
    <t>ՙՍարանիստ՚ ՍՊԸ</t>
  </si>
  <si>
    <t>ՙԳլաս Ուոռլդ Քամփնի՚ ՓԲԸ</t>
  </si>
  <si>
    <t>ՙՇամբ բիզնես՚ ՍՊԸ</t>
  </si>
  <si>
    <t>ՙԱրարատ՚ Սննդի Կոմբինատ</t>
  </si>
  <si>
    <t>ՙԹամարա ֆրուտ՚</t>
  </si>
  <si>
    <t>ՙԵվրոթերմ՚</t>
  </si>
  <si>
    <t>ՙԱլեքս Գրիգ՚ ՍՊԸ</t>
  </si>
  <si>
    <t>ՙԱշտարակ Կաթ՚</t>
  </si>
  <si>
    <t>ՙՄանչո Գրուպ՚</t>
  </si>
  <si>
    <t>ՙԲիգա՚ ՍՊԸ</t>
  </si>
  <si>
    <t>ՙԱթենք՚</t>
  </si>
  <si>
    <t>«Էկո Տոմատոե ՓԲԸ</t>
  </si>
  <si>
    <t>«Արկոլադե ՓԲԸ</t>
  </si>
  <si>
    <t>ՙՆատֆուդ՚ ՓԲԸ</t>
  </si>
  <si>
    <t>ՙԱրաքս Թռչնաֆաբրիկա՚ ՓԲԸ</t>
  </si>
  <si>
    <t>ՙԱրևակն՚ ՍՊԸ</t>
  </si>
  <si>
    <t>ՙՍապֆիր՚ ՓԲԸ</t>
  </si>
  <si>
    <t>ՙԼորի՚ ՍՊԸ</t>
  </si>
  <si>
    <t>ՙԱնդրանիկ՚ ՍՊԸ</t>
  </si>
  <si>
    <t>ՙԴայմոթեք՚ ՍՊԸ</t>
  </si>
  <si>
    <t>Էյ-Էլ-Թի</t>
  </si>
  <si>
    <t>ՙՁորագյուղ՚ ԱԿ</t>
  </si>
  <si>
    <t>ՙԳնոմոն-1՚ ՍՊԸ</t>
  </si>
  <si>
    <t>Երևանի ոսկերչ. գ-ն ԲԲԸ</t>
  </si>
  <si>
    <t>ՙԱրաքս-Գոլդ՚ ՍՊԸ</t>
  </si>
  <si>
    <t>ՙՋեյ Սի Էյ՚ ՓԲԸ</t>
  </si>
  <si>
    <t>ՙԼեռնամետալուրգիա՚ ՓԲԸ</t>
  </si>
  <si>
    <t>ՙՆորամուծության և ձեռներեցության ԱԿ՚ ՓԲԸ</t>
  </si>
  <si>
    <t>ՙԵրևանի Պլաստպոլ. ԳՀԻ՚ ՓԲԸ</t>
  </si>
  <si>
    <t>ՙԷլեկտրամաշ ԳՀԻ՚ ՓԲԸ</t>
  </si>
  <si>
    <t>ՙԿոմետա՚ ԲԲԸ</t>
  </si>
  <si>
    <t>ՙԱլֆա՚ ՓԲԸ</t>
  </si>
  <si>
    <t>ՙՆյութաբանություն ԳԱՁ՚ ՓԲԸ</t>
  </si>
  <si>
    <t>ՙԷլաս՚ ՓԲԸ</t>
  </si>
  <si>
    <t>ՙՔար և սիլիկատներ՚ ՓԲԸ</t>
  </si>
  <si>
    <t>2014թ.
Հունվար-Հունիս</t>
  </si>
  <si>
    <t>2013թ. Հունվար-Հունիս</t>
  </si>
  <si>
    <t>2014թ.
Հունիս</t>
  </si>
  <si>
    <t>2013թ.
Հունիս</t>
  </si>
  <si>
    <t xml:space="preserve">սարքաշինություն,                             այդ թվում` </t>
  </si>
  <si>
    <t>էլեկտրատեխնւկա,                        այդ թվում`</t>
  </si>
  <si>
    <t>Ծառայություններ</t>
  </si>
  <si>
    <t xml:space="preserve">«Տոնուս Լես« </t>
  </si>
  <si>
    <t>«Ինթերնեյշնլ Մասիս տաբակ»</t>
  </si>
  <si>
    <t>ԼՏ Պիրկալ</t>
  </si>
  <si>
    <t>Ագոփյան Ջուելրզ ՓԲԸ</t>
  </si>
  <si>
    <t>Երևանի կապի միջոցների ԳՀԻ ՓԲԸ</t>
  </si>
  <si>
    <t>Գրանդ Քենդի ՓԲԸ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</si>
  <si>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2014թ.հունվար-հունիս ժամանակահատված,  ընթացիկ գներով)     /հազ. դրամ/</t>
    </r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</si>
  <si>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2014թ.հունվար-հունիս ժամանակահատված), ընթացիկ գներով /մլրդ ՀՀ դրամ/</t>
  </si>
  <si>
    <t>Ընդամենը մեքենաշինություն, այդ թվում`</t>
  </si>
  <si>
    <t>հանքարդարդյունաբերություն և բաց հանքերի շահագործում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</si>
  <si>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</si>
  <si>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</si>
  <si>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</si>
  <si>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</si>
  <si>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</si>
  <si>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</si>
  <si>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</si>
  <si>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</si>
  <si>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</si>
  <si>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</si>
  <si>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</si>
  <si>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«Երևանի շամպայն գինիների գ-ն» ԲԲԸ</t>
  </si>
  <si>
    <t xml:space="preserve">Գինու-Կոնյակի տուն «Շահնազարյան» </t>
  </si>
  <si>
    <t xml:space="preserve">Ոսկեգործություն </t>
  </si>
  <si>
    <t xml:space="preserve">Գիտարտադրական համալիր, ընդամենը` </t>
  </si>
  <si>
    <t xml:space="preserve">Ծառայություններ </t>
  </si>
  <si>
    <t>Շինանյութերի արտադրություն</t>
  </si>
  <si>
    <t>Աճի տեմպ %</t>
  </si>
  <si>
    <t>ՀՀ Գյուղ. Նախ</t>
  </si>
  <si>
    <t>«Ապարանի պանրի գործորան» ՓԲԸ</t>
  </si>
  <si>
    <t>«Բերդավանի գինու գործարան» ԲԲԸ</t>
  </si>
  <si>
    <t>«ՀՊԳ Բորոդինո» ՍՊԸ</t>
  </si>
  <si>
    <t>«Չիզլեր» ՍՊԸ</t>
  </si>
  <si>
    <t>«Դարոինք» ՍՊԸ</t>
  </si>
  <si>
    <t>«Եղվարդի Գինու կոնյակի գործարան» ՓԲԸ</t>
  </si>
  <si>
    <t>«Իգիթ» ՍՊԸ</t>
  </si>
  <si>
    <t>«Դուստր Մարիաննա» ՍՊԸ</t>
  </si>
  <si>
    <t>«Էմ Այ Բի Քոնսալթինգ»</t>
  </si>
  <si>
    <t>«Մրգանուշ գինու-կոնյակի գործարան»</t>
  </si>
  <si>
    <t>«Նիկոլա Ինթերնեյշնալ Արմենիա» ՍՊԸ</t>
  </si>
  <si>
    <t>«Սամկոն» ՍՊԸ</t>
  </si>
  <si>
    <t>«Թամարա»</t>
  </si>
  <si>
    <t>«ՎԹ Թրեյդ» ՓԲԸ</t>
  </si>
  <si>
    <t>«Ավանի աղի կ-տ» ՓԲԸ</t>
  </si>
  <si>
    <t xml:space="preserve">«Գետնատուն» ՍՊԸ </t>
  </si>
  <si>
    <t>Միլկափ» ՍՊԸ</t>
  </si>
  <si>
    <t>«Արարատի գինու գործարան» ՍՊԸ</t>
  </si>
  <si>
    <t>«Ագրոհոլդինգ Արմենիա» ՍՊԸ</t>
  </si>
  <si>
    <t>«Ա. Բիլյան» ՍՊԸ</t>
  </si>
  <si>
    <t>«Աշոցքի պանրի գործարան» ՍՊԸ</t>
  </si>
  <si>
    <t>,Ա. Ավետիսյանի Ա.Ս.Ա» ՍՊԸ</t>
  </si>
  <si>
    <t>«Կրիստալ Կաթ» ՍՊԸ</t>
  </si>
  <si>
    <t>Փոքր էլեկտրակայաններ</t>
  </si>
  <si>
    <t>«Գազպրոմ Արմենիա» ՓԲԸ 5-րդ բլոկ</t>
  </si>
  <si>
    <t>«Գազպրոմ Արմենիա» ՓԲԸ բնական գազ</t>
  </si>
  <si>
    <t>«Միլկափ» ՍՊԸ</t>
  </si>
  <si>
    <t>«Ա. Ավետիսյանի Ա.Ս.Ա» ՍՊԸ</t>
  </si>
  <si>
    <t>«Էմ Այ Բի Քոնսալթինգ» ՍՊԸ</t>
  </si>
  <si>
    <t>«Դիլի» ՍՊԸ</t>
  </si>
  <si>
    <t>«Ինտերհաստոց» ԲԲԸ</t>
  </si>
  <si>
    <t>«Հարվալ Մաշինըրի» ՍՊԸ</t>
  </si>
  <si>
    <t>«Արմավ.հաստ.գ-ն» ԲԲԸ</t>
  </si>
  <si>
    <t>«Երևանի Հիդրոհաղորդակ գործարան» ԲԲԸ</t>
  </si>
  <si>
    <t>«Չարենց.գործիքաշին.գ-ն» ԲԲԸ</t>
  </si>
  <si>
    <t>«Ալմաստ» ՓԲԸ</t>
  </si>
  <si>
    <t>«Տեխսարքավորում» ԲԲԸ</t>
  </si>
  <si>
    <t>«Կապանի մեքենաշինական գործարան» ԲԲԸ</t>
  </si>
  <si>
    <t>«Ջրկոնստրուկցիա» ՍՊԸ</t>
  </si>
  <si>
    <t>«Կոմպրեսորների գ-ն»ԲԲԸ</t>
  </si>
  <si>
    <t>«ԵԱԶ» ԲԲԸ</t>
  </si>
  <si>
    <t>«Արթիկի Ապակեմեքենա» ԲԲԸ</t>
  </si>
  <si>
    <t xml:space="preserve">«Աստրա» ՓԲԸ </t>
  </si>
  <si>
    <t>«Քարհատ՚ Մեքենա» ՓԲԸ</t>
  </si>
  <si>
    <t>«Բոռ» ԲԲԸ</t>
  </si>
  <si>
    <t>«Վան. ՙՉինվան» ՍՊԸ</t>
  </si>
  <si>
    <t>«Գոլդեն Ֆիլդ» ՍՊԸ</t>
  </si>
  <si>
    <t>«Էլեկտրասարք» ԲԲԸ</t>
  </si>
  <si>
    <t>«ՌԱՕ Մարս» ՓԲԸ</t>
  </si>
  <si>
    <t>«Կոննեկտ» ԲԲԸ</t>
  </si>
  <si>
    <t>«Գամմա» ԲԲԸ</t>
  </si>
  <si>
    <t>«Անալիտսարք» ՓԲԸ</t>
  </si>
  <si>
    <t xml:space="preserve">«Ռաֆէլգրիգ» ԲԲԸ </t>
  </si>
  <si>
    <t>«Վան» ԲԲԸ</t>
  </si>
  <si>
    <t>«Անալիտ-1» ԲԲԸ</t>
  </si>
  <si>
    <t>«Իմպուլս» ԲԲԸ</t>
  </si>
  <si>
    <t>«Երևանի կապի միջոցների ԳՀԻ» ՓԲԸ</t>
  </si>
  <si>
    <t>«Արիակ» ՓԲԸ</t>
  </si>
  <si>
    <t>«ԼՏ Պիրկալ» ՍՊԸ</t>
  </si>
  <si>
    <t>«Հայէլեկտրամեքենա» ԲԲԸ</t>
  </si>
  <si>
    <t>«Տրանսէլեկտրիկ» ՍՊԸ</t>
  </si>
  <si>
    <t>«Արմենմոտոր» ՓԲԸ</t>
  </si>
  <si>
    <t>«Էլեկտրաապարատ» ԲԲԸ</t>
  </si>
  <si>
    <t>«Գրանդ Սան »ՍՊԸ</t>
  </si>
  <si>
    <t>«ԲՀԷՍ Պլազմա» ԲԲԸ</t>
  </si>
  <si>
    <t>«Էլբատ» ՓԲԸ</t>
  </si>
  <si>
    <t>«Էլեկտրա.ինժեներինգ» ՓԲԸ</t>
  </si>
  <si>
    <t>«Նաիրիտ-գործարան»ՓԲԸ</t>
  </si>
  <si>
    <t>«Վանաձոր-Քիմպրոմ»ՓԲԸ</t>
  </si>
  <si>
    <t>«Մուրադ-Սար» ՍՊԸ</t>
  </si>
  <si>
    <t>«Քիմ.դեղագ.ֆիրմա» ԲԲԸ</t>
  </si>
  <si>
    <t>«Կենցաղքիմ« ԲԲԸ</t>
  </si>
  <si>
    <t>«Ապակեմեկուսիչ» ԲԲԸ</t>
  </si>
  <si>
    <t>«Քրաուն Քեմիքալ« ՍՊԸ</t>
  </si>
  <si>
    <t>«Լիկվոր» ՓԲԸ</t>
  </si>
  <si>
    <t>«Արփիմեդ» ՍՊԸ</t>
  </si>
  <si>
    <t>«Վիտամաքս-Ե» ՍՊԸ</t>
  </si>
  <si>
    <t>«Ֆարմատեք» ՍՊԸ</t>
  </si>
  <si>
    <t>«Էլեկտրոն» ԲԲԸ</t>
  </si>
  <si>
    <t>«էսկո ֆարմ» ՍՊԸ</t>
  </si>
  <si>
    <t>«Սարտոն» ՍՊԸ</t>
  </si>
  <si>
    <t>«Գյ.Մանվ. ֆ-կա» ԲԲԸ</t>
  </si>
  <si>
    <t>«Էն Վայ Էյ Դի» ՍՊԸ</t>
  </si>
  <si>
    <t>«Արմեն-Կարպետ» ԲԲԸ</t>
  </si>
  <si>
    <t>«ՎԿՍ Արմենիա» ՍՊԸ</t>
  </si>
  <si>
    <t>«Մահուդ» ՓԲԸ</t>
  </si>
  <si>
    <t>«Ջրաշող» ՓԲԸ</t>
  </si>
  <si>
    <t>«Տոսպ» ԲԲԸ</t>
  </si>
  <si>
    <t>«Նուբ.տրիկոտ.ֆ-կա» ԲԲԸ</t>
  </si>
  <si>
    <t>«Գևորգ և Վահան» ՍՊԸ</t>
  </si>
  <si>
    <t>«Հ. Էդ.Հայաս Գրուպ» ԲԲԸ</t>
  </si>
  <si>
    <t>«Արշալույս» ԲԲԸ</t>
  </si>
  <si>
    <t>«Բազում Ֆիրմա» ԱԿ</t>
  </si>
  <si>
    <t>«Վանուհի» ԲԲԸ</t>
  </si>
  <si>
    <t>«Բրատեքս» ԲԲԸ</t>
  </si>
  <si>
    <t>«Նայթեքս» ԲԲԸ</t>
  </si>
  <si>
    <t>«Քանաքեռ կարի ֆաբրիկա» ԲԲԸ</t>
  </si>
  <si>
    <t>«Վանաձորի Գլորիա կ/ֆ» ՍՊԸ</t>
  </si>
  <si>
    <t>«Կաշի» ԲԲԸ</t>
  </si>
  <si>
    <t>«Կաշվե-գալանտեր ֆ-կա» ԲԲԸ</t>
  </si>
  <si>
    <t>«Լյուքս» ԲԲԸ</t>
  </si>
  <si>
    <t>«Էլեն-93» ՍՊԸ</t>
  </si>
  <si>
    <t>«Պլաստիկ» ԲԲԸ</t>
  </si>
  <si>
    <t>«Մեգերյան-կարպետ» ԲԲԸ</t>
  </si>
  <si>
    <t>«Մետաղամանեղենի գ-ն» ԲԲԸ</t>
  </si>
  <si>
    <t>«Լ.Ա.Ն.Ա. Էդեն» ՓԲԸ</t>
  </si>
  <si>
    <t>Մաս. «Գոֆրոտարա» ՓԲԸ</t>
  </si>
  <si>
    <t>«Երևան-կահույք» ԲԲԸ</t>
  </si>
  <si>
    <t>«Իջևանի ՓՄԿ» ԲԲԸ</t>
  </si>
  <si>
    <t>«50/50» ՍՊԸ</t>
  </si>
  <si>
    <t>«Սալմաստ Կահույք» ՍՊԸ</t>
  </si>
  <si>
    <t>«Զանգեզուրի ՊՄԿ» ՓԲԸ</t>
  </si>
  <si>
    <t>«Ագարակի ՊՄԿ» ՓԲԸ</t>
  </si>
  <si>
    <t>«Դանդի Փրիշս Մեթալս Կապան» ՓԲԸ</t>
  </si>
  <si>
    <t>«Ախթալայի ԼՀԿ» ՓԲԸ</t>
  </si>
  <si>
    <t>«Սագամար» ՓԲԸ</t>
  </si>
  <si>
    <t>«Միկա-Ցեմենտ» ՓԲԸ</t>
  </si>
  <si>
    <t>«Թուրինջ» ՍՊԸ</t>
  </si>
  <si>
    <t>«Քար և ավազ» ՓԲԸ</t>
  </si>
  <si>
    <t>«AMP» ՍՊԸ</t>
  </si>
  <si>
    <t>«Հայկ.Պղինձ Ծրագիր» ՓԲԸ</t>
  </si>
  <si>
    <t>«Մաքուր Երկաթ» ԲԲԸ</t>
  </si>
  <si>
    <t>«Ձուլակենտրոն» ԲԲԸ</t>
  </si>
  <si>
    <t>«Գեո Պրո Մայնինգ Գոլդ» ՍՊԸ</t>
  </si>
  <si>
    <t>«Մետալ Ստիլ» ՓԲԸ</t>
  </si>
  <si>
    <t>«Ասկե Գրուպ» ԲԲԸ</t>
  </si>
  <si>
    <t>«Շեն Հոլդինգ» ՓԲԸ</t>
  </si>
  <si>
    <t>«Սարանիստ» ՍՊԸ</t>
  </si>
  <si>
    <t>«Գլաս Ուոռլդ Քամփնի» ՓԲԸ</t>
  </si>
  <si>
    <t>«Երևանի կոնյակի 
գործարան» ՓԲԸ</t>
  </si>
  <si>
    <t>«Վեդի ալկո» ՍՊԸ</t>
  </si>
  <si>
    <t>«Հայասի Գրուպ» ՓԲԸ</t>
  </si>
  <si>
    <t>«ՄԱՊ» ԲԲԸ</t>
  </si>
  <si>
    <t>«Երևանի Արարատ կոնյակի-գինու-օղու կոմբինատ» ԲԲԸ</t>
  </si>
  <si>
    <t>«Պռոշյանի կոնյակի գործ» ԲԲԸ</t>
  </si>
  <si>
    <t>«Գյումրի գարեջուր» ԲԲԸ</t>
  </si>
  <si>
    <t>«Գինու-Կոնյակի տուն «Շահնազարյան» ԲԲԸ</t>
  </si>
  <si>
    <t>«Արենի գինու գործարան» 
ՓԲԸ</t>
  </si>
  <si>
    <t>«Գոլդեն Գրեյփ Արմաս» 
ԲԲԸ</t>
  </si>
  <si>
    <t>«Սիս-նատուրալ» ՓԲԸ</t>
  </si>
  <si>
    <t>«Գրանդ Տոբակո» ՍՊԸ</t>
  </si>
  <si>
    <t>«Ինթերնեյշնլ Մասիս տաբակ» ՍՊԸ</t>
  </si>
  <si>
    <t>«Շամբ բիզնես» ՍՊԸ</t>
  </si>
  <si>
    <t>«Արարատ Սննդի Կոմբինատ» ՓԲԸ</t>
  </si>
  <si>
    <t>«Եվրոթերմ» ՍՊԸ</t>
  </si>
  <si>
    <t>«Թամարա ֆրուտ» ՍՊԸ</t>
  </si>
  <si>
    <t>«Ալեքս Գրիգ» ՍՊԸ</t>
  </si>
  <si>
    <t>«Աշտարակ Կաթ» ԲԲԸ</t>
  </si>
  <si>
    <t>«Մանչո Գրուպ» ՍՊԸ</t>
  </si>
  <si>
    <t>«Բիգա» ՍՊԸ</t>
  </si>
  <si>
    <t>«Աթենք» ԲԲԸ</t>
  </si>
  <si>
    <t>«Բեկոն Պրոդուկտ» ԲԲԸ</t>
  </si>
  <si>
    <t>«Նատֆուդ» ՓԲԸ</t>
  </si>
  <si>
    <t>«Ամստեր ֆլաուերս» ՍՊԸ</t>
  </si>
  <si>
    <t>«Արաքս Թռչնաֆաբրիկա» ՓԲԸ</t>
  </si>
  <si>
    <t>«Գրանդ Քենդի» ՓԲԸ</t>
  </si>
  <si>
    <t>«Մրգանուշ գինու-կոնյակի գործարան» ԲԲԸ</t>
  </si>
  <si>
    <t>«Ագաթատ-գոլդ» ՍՊԸ</t>
  </si>
  <si>
    <t>«Կաթնամթերք Վան» ՍՊԸ</t>
  </si>
  <si>
    <t>«Էջմիածին-կաթ» ՍՊԸ</t>
  </si>
  <si>
    <t>«Արևակն» ՍՊԸ</t>
  </si>
  <si>
    <t>«Սապֆիր» ՓԲԸ</t>
  </si>
  <si>
    <t>«Լորի» ՍՊԸ</t>
  </si>
  <si>
    <t>«Անդրանիկ» ՍՊԸ</t>
  </si>
  <si>
    <t>«Դայմոթեք» ՍՊԸ</t>
  </si>
  <si>
    <t>«Էյ-Էլ-Թի» ՍՊԸ</t>
  </si>
  <si>
    <t>«Ձորագյուղ» ԱԿ</t>
  </si>
  <si>
    <t>«Գնոմոն-1» ՍՊԸ</t>
  </si>
  <si>
    <t>«Երևանի ոսկերչ. գ-ն» ԲԲԸ</t>
  </si>
  <si>
    <t>«Արաքս-Գոլդ» ՍՊԸ</t>
  </si>
  <si>
    <t>«Ջեյ Սի Էյ» ՓԲԸ</t>
  </si>
  <si>
    <t>«Ագոփյան Ջուելրզ» ՓԲԸ</t>
  </si>
  <si>
    <t>«Լեռնամետալուրգիա» ՓԲԸ</t>
  </si>
  <si>
    <t>«Նորամուծութ. և ձեռներեցութ. ԱԿ» ՓԲԸ</t>
  </si>
  <si>
    <t>«Երևանի Պլաստպոլ. ԳՀԻ» ՓԲԸ</t>
  </si>
  <si>
    <t>«Էլեկտրամաշ ԳՀԻ» ՓԲԸ</t>
  </si>
  <si>
    <t>«Կոմետա» ԲԲԸ</t>
  </si>
  <si>
    <t>«Ալֆա» ՓԲԸ</t>
  </si>
  <si>
    <t>«Նյութաբանություն ԳԱՁ» ՓԲԸ</t>
  </si>
  <si>
    <t>«Էլաս» ՓԲԸ</t>
  </si>
  <si>
    <t>«Քար և սիլիկատներ» ՓԲԸ</t>
  </si>
  <si>
    <t>«Տոնուս Լես» ՍՊԸ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</si>
  <si>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2014թ.հունվար-հուլիս ժամանակահատված,  ընթացիկ գներով)     /հազ. դրամ/</t>
    </r>
  </si>
  <si>
    <t>Արդյունաբերություն, այդ թվում`</t>
  </si>
  <si>
    <t>քիմիա</t>
  </si>
  <si>
    <t>Ընդամենը ակնագործություն և ոսկեգործություն</t>
  </si>
  <si>
    <t xml:space="preserve">Գիտարտադրական համալիր </t>
  </si>
  <si>
    <t>ընդամենը</t>
  </si>
  <si>
    <t>Ընդամենը սննդի արդյունաբերություն,</t>
  </si>
  <si>
    <t>Ընդամենը խմիչքների արտադր</t>
  </si>
  <si>
    <t>Ընդամենը` հանքարդյունաբերություն, բաց հանքերի շահագործում և մետալուրգիա</t>
  </si>
  <si>
    <t xml:space="preserve">թեթև արդյունաբերություն </t>
  </si>
  <si>
    <t xml:space="preserve">սարքաշինություն </t>
  </si>
  <si>
    <t xml:space="preserve">հաստոցագործիքաշին  </t>
  </si>
  <si>
    <t>Ընդամենը մեքենաշինություն</t>
  </si>
  <si>
    <t>2014թ.
Հունվար-Հուլիս</t>
  </si>
  <si>
    <t>2013թ. Հունվար-Հուլիս</t>
  </si>
  <si>
    <t>2014թ.
Հուլիս</t>
  </si>
  <si>
    <t>2013թ.
Հուլիս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</si>
  <si>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2014թ.հունվար-օգոստոս ժամանակահատված), ընթացիկ գներով /մլրդ ՀՀ դրամ/</t>
  </si>
  <si>
    <t>2014թ.
Օգոստոս</t>
  </si>
  <si>
    <t>2013թ.
Օգոստոս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</si>
  <si>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2014թ.հունվար-օգոստոս ժամանակահատված,  ընթացիկ գներով)     /հազ. դրամ/</t>
    </r>
  </si>
  <si>
    <t>«Գոլդեն Գրեյպ Արմաս» 
ԲԲԸ</t>
  </si>
  <si>
    <t>«Ագաթատ-Գոլդ» ՍՊԸ</t>
  </si>
  <si>
    <t>«Արզնու տոհմային ԹՏԽ» ԲԲԸ</t>
  </si>
  <si>
    <t>«Մրգանուշ» գինու-կոնյակի գործարան</t>
  </si>
  <si>
    <t xml:space="preserve">«Բյուրեղ Ալկո» ՍՊԸ </t>
  </si>
  <si>
    <t>«Դուստր Մելանյա» ՍՊԸ</t>
  </si>
  <si>
    <t>«Թամարա» ՍՊԸ</t>
  </si>
  <si>
    <t>«Միլկաթ» ՍՊԸ</t>
  </si>
  <si>
    <t>2014թ.
Հունվար-սեպտեմբեր</t>
  </si>
  <si>
    <t>2013թ. Հունվար-սեպտեմբեր</t>
  </si>
  <si>
    <t>«Քարհատ»Մեքենա» ՓԲԸ</t>
  </si>
  <si>
    <t>«Վան. «Չինվան» ՍՊԸ</t>
  </si>
  <si>
    <t>ՀՀ ԳԱԱ «ՕԴԲԳՏԿ» ՊՈԱԿ</t>
  </si>
  <si>
    <t>Արտադրանք (համադրելի գներով)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</si>
  <si>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2014թ.հունվար-ս ժամանակահատված), ընթացիկ գներով /մլրդ ՀՀ դրամ/</t>
  </si>
  <si>
    <t>2014թ.
Հունվար-օգոստոս</t>
  </si>
  <si>
    <t>2013թ. Հունվար-օգոստոս</t>
  </si>
  <si>
    <t>2014թ. Հունվար-օգոստոս</t>
  </si>
  <si>
    <t>2013թ. ՀՀունվար-օգոստոս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</si>
  <si>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2014թ.հունվար-սեպտեմբեր ժամանակահատված), ընթացիկ գներով /մլրդ ՀՀ դրամ/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</si>
  <si>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2014թ.հունվար-սեպտեմբեր ժամանակահատված,  ընթացիկ գներով)     /հազ. դրամ/</t>
    </r>
  </si>
  <si>
    <t>2014թ.
Սեպտեմբեր</t>
  </si>
  <si>
    <t>2013թ.
Սեպտեմբեր</t>
  </si>
  <si>
    <t>2014թ. Հունվար-սեպտեմբեր</t>
  </si>
  <si>
    <t>2013թ. ՀՀունվար-սեպտեմբեր</t>
  </si>
  <si>
    <t>«Կենցաղքիմ» ԲԲԸ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</si>
  <si>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2014թ.հունվար-հոկտեմբեր ժամանակահատված), ընթացիկ գներով /մլրդ ՀՀ դրամ/</t>
  </si>
  <si>
    <t>2014թ.
Հունվար-հոկտեմբեր</t>
  </si>
  <si>
    <t>2013թ. Հունվար-հոկտեմբեր</t>
  </si>
  <si>
    <t>2014թ.
Հոկտեմբեր</t>
  </si>
  <si>
    <t>2013թ.
Հոկտեմբեր</t>
  </si>
  <si>
    <t>2014թ. Հունվար-հոկտեմբեր</t>
  </si>
  <si>
    <t>2013թ. ՀՀունվար-հոկտեմբեր</t>
  </si>
  <si>
    <t>«ԱՏ Գրեյն» ՍՊԸ</t>
  </si>
  <si>
    <t>«Բ. Իգնատյան ԱՁ» «Սալի» կոշիկի արտադրություն</t>
  </si>
  <si>
    <t>«Գրանդ Քենդի» ՍՊԸ</t>
  </si>
  <si>
    <t>44 184</t>
  </si>
  <si>
    <t>«Հաշվարկային կենտրոն»
 ՓԲԸ</t>
  </si>
  <si>
    <t>«Էներգակարգաբերում» 
ՓԲԸ</t>
  </si>
  <si>
    <t>6 637 144</t>
  </si>
  <si>
    <t>7 963 126</t>
  </si>
  <si>
    <t xml:space="preserve">մետալուրգիա </t>
  </si>
  <si>
    <t xml:space="preserve">շինանյութեր </t>
  </si>
  <si>
    <t xml:space="preserve">ակնագործ. և ոսկեգործ. 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</si>
  <si>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2014թ.հունվար-հոկտեմբեր ժամանակահատված,  ընթացիկ գներով)     /հազ. դրամ/</t>
    </r>
  </si>
  <si>
    <t>2013թ.
Հոկտեմբեռր</t>
  </si>
  <si>
    <t>«ԴՈԿ-ՌԱԶ» ՓԲԸ</t>
  </si>
  <si>
    <t>«Հայկ.Պղինձ Ծրագիր» ՓԲԸ   «Էյ-Սի-Փի»</t>
  </si>
  <si>
    <t>«Հրազդան-Ցեմենտ» ՓԲԸ</t>
  </si>
  <si>
    <t>«Ագատես»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</si>
  <si>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2014թ.հունվար-նոյեմբեր ժամանակահատված), ընթացիկ գներով /մլրդ ՀՀ դրամ/</t>
  </si>
  <si>
    <t>2014թ.
Հունվար-նոյեմբեր</t>
  </si>
  <si>
    <t>2013թ. Հունվար-նոյեմբեր</t>
  </si>
  <si>
    <t>2014թ.
Նոյեմբեր</t>
  </si>
  <si>
    <t>2013թ.
Նոյեմբեր</t>
  </si>
  <si>
    <t>2014թ. Հունվար-նոյեմբեր</t>
  </si>
  <si>
    <t>2013թ. ՀՀունվար-նոյեմբեր</t>
  </si>
  <si>
    <t>2013թ.
Նոյեմբեռր</t>
  </si>
  <si>
    <r>
      <t xml:space="preserve">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2014թ.հունվար-նոյեմբեր ժամանակահատված,  ընթացիկ գներով)     /հազ. դրամ/</t>
    </r>
  </si>
  <si>
    <t>44 184*</t>
  </si>
  <si>
    <t>8 733 712 **</t>
  </si>
  <si>
    <t>9 339 056**</t>
  </si>
  <si>
    <t>2014թ.
Հունվար-դեկտեմբեր</t>
  </si>
  <si>
    <t>2013թ. Հունվար-դեկտեմբեր</t>
  </si>
  <si>
    <t>2014թ.
Դեկտեմբեր</t>
  </si>
  <si>
    <t>2013թ.
Դեկտեմբեր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</si>
  <si>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2014թ.հունվար-դեկտեմբեր ժամանակահատված), ընթացիկ գներով /մլրդ ՀՀ դրամ/</t>
  </si>
  <si>
    <r>
      <t xml:space="preserve"> 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2014թ.հունվար-դեկտեմբեր ժամանակահատված,  ընթացիկ գներով)     /հազ. դրամ/</t>
    </r>
  </si>
  <si>
    <t>2013թ. Հունվար-դեկտեմբերր</t>
  </si>
  <si>
    <t>2014թ. Հունվար-դեկտեմբ.</t>
  </si>
  <si>
    <t>2013թ. Հունվար-դեկտեմբ.</t>
  </si>
  <si>
    <t>2013թ.
Դեկտեմբ.</t>
  </si>
  <si>
    <t>2014թ.
Դեկտեմբ.</t>
  </si>
  <si>
    <t>ՀՀ էկոնոմիկայի նախարարության կողմից մոնիտորինգում ընդգրկված  ոլորտների ցուցանիշների մասին  (օպերատիվ տեղեկատվություն 2014թ.հունվար-դեկտեմբեր ժամանակահատված) ընթացիկ և համադրելի  գներով /մլրդ ՀՀ դրամ/</t>
  </si>
  <si>
    <t>մշակող արդյունաբերություն</t>
  </si>
  <si>
    <t>Տարվա սկզբից</t>
  </si>
  <si>
    <t>Նախորդ տարվա համապատասխան ժամանակահատված.</t>
  </si>
  <si>
    <t>Հաշվետու ամսում</t>
  </si>
  <si>
    <t>Հաշվետու տարվա ժաման.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</si>
  <si>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2015թ.01.01.2015-01.02.2015 ժամանակահատված), ընթացիկ գներով /մլրդ ՀՀ դրամ/</t>
  </si>
  <si>
    <r>
      <t xml:space="preserve"> 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GHEA Grapalat"/>
        <family val="3"/>
      </rPr>
      <t>(օպերատիվ տեղեկատվություն 2015թ. 01.01.2015 - 01.02.2015 ժամանակահատված,  ընթացիկ գներով)     /հազ. դրամ/</t>
    </r>
  </si>
  <si>
    <t>«Արմտեքս Գրուպ» ՍՊԸ</t>
  </si>
  <si>
    <t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2015թ.հունվար) ընթացիկ և համադրելի  գներով /մլրդ ՀՀ դրամ/</t>
  </si>
  <si>
    <t>2015թ.
Հունվար</t>
  </si>
  <si>
    <t>2014թ. Հունվար</t>
  </si>
  <si>
    <t>մշակող արդյունաբերություն,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</si>
</sst>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#,##0_р_."/>
    <numFmt numFmtId="167" formatCode="#,##0.0_р_."/>
    <numFmt numFmtId="168" formatCode="0.00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Armenian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Armenian"/>
      <family val="2"/>
    </font>
    <font>
      <sz val="10"/>
      <name val="Arial Armenian"/>
      <family val="2"/>
    </font>
    <font>
      <b/>
      <sz val="11"/>
      <name val="GHEA Grapalat"/>
      <family val="3"/>
    </font>
    <font>
      <b/>
      <sz val="10"/>
      <name val="GHEA Grapalat"/>
      <family val="3"/>
    </font>
    <font>
      <b/>
      <sz val="9"/>
      <name val="Arial Armenian"/>
      <family val="2"/>
    </font>
    <font>
      <b/>
      <sz val="12"/>
      <name val="Arial Armenian"/>
      <family val="2"/>
    </font>
    <font>
      <sz val="9"/>
      <name val="Arial Armenian"/>
      <family val="2"/>
    </font>
    <font>
      <sz val="9"/>
      <color indexed="8"/>
      <name val="Arial Armenian"/>
      <family val="2"/>
    </font>
    <font>
      <sz val="9"/>
      <color theme="1"/>
      <name val="Arial Armenian"/>
      <family val="2"/>
    </font>
    <font>
      <sz val="11"/>
      <name val="Arial Armenian"/>
      <family val="2"/>
    </font>
    <font>
      <sz val="9"/>
      <name val="Arial"/>
      <family val="2"/>
      <charset val="204"/>
    </font>
    <font>
      <sz val="10"/>
      <name val="Times Armenian"/>
      <family val="1"/>
    </font>
    <font>
      <b/>
      <sz val="9"/>
      <color theme="1"/>
      <name val="Arial Armenian"/>
      <family val="2"/>
    </font>
    <font>
      <sz val="9"/>
      <name val="GHEA Grapalat"/>
      <family val="3"/>
    </font>
    <font>
      <sz val="9"/>
      <color indexed="8"/>
      <name val="GHEA Grapalat"/>
      <family val="3"/>
    </font>
    <font>
      <b/>
      <sz val="12"/>
      <color theme="1"/>
      <name val="GHEA Grapalat"/>
      <family val="3"/>
    </font>
    <font>
      <sz val="10"/>
      <color indexed="8"/>
      <name val="Arial Armenian"/>
      <family val="2"/>
    </font>
    <font>
      <sz val="10"/>
      <name val="GHEA Grapalat"/>
      <family val="3"/>
    </font>
    <font>
      <sz val="10"/>
      <color indexed="8"/>
      <name val="GHEA Grapalat"/>
      <family val="3"/>
    </font>
    <font>
      <b/>
      <sz val="10"/>
      <color theme="1"/>
      <name val="Arial Armenian"/>
      <family val="2"/>
    </font>
    <font>
      <sz val="10"/>
      <color theme="1"/>
      <name val="Arial Armenian"/>
      <family val="2"/>
    </font>
    <font>
      <b/>
      <i/>
      <sz val="10"/>
      <name val="GHEA Grapalat"/>
      <family val="3"/>
    </font>
    <font>
      <sz val="12"/>
      <name val="Arial Armenian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GHEA Grapalat"/>
      <family val="3"/>
    </font>
    <font>
      <sz val="11"/>
      <color theme="1"/>
      <name val="GHEA Grapalat"/>
      <family val="3"/>
    </font>
    <font>
      <b/>
      <i/>
      <sz val="12"/>
      <name val="GHEA Grapalat"/>
      <family val="3"/>
    </font>
    <font>
      <sz val="10"/>
      <color theme="1"/>
      <name val="GHEA Grapalat"/>
      <family val="3"/>
    </font>
    <font>
      <b/>
      <i/>
      <sz val="12"/>
      <color theme="1"/>
      <name val="GHEA Grapalat"/>
      <family val="3"/>
    </font>
    <font>
      <i/>
      <sz val="12"/>
      <color theme="1"/>
      <name val="GHEA Grapalat"/>
      <family val="3"/>
    </font>
    <font>
      <b/>
      <sz val="10"/>
      <color theme="1"/>
      <name val="GHEA Grapalat"/>
      <family val="3"/>
    </font>
    <font>
      <sz val="11"/>
      <name val="GHEA Grapalat"/>
      <family val="3"/>
    </font>
    <font>
      <i/>
      <sz val="12"/>
      <name val="GHEA Grapalat"/>
      <family val="3"/>
    </font>
    <font>
      <sz val="12"/>
      <name val="GHEA Grapalat"/>
      <family val="3"/>
    </font>
    <font>
      <b/>
      <i/>
      <sz val="11"/>
      <name val="GHEA Grapalat"/>
      <family val="3"/>
    </font>
    <font>
      <i/>
      <sz val="11"/>
      <color theme="1"/>
      <name val="GHEA Grapalat"/>
      <family val="3"/>
    </font>
    <font>
      <b/>
      <i/>
      <sz val="11"/>
      <color theme="1"/>
      <name val="GHEA Grapalat"/>
      <family val="3"/>
    </font>
    <font>
      <b/>
      <sz val="10"/>
      <name val="Cambria"/>
      <family val="1"/>
      <charset val="204"/>
      <scheme val="major"/>
    </font>
    <font>
      <b/>
      <sz val="12"/>
      <name val="GHEA Grapalat"/>
      <family val="3"/>
    </font>
    <font>
      <b/>
      <sz val="11"/>
      <name val="Arial Armenian"/>
      <family val="2"/>
    </font>
    <font>
      <i/>
      <sz val="10"/>
      <color theme="1"/>
      <name val="GHEA Grapalat"/>
      <family val="3"/>
    </font>
    <font>
      <sz val="10"/>
      <color theme="1"/>
      <name val="Calibri"/>
      <family val="2"/>
      <charset val="204"/>
      <scheme val="minor"/>
    </font>
    <font>
      <b/>
      <sz val="14"/>
      <color theme="1"/>
      <name val="GHEA Grapalat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GHEA Grapalat"/>
      <family val="3"/>
    </font>
    <font>
      <sz val="12"/>
      <color theme="1"/>
      <name val="GHEA Grapalat"/>
      <family val="3"/>
    </font>
    <font>
      <sz val="11"/>
      <name val="Times Armenian"/>
      <family val="1"/>
    </font>
    <font>
      <sz val="11"/>
      <color indexed="8"/>
      <name val="Calibri"/>
      <family val="2"/>
    </font>
    <font>
      <sz val="11"/>
      <color theme="1"/>
      <name val="Arial Armenian"/>
      <family val="2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sz val="14"/>
      <color theme="1"/>
      <name val="GHEA Grapalat"/>
      <family val="3"/>
    </font>
    <font>
      <b/>
      <i/>
      <sz val="14"/>
      <name val="GHEA Grapalat"/>
      <family val="3"/>
    </font>
    <font>
      <sz val="14"/>
      <name val="Arial Armenian"/>
      <family val="2"/>
    </font>
    <font>
      <i/>
      <sz val="14"/>
      <name val="GHEA Grapalat"/>
      <family val="3"/>
    </font>
    <font>
      <b/>
      <sz val="9"/>
      <name val="GHEA Grapalat"/>
      <family val="3"/>
    </font>
  </fonts>
  <fills count="9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7" fillId="0" borderId="0"/>
    <xf numFmtId="0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7" fillId="0" borderId="0"/>
  </cellStyleXfs>
  <cellXfs count="1109">
    <xf numFmtId="0" fontId="0" fillId="0" borderId="0" xfId="0"/>
    <xf numFmtId="0" fontId="3" fillId="0" borderId="0" xfId="0" applyFont="1"/>
    <xf numFmtId="0" fontId="5" fillId="0" borderId="0" xfId="2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5" fillId="0" borderId="2" xfId="2" applyNumberFormat="1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164" fontId="5" fillId="0" borderId="2" xfId="2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64" fontId="9" fillId="2" borderId="2" xfId="2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0" fillId="0" borderId="0" xfId="2" applyFont="1" applyFill="1" applyAlignment="1"/>
    <xf numFmtId="0" fontId="9" fillId="0" borderId="6" xfId="2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164" fontId="9" fillId="0" borderId="2" xfId="2" applyNumberFormat="1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0" borderId="2" xfId="2" applyFont="1" applyBorder="1"/>
    <xf numFmtId="1" fontId="11" fillId="0" borderId="2" xfId="0" applyNumberFormat="1" applyFont="1" applyBorder="1" applyAlignment="1">
      <alignment horizontal="center"/>
    </xf>
    <xf numFmtId="1" fontId="9" fillId="0" borderId="2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1" fontId="9" fillId="0" borderId="2" xfId="2" applyNumberFormat="1" applyFont="1" applyFill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1" fillId="0" borderId="2" xfId="3" applyFont="1" applyBorder="1"/>
    <xf numFmtId="0" fontId="11" fillId="0" borderId="2" xfId="2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2" xfId="3" applyFont="1" applyBorder="1" applyAlignment="1">
      <alignment horizontal="center" vertical="center"/>
    </xf>
    <xf numFmtId="1" fontId="11" fillId="0" borderId="2" xfId="3" applyNumberFormat="1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1" fontId="11" fillId="0" borderId="2" xfId="3" applyNumberFormat="1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" fontId="11" fillId="0" borderId="2" xfId="2" applyNumberFormat="1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164" fontId="9" fillId="3" borderId="2" xfId="2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/>
    </xf>
    <xf numFmtId="0" fontId="11" fillId="0" borderId="2" xfId="2" applyFont="1" applyBorder="1"/>
    <xf numFmtId="1" fontId="11" fillId="0" borderId="2" xfId="2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1" fillId="0" borderId="8" xfId="2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0" borderId="0" xfId="2" applyFont="1" applyBorder="1"/>
    <xf numFmtId="1" fontId="11" fillId="0" borderId="0" xfId="0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" fontId="11" fillId="0" borderId="2" xfId="2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4" fontId="9" fillId="4" borderId="2" xfId="2" applyNumberFormat="1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2" applyFont="1" applyBorder="1" applyAlignment="1">
      <alignment horizontal="left"/>
    </xf>
    <xf numFmtId="0" fontId="11" fillId="0" borderId="2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left"/>
    </xf>
    <xf numFmtId="1" fontId="11" fillId="0" borderId="2" xfId="3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/>
    </xf>
    <xf numFmtId="0" fontId="12" fillId="0" borderId="2" xfId="2" applyFont="1" applyBorder="1" applyAlignment="1">
      <alignment horizontal="center"/>
    </xf>
    <xf numFmtId="1" fontId="11" fillId="0" borderId="2" xfId="4" applyNumberFormat="1" applyFont="1" applyBorder="1" applyAlignment="1">
      <alignment horizontal="center"/>
    </xf>
    <xf numFmtId="0" fontId="11" fillId="0" borderId="2" xfId="4" applyFont="1" applyBorder="1" applyAlignment="1">
      <alignment horizontal="center"/>
    </xf>
    <xf numFmtId="1" fontId="11" fillId="0" borderId="9" xfId="4" applyNumberFormat="1" applyFont="1" applyFill="1" applyBorder="1" applyAlignment="1">
      <alignment horizontal="center"/>
    </xf>
    <xf numFmtId="164" fontId="11" fillId="0" borderId="2" xfId="4" applyNumberFormat="1" applyFont="1" applyBorder="1" applyAlignment="1">
      <alignment horizontal="center"/>
    </xf>
    <xf numFmtId="1" fontId="11" fillId="0" borderId="3" xfId="4" applyNumberFormat="1" applyFont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11" fillId="0" borderId="2" xfId="3" applyFont="1" applyBorder="1" applyAlignment="1">
      <alignment horizontal="left"/>
    </xf>
    <xf numFmtId="0" fontId="11" fillId="0" borderId="2" xfId="3" applyFont="1" applyFill="1" applyBorder="1" applyAlignment="1">
      <alignment horizontal="left"/>
    </xf>
    <xf numFmtId="1" fontId="11" fillId="0" borderId="2" xfId="4" applyNumberFormat="1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1" fontId="9" fillId="5" borderId="2" xfId="0" applyNumberFormat="1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0" fontId="9" fillId="5" borderId="2" xfId="1" applyFont="1" applyFill="1" applyBorder="1" applyAlignment="1">
      <alignment horizontal="left"/>
    </xf>
    <xf numFmtId="164" fontId="9" fillId="5" borderId="2" xfId="2" applyNumberFormat="1" applyFont="1" applyFill="1" applyBorder="1" applyAlignment="1">
      <alignment horizontal="center" vertical="center"/>
    </xf>
    <xf numFmtId="1" fontId="9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9" fillId="0" borderId="2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 vertical="center"/>
    </xf>
    <xf numFmtId="0" fontId="11" fillId="0" borderId="2" xfId="2" applyFont="1" applyBorder="1" applyAlignment="1">
      <alignment horizontal="left" vertical="center" wrapText="1"/>
    </xf>
    <xf numFmtId="1" fontId="11" fillId="0" borderId="2" xfId="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2" fontId="11" fillId="0" borderId="2" xfId="2" applyNumberFormat="1" applyFont="1" applyBorder="1" applyAlignment="1">
      <alignment horizontal="left"/>
    </xf>
    <xf numFmtId="2" fontId="11" fillId="0" borderId="2" xfId="2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6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" fontId="11" fillId="0" borderId="2" xfId="2" applyNumberFormat="1" applyFont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" fontId="11" fillId="0" borderId="6" xfId="0" applyNumberFormat="1" applyFont="1" applyFill="1" applyBorder="1" applyAlignment="1">
      <alignment horizontal="center"/>
    </xf>
    <xf numFmtId="0" fontId="11" fillId="0" borderId="3" xfId="2" applyFont="1" applyFill="1" applyBorder="1" applyAlignment="1">
      <alignment horizontal="center"/>
    </xf>
    <xf numFmtId="0" fontId="11" fillId="0" borderId="2" xfId="1" applyFont="1" applyFill="1" applyBorder="1"/>
    <xf numFmtId="0" fontId="11" fillId="0" borderId="2" xfId="2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1" fontId="11" fillId="0" borderId="2" xfId="1" applyNumberFormat="1" applyFont="1" applyFill="1" applyBorder="1" applyAlignment="1">
      <alignment horizontal="center"/>
    </xf>
    <xf numFmtId="164" fontId="11" fillId="0" borderId="2" xfId="2" applyNumberFormat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164" fontId="11" fillId="0" borderId="2" xfId="2" applyNumberFormat="1" applyFont="1" applyBorder="1" applyAlignment="1">
      <alignment horizontal="center"/>
    </xf>
    <xf numFmtId="0" fontId="11" fillId="6" borderId="2" xfId="1" applyFont="1" applyFill="1" applyBorder="1"/>
    <xf numFmtId="0" fontId="16" fillId="0" borderId="6" xfId="0" applyFont="1" applyFill="1" applyBorder="1" applyAlignment="1">
      <alignment horizontal="center"/>
    </xf>
    <xf numFmtId="164" fontId="16" fillId="0" borderId="6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11" fillId="0" borderId="2" xfId="1" applyFont="1" applyFill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3" fillId="6" borderId="2" xfId="1" applyFont="1" applyFill="1" applyBorder="1"/>
    <xf numFmtId="0" fontId="11" fillId="0" borderId="2" xfId="0" applyFont="1" applyBorder="1"/>
    <xf numFmtId="0" fontId="13" fillId="0" borderId="2" xfId="0" applyFont="1" applyBorder="1"/>
    <xf numFmtId="0" fontId="13" fillId="0" borderId="0" xfId="0" applyFont="1" applyBorder="1"/>
    <xf numFmtId="0" fontId="11" fillId="0" borderId="2" xfId="2" applyFont="1" applyFill="1" applyBorder="1"/>
    <xf numFmtId="1" fontId="9" fillId="3" borderId="2" xfId="2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0" fontId="9" fillId="3" borderId="0" xfId="1" applyFont="1" applyFill="1" applyBorder="1" applyAlignment="1">
      <alignment horizontal="center"/>
    </xf>
    <xf numFmtId="0" fontId="9" fillId="5" borderId="0" xfId="1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 vertical="center"/>
    </xf>
    <xf numFmtId="164" fontId="9" fillId="5" borderId="0" xfId="0" applyNumberFormat="1" applyFont="1" applyFill="1" applyBorder="1" applyAlignment="1">
      <alignment horizontal="center"/>
    </xf>
    <xf numFmtId="1" fontId="9" fillId="5" borderId="0" xfId="2" applyNumberFormat="1" applyFont="1" applyFill="1" applyBorder="1" applyAlignment="1">
      <alignment horizontal="center" vertical="center"/>
    </xf>
    <xf numFmtId="2" fontId="18" fillId="0" borderId="2" xfId="2" applyNumberFormat="1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0" fontId="18" fillId="0" borderId="2" xfId="2" applyFont="1" applyBorder="1" applyAlignment="1">
      <alignment horizontal="left"/>
    </xf>
    <xf numFmtId="0" fontId="18" fillId="0" borderId="2" xfId="2" applyFont="1" applyBorder="1" applyAlignment="1">
      <alignment horizontal="left" vertical="center" wrapText="1"/>
    </xf>
    <xf numFmtId="0" fontId="12" fillId="0" borderId="2" xfId="2" applyFont="1" applyBorder="1" applyAlignment="1">
      <alignment horizontal="center" vertical="center"/>
    </xf>
    <xf numFmtId="2" fontId="18" fillId="0" borderId="2" xfId="2" applyNumberFormat="1" applyFont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/>
    </xf>
    <xf numFmtId="1" fontId="9" fillId="3" borderId="0" xfId="0" applyNumberFormat="1" applyFont="1" applyFill="1" applyBorder="1" applyAlignment="1">
      <alignment horizontal="center"/>
    </xf>
    <xf numFmtId="164" fontId="11" fillId="0" borderId="2" xfId="2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11" fillId="0" borderId="0" xfId="4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2" xfId="2" applyFont="1" applyFill="1" applyBorder="1"/>
    <xf numFmtId="0" fontId="6" fillId="0" borderId="2" xfId="2" applyFont="1" applyBorder="1" applyAlignment="1">
      <alignment horizontal="left" vertical="center" wrapText="1"/>
    </xf>
    <xf numFmtId="0" fontId="11" fillId="0" borderId="8" xfId="4" applyFont="1" applyFill="1" applyBorder="1" applyAlignment="1">
      <alignment horizontal="center"/>
    </xf>
    <xf numFmtId="0" fontId="11" fillId="0" borderId="8" xfId="2" applyFont="1" applyFill="1" applyBorder="1" applyAlignment="1">
      <alignment horizontal="center"/>
    </xf>
    <xf numFmtId="1" fontId="0" fillId="0" borderId="0" xfId="0" applyNumberFormat="1"/>
    <xf numFmtId="0" fontId="9" fillId="3" borderId="2" xfId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2" fontId="11" fillId="0" borderId="2" xfId="2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/>
    </xf>
    <xf numFmtId="1" fontId="11" fillId="0" borderId="0" xfId="2" applyNumberFormat="1" applyFont="1" applyBorder="1"/>
    <xf numFmtId="2" fontId="9" fillId="2" borderId="2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 vertical="center"/>
    </xf>
    <xf numFmtId="2" fontId="9" fillId="4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center"/>
    </xf>
    <xf numFmtId="164" fontId="9" fillId="7" borderId="2" xfId="2" applyNumberFormat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 vertical="center"/>
    </xf>
    <xf numFmtId="165" fontId="5" fillId="7" borderId="2" xfId="2" applyNumberFormat="1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/>
    </xf>
    <xf numFmtId="1" fontId="9" fillId="0" borderId="2" xfId="2" applyNumberFormat="1" applyFont="1" applyFill="1" applyBorder="1" applyAlignment="1">
      <alignment horizontal="center" vertical="center" wrapText="1"/>
    </xf>
    <xf numFmtId="1" fontId="9" fillId="7" borderId="2" xfId="2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0" borderId="0" xfId="0" applyNumberFormat="1" applyFont="1" applyBorder="1"/>
    <xf numFmtId="1" fontId="2" fillId="0" borderId="0" xfId="0" applyNumberFormat="1" applyFont="1" applyBorder="1" applyAlignment="1">
      <alignment horizontal="center" vertical="center"/>
    </xf>
    <xf numFmtId="1" fontId="9" fillId="0" borderId="6" xfId="2" applyNumberFormat="1" applyFont="1" applyFill="1" applyBorder="1" applyAlignment="1">
      <alignment horizontal="center" vertical="center"/>
    </xf>
    <xf numFmtId="1" fontId="9" fillId="0" borderId="6" xfId="2" applyNumberFormat="1" applyFont="1" applyFill="1" applyBorder="1" applyAlignment="1">
      <alignment horizontal="center"/>
    </xf>
    <xf numFmtId="1" fontId="9" fillId="4" borderId="2" xfId="2" applyNumberFormat="1" applyFont="1" applyFill="1" applyBorder="1" applyAlignment="1">
      <alignment horizontal="center" vertical="center"/>
    </xf>
    <xf numFmtId="1" fontId="9" fillId="2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vertical="center" wrapText="1"/>
    </xf>
    <xf numFmtId="164" fontId="5" fillId="0" borderId="2" xfId="2" applyNumberFormat="1" applyFont="1" applyFill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5" fillId="0" borderId="2" xfId="2" applyFont="1" applyBorder="1"/>
    <xf numFmtId="0" fontId="5" fillId="0" borderId="2" xfId="2" applyFont="1" applyFill="1" applyBorder="1" applyAlignment="1">
      <alignment horizontal="center"/>
    </xf>
    <xf numFmtId="0" fontId="21" fillId="0" borderId="2" xfId="3" applyFont="1" applyBorder="1" applyAlignment="1">
      <alignment horizontal="center"/>
    </xf>
    <xf numFmtId="0" fontId="6" fillId="0" borderId="2" xfId="3" applyFont="1" applyBorder="1"/>
    <xf numFmtId="1" fontId="6" fillId="0" borderId="2" xfId="2" applyNumberFormat="1" applyFont="1" applyBorder="1" applyAlignment="1">
      <alignment horizontal="center" vertical="center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>
      <alignment vertical="center"/>
    </xf>
    <xf numFmtId="1" fontId="5" fillId="3" borderId="2" xfId="0" applyNumberFormat="1" applyFont="1" applyFill="1" applyBorder="1" applyAlignment="1">
      <alignment horizontal="center"/>
    </xf>
    <xf numFmtId="0" fontId="6" fillId="0" borderId="0" xfId="2" applyFont="1" applyBorder="1"/>
    <xf numFmtId="0" fontId="6" fillId="0" borderId="2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" fontId="6" fillId="0" borderId="2" xfId="2" applyNumberFormat="1" applyFont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21" fillId="0" borderId="2" xfId="2" applyFont="1" applyBorder="1" applyAlignment="1">
      <alignment horizontal="center"/>
    </xf>
    <xf numFmtId="0" fontId="21" fillId="0" borderId="2" xfId="2" applyFont="1" applyBorder="1" applyAlignment="1">
      <alignment horizontal="center" vertical="center"/>
    </xf>
    <xf numFmtId="0" fontId="22" fillId="0" borderId="2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/>
    </xf>
    <xf numFmtId="0" fontId="6" fillId="0" borderId="2" xfId="3" applyFont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/>
    </xf>
    <xf numFmtId="0" fontId="22" fillId="0" borderId="2" xfId="2" applyFont="1" applyBorder="1" applyAlignment="1">
      <alignment horizontal="left"/>
    </xf>
    <xf numFmtId="1" fontId="5" fillId="2" borderId="2" xfId="0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left"/>
    </xf>
    <xf numFmtId="0" fontId="6" fillId="0" borderId="2" xfId="1" applyFont="1" applyFill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22" fillId="0" borderId="2" xfId="2" applyNumberFormat="1" applyFont="1" applyBorder="1" applyAlignment="1">
      <alignment horizontal="left"/>
    </xf>
    <xf numFmtId="2" fontId="22" fillId="0" borderId="2" xfId="2" applyNumberFormat="1" applyFont="1" applyBorder="1" applyAlignment="1">
      <alignment horizontal="left" vertical="center" wrapText="1"/>
    </xf>
    <xf numFmtId="0" fontId="6" fillId="0" borderId="2" xfId="2" applyFont="1" applyFill="1" applyBorder="1"/>
    <xf numFmtId="1" fontId="6" fillId="0" borderId="2" xfId="2" applyNumberFormat="1" applyFont="1" applyFill="1" applyBorder="1" applyAlignment="1">
      <alignment horizontal="center" vertical="center"/>
    </xf>
    <xf numFmtId="0" fontId="22" fillId="0" borderId="2" xfId="2" applyFont="1" applyFill="1" applyBorder="1"/>
    <xf numFmtId="0" fontId="6" fillId="0" borderId="2" xfId="2" applyFont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6" borderId="2" xfId="1" applyFont="1" applyFill="1" applyBorder="1"/>
    <xf numFmtId="0" fontId="6" fillId="0" borderId="2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25" fillId="6" borderId="2" xfId="1" applyFont="1" applyFill="1" applyBorder="1"/>
    <xf numFmtId="0" fontId="6" fillId="0" borderId="2" xfId="0" applyFont="1" applyBorder="1"/>
    <xf numFmtId="0" fontId="26" fillId="7" borderId="2" xfId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1" fontId="27" fillId="7" borderId="2" xfId="2" applyNumberFormat="1" applyFont="1" applyFill="1" applyBorder="1" applyAlignment="1">
      <alignment horizontal="center" vertical="center"/>
    </xf>
    <xf numFmtId="164" fontId="27" fillId="7" borderId="2" xfId="2" applyNumberFormat="1" applyFont="1" applyFill="1" applyBorder="1" applyAlignment="1">
      <alignment horizontal="center" vertical="center"/>
    </xf>
    <xf numFmtId="1" fontId="27" fillId="7" borderId="2" xfId="0" applyNumberFormat="1" applyFont="1" applyFill="1" applyBorder="1" applyAlignment="1">
      <alignment horizontal="center" vertical="center"/>
    </xf>
    <xf numFmtId="164" fontId="27" fillId="7" borderId="2" xfId="0" applyNumberFormat="1" applyFont="1" applyFill="1" applyBorder="1" applyAlignment="1">
      <alignment horizontal="center" vertical="center"/>
    </xf>
    <xf numFmtId="0" fontId="22" fillId="0" borderId="2" xfId="3" applyFont="1" applyBorder="1" applyAlignment="1">
      <alignment vertical="center" wrapText="1"/>
    </xf>
    <xf numFmtId="0" fontId="22" fillId="0" borderId="2" xfId="2" applyFont="1" applyFill="1" applyBorder="1" applyAlignment="1">
      <alignment horizontal="left" vertical="center"/>
    </xf>
    <xf numFmtId="0" fontId="22" fillId="0" borderId="2" xfId="2" applyFont="1" applyFill="1" applyBorder="1" applyAlignment="1">
      <alignment horizontal="left" vertical="center" wrapText="1"/>
    </xf>
    <xf numFmtId="0" fontId="23" fillId="0" borderId="2" xfId="3" applyFont="1" applyBorder="1" applyAlignment="1">
      <alignment horizontal="center" vertical="center"/>
    </xf>
    <xf numFmtId="0" fontId="29" fillId="0" borderId="0" xfId="0" applyFont="1"/>
    <xf numFmtId="0" fontId="23" fillId="0" borderId="2" xfId="3" applyFont="1" applyBorder="1" applyAlignment="1">
      <alignment horizontal="center" wrapText="1"/>
    </xf>
    <xf numFmtId="0" fontId="23" fillId="0" borderId="2" xfId="3" applyFont="1" applyBorder="1" applyAlignment="1">
      <alignment horizontal="center" vertical="center" wrapText="1"/>
    </xf>
    <xf numFmtId="0" fontId="30" fillId="0" borderId="0" xfId="0" applyFont="1"/>
    <xf numFmtId="1" fontId="8" fillId="3" borderId="2" xfId="0" applyNumberFormat="1" applyFont="1" applyFill="1" applyBorder="1" applyAlignment="1">
      <alignment horizontal="center"/>
    </xf>
    <xf numFmtId="1" fontId="22" fillId="0" borderId="2" xfId="1" applyNumberFormat="1" applyFont="1" applyFill="1" applyBorder="1" applyAlignment="1">
      <alignment horizontal="center" vertical="center"/>
    </xf>
    <xf numFmtId="0" fontId="31" fillId="0" borderId="0" xfId="0" applyFont="1"/>
    <xf numFmtId="0" fontId="33" fillId="0" borderId="0" xfId="0" applyFont="1"/>
    <xf numFmtId="0" fontId="8" fillId="0" borderId="0" xfId="2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1" fontId="8" fillId="0" borderId="13" xfId="2" applyNumberFormat="1" applyFont="1" applyFill="1" applyBorder="1" applyAlignment="1">
      <alignment horizontal="center" vertical="center"/>
    </xf>
    <xf numFmtId="0" fontId="22" fillId="0" borderId="0" xfId="2" applyFont="1" applyBorder="1" applyAlignment="1">
      <alignment horizontal="center" vertical="center"/>
    </xf>
    <xf numFmtId="1" fontId="33" fillId="0" borderId="0" xfId="0" applyNumberFormat="1" applyFont="1"/>
    <xf numFmtId="0" fontId="35" fillId="0" borderId="0" xfId="0" applyFont="1"/>
    <xf numFmtId="164" fontId="22" fillId="0" borderId="2" xfId="2" applyNumberFormat="1" applyFont="1" applyBorder="1" applyAlignment="1">
      <alignment horizontal="center" vertical="center"/>
    </xf>
    <xf numFmtId="164" fontId="22" fillId="0" borderId="2" xfId="2" applyNumberFormat="1" applyFont="1" applyFill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6" borderId="2" xfId="2" applyFont="1" applyFill="1" applyBorder="1" applyAlignment="1">
      <alignment horizontal="center" vertical="center"/>
    </xf>
    <xf numFmtId="0" fontId="22" fillId="6" borderId="2" xfId="3" applyFont="1" applyFill="1" applyBorder="1" applyAlignment="1">
      <alignment horizontal="center" vertical="center"/>
    </xf>
    <xf numFmtId="0" fontId="28" fillId="0" borderId="0" xfId="0" applyFont="1"/>
    <xf numFmtId="164" fontId="11" fillId="3" borderId="2" xfId="2" applyNumberFormat="1" applyFont="1" applyFill="1" applyBorder="1" applyAlignment="1">
      <alignment horizontal="center" vertical="center"/>
    </xf>
    <xf numFmtId="1" fontId="5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164" fontId="9" fillId="8" borderId="2" xfId="0" applyNumberFormat="1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164" fontId="9" fillId="8" borderId="2" xfId="2" applyNumberFormat="1" applyFont="1" applyFill="1" applyBorder="1" applyAlignment="1">
      <alignment horizontal="center" vertical="center"/>
    </xf>
    <xf numFmtId="1" fontId="8" fillId="0" borderId="23" xfId="2" applyNumberFormat="1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1" fontId="9" fillId="0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2" applyFont="1" applyFill="1" applyBorder="1" applyAlignment="1">
      <alignment horizontal="left"/>
    </xf>
    <xf numFmtId="1" fontId="6" fillId="0" borderId="5" xfId="2" applyNumberFormat="1" applyFont="1" applyBorder="1" applyAlignment="1">
      <alignment horizontal="center"/>
    </xf>
    <xf numFmtId="1" fontId="11" fillId="0" borderId="7" xfId="2" applyNumberFormat="1" applyFont="1" applyBorder="1" applyAlignment="1">
      <alignment horizontal="center"/>
    </xf>
    <xf numFmtId="164" fontId="11" fillId="0" borderId="7" xfId="2" applyNumberFormat="1" applyFont="1" applyBorder="1" applyAlignment="1">
      <alignment horizontal="center" vertical="center"/>
    </xf>
    <xf numFmtId="0" fontId="11" fillId="0" borderId="7" xfId="2" applyFont="1" applyFill="1" applyBorder="1" applyAlignment="1">
      <alignment horizontal="center"/>
    </xf>
    <xf numFmtId="1" fontId="5" fillId="8" borderId="2" xfId="0" applyNumberFormat="1" applyFont="1" applyFill="1" applyBorder="1" applyAlignment="1">
      <alignment horizontal="center" vertical="center"/>
    </xf>
    <xf numFmtId="1" fontId="9" fillId="8" borderId="2" xfId="0" applyNumberFormat="1" applyFont="1" applyFill="1" applyBorder="1" applyAlignment="1">
      <alignment horizontal="center" vertical="center"/>
    </xf>
    <xf numFmtId="164" fontId="9" fillId="8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0" xfId="3" applyFont="1" applyBorder="1" applyAlignment="1">
      <alignment horizontal="left"/>
    </xf>
    <xf numFmtId="1" fontId="6" fillId="0" borderId="0" xfId="2" applyNumberFormat="1" applyFont="1" applyBorder="1" applyAlignment="1">
      <alignment horizontal="center"/>
    </xf>
    <xf numFmtId="164" fontId="11" fillId="0" borderId="0" xfId="2" applyNumberFormat="1" applyFont="1" applyBorder="1" applyAlignment="1">
      <alignment horizontal="center" vertical="center"/>
    </xf>
    <xf numFmtId="1" fontId="11" fillId="0" borderId="0" xfId="4" applyNumberFormat="1" applyFont="1" applyBorder="1" applyAlignment="1">
      <alignment horizontal="center"/>
    </xf>
    <xf numFmtId="1" fontId="5" fillId="8" borderId="2" xfId="0" applyNumberFormat="1" applyFont="1" applyFill="1" applyBorder="1" applyAlignment="1">
      <alignment vertical="center"/>
    </xf>
    <xf numFmtId="1" fontId="9" fillId="8" borderId="2" xfId="0" applyNumberFormat="1" applyFont="1" applyFill="1" applyBorder="1" applyAlignment="1">
      <alignment vertical="center"/>
    </xf>
    <xf numFmtId="164" fontId="9" fillId="8" borderId="2" xfId="2" applyNumberFormat="1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164" fontId="8" fillId="3" borderId="2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5" fillId="0" borderId="0" xfId="2" applyFont="1" applyFill="1" applyBorder="1" applyAlignment="1">
      <alignment horizontal="center"/>
    </xf>
    <xf numFmtId="1" fontId="28" fillId="3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7" fillId="0" borderId="2" xfId="1" applyFont="1" applyFill="1" applyBorder="1" applyAlignment="1">
      <alignment horizontal="center" vertical="center" wrapText="1"/>
    </xf>
    <xf numFmtId="2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 wrapText="1"/>
    </xf>
    <xf numFmtId="164" fontId="32" fillId="0" borderId="2" xfId="1" applyNumberFormat="1" applyFont="1" applyFill="1" applyBorder="1" applyAlignment="1">
      <alignment horizontal="center"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1" fontId="22" fillId="0" borderId="5" xfId="1" applyNumberFormat="1" applyFont="1" applyFill="1" applyBorder="1" applyAlignment="1">
      <alignment horizontal="center" vertical="center"/>
    </xf>
    <xf numFmtId="164" fontId="38" fillId="3" borderId="11" xfId="1" applyNumberFormat="1" applyFont="1" applyFill="1" applyBorder="1" applyAlignment="1">
      <alignment horizontal="center" vertical="center"/>
    </xf>
    <xf numFmtId="164" fontId="27" fillId="3" borderId="11" xfId="2" applyNumberFormat="1" applyFont="1" applyFill="1" applyBorder="1" applyAlignment="1">
      <alignment horizontal="center" vertical="center"/>
    </xf>
    <xf numFmtId="1" fontId="38" fillId="3" borderId="11" xfId="1" applyNumberFormat="1" applyFont="1" applyFill="1" applyBorder="1" applyAlignment="1">
      <alignment horizontal="center" vertical="center"/>
    </xf>
    <xf numFmtId="164" fontId="39" fillId="3" borderId="26" xfId="0" applyNumberFormat="1" applyFont="1" applyFill="1" applyBorder="1" applyAlignment="1">
      <alignment horizontal="center" vertical="center"/>
    </xf>
    <xf numFmtId="1" fontId="6" fillId="0" borderId="27" xfId="2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64" fontId="42" fillId="0" borderId="7" xfId="0" applyNumberFormat="1" applyFont="1" applyBorder="1" applyAlignment="1">
      <alignment horizontal="center" vertical="center" wrapText="1"/>
    </xf>
    <xf numFmtId="164" fontId="40" fillId="0" borderId="7" xfId="2" applyNumberFormat="1" applyFont="1" applyBorder="1" applyAlignment="1">
      <alignment horizontal="center" vertical="center"/>
    </xf>
    <xf numFmtId="1" fontId="42" fillId="0" borderId="7" xfId="0" applyNumberFormat="1" applyFont="1" applyBorder="1" applyAlignment="1">
      <alignment horizontal="center" vertical="center" wrapText="1"/>
    </xf>
    <xf numFmtId="164" fontId="40" fillId="0" borderId="29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 vertical="center"/>
    </xf>
    <xf numFmtId="2" fontId="27" fillId="3" borderId="7" xfId="2" applyNumberFormat="1" applyFont="1" applyFill="1" applyBorder="1" applyAlignment="1">
      <alignment horizontal="center" vertical="center"/>
    </xf>
    <xf numFmtId="2" fontId="27" fillId="3" borderId="7" xfId="1" applyNumberFormat="1" applyFont="1" applyFill="1" applyBorder="1" applyAlignment="1">
      <alignment horizontal="center" vertical="center"/>
    </xf>
    <xf numFmtId="164" fontId="27" fillId="3" borderId="7" xfId="2" applyNumberFormat="1" applyFont="1" applyFill="1" applyBorder="1" applyAlignment="1">
      <alignment horizontal="center" vertical="center"/>
    </xf>
    <xf numFmtId="1" fontId="27" fillId="3" borderId="7" xfId="2" applyNumberFormat="1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 wrapText="1"/>
    </xf>
    <xf numFmtId="0" fontId="34" fillId="8" borderId="15" xfId="0" applyFont="1" applyFill="1" applyBorder="1" applyAlignment="1">
      <alignment horizontal="center" vertical="center" wrapText="1"/>
    </xf>
    <xf numFmtId="164" fontId="34" fillId="8" borderId="11" xfId="0" applyNumberFormat="1" applyFont="1" applyFill="1" applyBorder="1" applyAlignment="1">
      <alignment horizontal="center" vertical="center" wrapText="1"/>
    </xf>
    <xf numFmtId="164" fontId="32" fillId="8" borderId="11" xfId="2" applyNumberFormat="1" applyFont="1" applyFill="1" applyBorder="1" applyAlignment="1">
      <alignment horizontal="center" vertical="center"/>
    </xf>
    <xf numFmtId="1" fontId="34" fillId="8" borderId="11" xfId="0" applyNumberFormat="1" applyFont="1" applyFill="1" applyBorder="1" applyAlignment="1">
      <alignment horizontal="center" vertical="center" wrapText="1"/>
    </xf>
    <xf numFmtId="164" fontId="32" fillId="8" borderId="26" xfId="0" applyNumberFormat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1" fontId="32" fillId="0" borderId="2" xfId="1" applyNumberFormat="1" applyFont="1" applyFill="1" applyBorder="1" applyAlignment="1">
      <alignment horizontal="center" vertical="center"/>
    </xf>
    <xf numFmtId="164" fontId="32" fillId="0" borderId="2" xfId="0" applyNumberFormat="1" applyFont="1" applyFill="1" applyBorder="1" applyAlignment="1">
      <alignment horizontal="center" vertical="center"/>
    </xf>
    <xf numFmtId="2" fontId="42" fillId="8" borderId="21" xfId="0" applyNumberFormat="1" applyFont="1" applyFill="1" applyBorder="1" applyAlignment="1">
      <alignment horizontal="center"/>
    </xf>
    <xf numFmtId="164" fontId="40" fillId="8" borderId="21" xfId="2" applyNumberFormat="1" applyFont="1" applyFill="1" applyBorder="1" applyAlignment="1">
      <alignment horizontal="center" vertical="center"/>
    </xf>
    <xf numFmtId="165" fontId="42" fillId="8" borderId="21" xfId="0" applyNumberFormat="1" applyFont="1" applyFill="1" applyBorder="1" applyAlignment="1">
      <alignment horizontal="center"/>
    </xf>
    <xf numFmtId="1" fontId="42" fillId="8" borderId="21" xfId="0" applyNumberFormat="1" applyFont="1" applyFill="1" applyBorder="1" applyAlignment="1">
      <alignment horizontal="center"/>
    </xf>
    <xf numFmtId="164" fontId="40" fillId="8" borderId="22" xfId="0" applyNumberFormat="1" applyFont="1" applyFill="1" applyBorder="1" applyAlignment="1">
      <alignment horizontal="center"/>
    </xf>
    <xf numFmtId="0" fontId="41" fillId="8" borderId="20" xfId="0" applyFont="1" applyFill="1" applyBorder="1"/>
    <xf numFmtId="0" fontId="34" fillId="8" borderId="31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vertical="center" wrapText="1"/>
    </xf>
    <xf numFmtId="0" fontId="30" fillId="0" borderId="1" xfId="0" applyFont="1" applyBorder="1" applyAlignment="1">
      <alignment vertical="center"/>
    </xf>
    <xf numFmtId="0" fontId="8" fillId="0" borderId="2" xfId="2" applyFont="1" applyBorder="1"/>
    <xf numFmtId="0" fontId="5" fillId="3" borderId="5" xfId="1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0" fillId="0" borderId="0" xfId="0" applyAlignment="1"/>
    <xf numFmtId="1" fontId="6" fillId="0" borderId="2" xfId="0" applyNumberFormat="1" applyFont="1" applyBorder="1" applyAlignment="1">
      <alignment horizontal="center" vertical="center"/>
    </xf>
    <xf numFmtId="1" fontId="22" fillId="5" borderId="2" xfId="2" applyNumberFormat="1" applyFont="1" applyFill="1" applyBorder="1" applyAlignment="1">
      <alignment horizontal="center" vertical="center" wrapText="1"/>
    </xf>
    <xf numFmtId="164" fontId="6" fillId="0" borderId="2" xfId="2" applyNumberFormat="1" applyFont="1" applyBorder="1" applyAlignment="1">
      <alignment horizontal="center" vertical="center"/>
    </xf>
    <xf numFmtId="1" fontId="22" fillId="0" borderId="2" xfId="2" applyNumberFormat="1" applyFont="1" applyBorder="1" applyAlignment="1">
      <alignment horizontal="center" vertical="center"/>
    </xf>
    <xf numFmtId="1" fontId="22" fillId="6" borderId="2" xfId="3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1" fontId="6" fillId="0" borderId="2" xfId="4" applyNumberFormat="1" applyFont="1" applyBorder="1" applyAlignment="1">
      <alignment horizontal="center" vertical="center"/>
    </xf>
    <xf numFmtId="1" fontId="6" fillId="0" borderId="2" xfId="2" applyNumberFormat="1" applyFont="1" applyFill="1" applyBorder="1" applyAlignment="1">
      <alignment horizontal="center"/>
    </xf>
    <xf numFmtId="1" fontId="6" fillId="0" borderId="2" xfId="3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2" xfId="2" applyFont="1" applyFill="1" applyBorder="1" applyAlignment="1">
      <alignment horizontal="center" vertical="center" wrapText="1"/>
    </xf>
    <xf numFmtId="1" fontId="22" fillId="6" borderId="2" xfId="2" applyNumberFormat="1" applyFont="1" applyFill="1" applyBorder="1" applyAlignment="1">
      <alignment horizontal="center" vertical="center"/>
    </xf>
    <xf numFmtId="1" fontId="6" fillId="0" borderId="2" xfId="4" applyNumberFormat="1" applyFont="1" applyFill="1" applyBorder="1" applyAlignment="1">
      <alignment horizontal="center"/>
    </xf>
    <xf numFmtId="164" fontId="6" fillId="0" borderId="0" xfId="2" applyNumberFormat="1" applyFont="1" applyBorder="1" applyAlignment="1">
      <alignment horizontal="center" vertical="center"/>
    </xf>
    <xf numFmtId="1" fontId="6" fillId="0" borderId="0" xfId="4" applyNumberFormat="1" applyFont="1" applyBorder="1" applyAlignment="1">
      <alignment horizontal="center"/>
    </xf>
    <xf numFmtId="0" fontId="10" fillId="3" borderId="5" xfId="1" applyFont="1" applyFill="1" applyBorder="1" applyAlignment="1">
      <alignment horizontal="center" wrapText="1"/>
    </xf>
    <xf numFmtId="0" fontId="10" fillId="3" borderId="2" xfId="1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/>
    </xf>
    <xf numFmtId="1" fontId="6" fillId="0" borderId="0" xfId="2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45" fillId="3" borderId="2" xfId="0" applyNumberFormat="1" applyFont="1" applyFill="1" applyBorder="1" applyAlignment="1">
      <alignment horizontal="center" vertical="center"/>
    </xf>
    <xf numFmtId="164" fontId="5" fillId="3" borderId="2" xfId="2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45" fillId="3" borderId="2" xfId="2" applyNumberFormat="1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164" fontId="45" fillId="3" borderId="2" xfId="0" applyNumberFormat="1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wrapText="1"/>
    </xf>
    <xf numFmtId="0" fontId="30" fillId="8" borderId="12" xfId="0" applyFont="1" applyFill="1" applyBorder="1" applyAlignment="1">
      <alignment horizontal="center" vertical="center"/>
    </xf>
    <xf numFmtId="1" fontId="34" fillId="8" borderId="31" xfId="0" applyNumberFormat="1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0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1" fontId="45" fillId="8" borderId="2" xfId="0" applyNumberFormat="1" applyFont="1" applyFill="1" applyBorder="1" applyAlignment="1">
      <alignment horizontal="center" vertical="center"/>
    </xf>
    <xf numFmtId="164" fontId="45" fillId="8" borderId="2" xfId="2" applyNumberFormat="1" applyFont="1" applyFill="1" applyBorder="1" applyAlignment="1">
      <alignment horizontal="center" vertical="center"/>
    </xf>
    <xf numFmtId="164" fontId="45" fillId="8" borderId="2" xfId="0" applyNumberFormat="1" applyFont="1" applyFill="1" applyBorder="1" applyAlignment="1">
      <alignment horizontal="center" vertical="center"/>
    </xf>
    <xf numFmtId="164" fontId="5" fillId="8" borderId="2" xfId="2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1" fontId="30" fillId="3" borderId="2" xfId="0" applyNumberFormat="1" applyFont="1" applyFill="1" applyBorder="1" applyAlignment="1">
      <alignment horizontal="center" vertical="center"/>
    </xf>
    <xf numFmtId="164" fontId="7" fillId="3" borderId="2" xfId="2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22" fillId="5" borderId="2" xfId="2" applyNumberFormat="1" applyFont="1" applyFill="1" applyBorder="1" applyAlignment="1">
      <alignment horizontal="center" vertical="center"/>
    </xf>
    <xf numFmtId="0" fontId="22" fillId="5" borderId="2" xfId="2" applyNumberFormat="1" applyFont="1" applyFill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/>
    </xf>
    <xf numFmtId="0" fontId="45" fillId="8" borderId="2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2" fontId="34" fillId="8" borderId="31" xfId="0" applyNumberFormat="1" applyFont="1" applyFill="1" applyBorder="1" applyAlignment="1">
      <alignment horizontal="center" vertical="center" wrapText="1"/>
    </xf>
    <xf numFmtId="0" fontId="30" fillId="0" borderId="0" xfId="0" applyFont="1" applyAlignment="1"/>
    <xf numFmtId="0" fontId="29" fillId="0" borderId="0" xfId="0" applyFont="1" applyAlignment="1">
      <alignment horizontal="center" vertical="center"/>
    </xf>
    <xf numFmtId="0" fontId="30" fillId="0" borderId="1" xfId="0" applyFont="1" applyBorder="1" applyAlignment="1">
      <alignment wrapText="1"/>
    </xf>
    <xf numFmtId="0" fontId="23" fillId="0" borderId="2" xfId="3" applyFont="1" applyBorder="1" applyAlignment="1">
      <alignment horizontal="left" wrapText="1"/>
    </xf>
    <xf numFmtId="0" fontId="23" fillId="0" borderId="2" xfId="3" applyFont="1" applyBorder="1" applyAlignment="1">
      <alignment horizontal="left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/>
    </xf>
    <xf numFmtId="0" fontId="8" fillId="0" borderId="33" xfId="2" applyFont="1" applyFill="1" applyBorder="1" applyAlignment="1">
      <alignment horizontal="center" vertical="center" wrapText="1"/>
    </xf>
    <xf numFmtId="0" fontId="5" fillId="0" borderId="20" xfId="2" applyFont="1" applyFill="1" applyBorder="1" applyAlignment="1">
      <alignment horizontal="center" vertical="center"/>
    </xf>
    <xf numFmtId="0" fontId="5" fillId="0" borderId="21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1" fontId="9" fillId="0" borderId="21" xfId="2" applyNumberFormat="1" applyFont="1" applyFill="1" applyBorder="1" applyAlignment="1">
      <alignment horizontal="center" vertical="center"/>
    </xf>
    <xf numFmtId="1" fontId="9" fillId="0" borderId="22" xfId="2" applyNumberFormat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vertical="center" wrapText="1"/>
    </xf>
    <xf numFmtId="0" fontId="7" fillId="3" borderId="5" xfId="1" applyFont="1" applyFill="1" applyBorder="1" applyAlignment="1">
      <alignment vertical="center" wrapText="1"/>
    </xf>
    <xf numFmtId="0" fontId="45" fillId="3" borderId="3" xfId="1" applyFont="1" applyFill="1" applyBorder="1" applyAlignment="1">
      <alignment vertical="center" wrapText="1"/>
    </xf>
    <xf numFmtId="0" fontId="44" fillId="3" borderId="5" xfId="1" applyFont="1" applyFill="1" applyBorder="1" applyAlignment="1">
      <alignment vertical="center" wrapText="1"/>
    </xf>
    <xf numFmtId="0" fontId="22" fillId="0" borderId="2" xfId="2" applyFont="1" applyFill="1" applyBorder="1" applyAlignment="1">
      <alignment horizontal="left"/>
    </xf>
    <xf numFmtId="1" fontId="5" fillId="3" borderId="2" xfId="0" applyNumberFormat="1" applyFont="1" applyFill="1" applyBorder="1" applyAlignment="1">
      <alignment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33" fillId="8" borderId="12" xfId="0" applyFont="1" applyFill="1" applyBorder="1" applyAlignment="1">
      <alignment horizontal="center" vertical="center"/>
    </xf>
    <xf numFmtId="1" fontId="46" fillId="8" borderId="31" xfId="0" applyNumberFormat="1" applyFont="1" applyFill="1" applyBorder="1" applyAlignment="1">
      <alignment horizontal="center" vertical="center" wrapText="1"/>
    </xf>
    <xf numFmtId="1" fontId="46" fillId="8" borderId="30" xfId="0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1" fontId="6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" fontId="6" fillId="8" borderId="2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7" fillId="0" borderId="0" xfId="0" applyFont="1"/>
    <xf numFmtId="1" fontId="14" fillId="0" borderId="2" xfId="2" applyNumberFormat="1" applyFont="1" applyBorder="1" applyAlignment="1">
      <alignment horizontal="center"/>
    </xf>
    <xf numFmtId="164" fontId="14" fillId="0" borderId="2" xfId="2" applyNumberFormat="1" applyFont="1" applyBorder="1" applyAlignment="1">
      <alignment horizontal="center" vertical="center"/>
    </xf>
    <xf numFmtId="0" fontId="14" fillId="0" borderId="2" xfId="2" applyFont="1" applyBorder="1" applyAlignment="1">
      <alignment horizontal="center"/>
    </xf>
    <xf numFmtId="2" fontId="14" fillId="0" borderId="2" xfId="2" applyNumberFormat="1" applyFont="1" applyFill="1" applyBorder="1" applyAlignment="1">
      <alignment horizontal="center" vertical="center"/>
    </xf>
    <xf numFmtId="164" fontId="14" fillId="0" borderId="2" xfId="2" applyNumberFormat="1" applyFont="1" applyFill="1" applyBorder="1" applyAlignment="1">
      <alignment horizontal="center" vertical="center"/>
    </xf>
    <xf numFmtId="1" fontId="14" fillId="0" borderId="2" xfId="2" applyNumberFormat="1" applyFont="1" applyFill="1" applyBorder="1" applyAlignment="1">
      <alignment horizontal="center" vertical="center"/>
    </xf>
    <xf numFmtId="1" fontId="14" fillId="0" borderId="27" xfId="2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34" fillId="8" borderId="12" xfId="0" applyNumberFormat="1" applyFont="1" applyFill="1" applyBorder="1" applyAlignment="1">
      <alignment horizontal="center" vertical="center"/>
    </xf>
    <xf numFmtId="0" fontId="34" fillId="8" borderId="12" xfId="0" applyFont="1" applyFill="1" applyBorder="1" applyAlignment="1">
      <alignment horizontal="center" vertical="center"/>
    </xf>
    <xf numFmtId="2" fontId="34" fillId="8" borderId="13" xfId="0" applyNumberFormat="1" applyFont="1" applyFill="1" applyBorder="1" applyAlignment="1">
      <alignment horizontal="center"/>
    </xf>
    <xf numFmtId="164" fontId="32" fillId="8" borderId="13" xfId="2" applyNumberFormat="1" applyFont="1" applyFill="1" applyBorder="1" applyAlignment="1">
      <alignment horizontal="center" vertical="center"/>
    </xf>
    <xf numFmtId="165" fontId="34" fillId="8" borderId="13" xfId="0" applyNumberFormat="1" applyFont="1" applyFill="1" applyBorder="1" applyAlignment="1">
      <alignment horizontal="center"/>
    </xf>
    <xf numFmtId="1" fontId="34" fillId="8" borderId="13" xfId="0" applyNumberFormat="1" applyFont="1" applyFill="1" applyBorder="1" applyAlignment="1">
      <alignment horizontal="center"/>
    </xf>
    <xf numFmtId="164" fontId="32" fillId="8" borderId="23" xfId="0" applyNumberFormat="1" applyFont="1" applyFill="1" applyBorder="1" applyAlignment="1">
      <alignment horizontal="center"/>
    </xf>
    <xf numFmtId="164" fontId="32" fillId="8" borderId="21" xfId="2" applyNumberFormat="1" applyFont="1" applyFill="1" applyBorder="1" applyAlignment="1">
      <alignment horizontal="center" vertical="center"/>
    </xf>
    <xf numFmtId="164" fontId="32" fillId="8" borderId="22" xfId="0" applyNumberFormat="1" applyFont="1" applyFill="1" applyBorder="1" applyAlignment="1">
      <alignment horizontal="center"/>
    </xf>
    <xf numFmtId="0" fontId="39" fillId="0" borderId="2" xfId="1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vertical="center"/>
    </xf>
    <xf numFmtId="0" fontId="22" fillId="0" borderId="8" xfId="3" quotePrefix="1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164" fontId="22" fillId="6" borderId="2" xfId="2" applyNumberFormat="1" applyFont="1" applyFill="1" applyBorder="1" applyAlignment="1">
      <alignment horizontal="center" vertical="center"/>
    </xf>
    <xf numFmtId="165" fontId="14" fillId="0" borderId="2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6" fillId="0" borderId="0" xfId="2" applyNumberFormat="1" applyFont="1" applyBorder="1" applyAlignment="1">
      <alignment horizontal="center" vertical="center"/>
    </xf>
    <xf numFmtId="0" fontId="22" fillId="5" borderId="0" xfId="2" applyNumberFormat="1" applyFont="1" applyFill="1" applyBorder="1" applyAlignment="1">
      <alignment horizontal="center" vertical="center" wrapText="1"/>
    </xf>
    <xf numFmtId="0" fontId="39" fillId="0" borderId="2" xfId="3" applyFont="1" applyBorder="1" applyAlignment="1">
      <alignment vertical="center" wrapText="1"/>
    </xf>
    <xf numFmtId="0" fontId="39" fillId="0" borderId="2" xfId="2" applyFont="1" applyBorder="1" applyAlignment="1">
      <alignment horizontal="left" vertical="center" wrapText="1"/>
    </xf>
    <xf numFmtId="2" fontId="39" fillId="0" borderId="2" xfId="2" applyNumberFormat="1" applyFont="1" applyBorder="1" applyAlignment="1">
      <alignment horizontal="left" vertical="center"/>
    </xf>
    <xf numFmtId="2" fontId="39" fillId="0" borderId="2" xfId="2" applyNumberFormat="1" applyFont="1" applyBorder="1" applyAlignment="1">
      <alignment horizontal="left" vertical="center" wrapText="1"/>
    </xf>
    <xf numFmtId="0" fontId="52" fillId="0" borderId="2" xfId="3" applyFont="1" applyBorder="1" applyAlignment="1">
      <alignment horizontal="left" vertical="center" wrapText="1"/>
    </xf>
    <xf numFmtId="0" fontId="39" fillId="0" borderId="2" xfId="2" applyFont="1" applyFill="1" applyBorder="1" applyAlignment="1">
      <alignment horizontal="left" vertical="center" wrapText="1"/>
    </xf>
    <xf numFmtId="0" fontId="39" fillId="0" borderId="2" xfId="2" applyFont="1" applyFill="1" applyBorder="1" applyAlignment="1">
      <alignment horizontal="left" vertical="center"/>
    </xf>
    <xf numFmtId="0" fontId="39" fillId="0" borderId="0" xfId="2" applyFont="1" applyFill="1" applyBorder="1" applyAlignment="1">
      <alignment horizontal="left" vertical="center"/>
    </xf>
    <xf numFmtId="0" fontId="44" fillId="8" borderId="2" xfId="1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 vertical="center" wrapText="1"/>
    </xf>
    <xf numFmtId="164" fontId="22" fillId="5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2" fontId="34" fillId="8" borderId="13" xfId="0" applyNumberFormat="1" applyFont="1" applyFill="1" applyBorder="1" applyAlignment="1">
      <alignment horizontal="center" vertical="center"/>
    </xf>
    <xf numFmtId="165" fontId="34" fillId="8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" fontId="11" fillId="0" borderId="0" xfId="4" applyNumberFormat="1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6" fillId="0" borderId="0" xfId="3" applyFont="1" applyBorder="1" applyAlignment="1">
      <alignment horizontal="center" vertical="center"/>
    </xf>
    <xf numFmtId="0" fontId="6" fillId="0" borderId="0" xfId="3" applyFont="1" applyBorder="1" applyAlignment="1">
      <alignment horizontal="left" vertical="center"/>
    </xf>
    <xf numFmtId="0" fontId="51" fillId="0" borderId="0" xfId="0" applyFont="1" applyAlignment="1">
      <alignment vertical="center"/>
    </xf>
    <xf numFmtId="0" fontId="52" fillId="0" borderId="2" xfId="2" applyFont="1" applyBorder="1" applyAlignment="1">
      <alignment horizontal="lef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left" vertical="center"/>
    </xf>
    <xf numFmtId="1" fontId="6" fillId="0" borderId="5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0" fontId="39" fillId="0" borderId="2" xfId="2" applyFont="1" applyBorder="1" applyAlignment="1">
      <alignment horizontal="left" vertical="center"/>
    </xf>
    <xf numFmtId="2" fontId="0" fillId="0" borderId="0" xfId="0" applyNumberFormat="1" applyAlignment="1">
      <alignment vertical="center"/>
    </xf>
    <xf numFmtId="0" fontId="11" fillId="0" borderId="0" xfId="2" applyFont="1" applyBorder="1" applyAlignment="1">
      <alignment horizontal="center" vertical="center"/>
    </xf>
    <xf numFmtId="2" fontId="50" fillId="0" borderId="0" xfId="0" applyNumberFormat="1" applyFont="1" applyAlignment="1">
      <alignment vertical="center"/>
    </xf>
    <xf numFmtId="1" fontId="11" fillId="0" borderId="0" xfId="2" applyNumberFormat="1" applyFont="1" applyBorder="1" applyAlignment="1">
      <alignment horizontal="center" vertical="center"/>
    </xf>
    <xf numFmtId="0" fontId="39" fillId="0" borderId="2" xfId="2" applyFont="1" applyFill="1" applyBorder="1" applyAlignment="1">
      <alignment vertical="center"/>
    </xf>
    <xf numFmtId="0" fontId="39" fillId="0" borderId="2" xfId="2" applyFont="1" applyFill="1" applyBorder="1" applyAlignment="1">
      <alignment vertical="center" wrapText="1"/>
    </xf>
    <xf numFmtId="0" fontId="6" fillId="0" borderId="0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53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" fontId="8" fillId="3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 vertical="center" wrapText="1"/>
    </xf>
    <xf numFmtId="1" fontId="18" fillId="0" borderId="2" xfId="2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8" fillId="0" borderId="33" xfId="2" applyFont="1" applyFill="1" applyBorder="1" applyAlignment="1">
      <alignment horizontal="center" vertical="top" wrapText="1"/>
    </xf>
    <xf numFmtId="166" fontId="22" fillId="5" borderId="2" xfId="2" applyNumberFormat="1" applyFont="1" applyFill="1" applyBorder="1" applyAlignment="1">
      <alignment horizontal="center" vertical="center" wrapText="1"/>
    </xf>
    <xf numFmtId="167" fontId="9" fillId="0" borderId="2" xfId="2" applyNumberFormat="1" applyFont="1" applyFill="1" applyBorder="1" applyAlignment="1">
      <alignment horizontal="center" vertical="center"/>
    </xf>
    <xf numFmtId="166" fontId="0" fillId="0" borderId="27" xfId="0" applyNumberFormat="1" applyBorder="1" applyAlignment="1">
      <alignment vertical="center"/>
    </xf>
    <xf numFmtId="166" fontId="6" fillId="0" borderId="2" xfId="2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6" fontId="9" fillId="0" borderId="2" xfId="2" applyNumberFormat="1" applyFont="1" applyFill="1" applyBorder="1" applyAlignment="1">
      <alignment horizontal="center" vertical="center"/>
    </xf>
    <xf numFmtId="166" fontId="22" fillId="5" borderId="2" xfId="2" applyNumberFormat="1" applyFont="1" applyFill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20" fillId="0" borderId="40" xfId="0" applyFont="1" applyBorder="1" applyAlignment="1">
      <alignment vertical="top" wrapText="1"/>
    </xf>
    <xf numFmtId="0" fontId="20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0" fillId="0" borderId="45" xfId="0" applyBorder="1" applyAlignment="1">
      <alignment wrapText="1"/>
    </xf>
    <xf numFmtId="0" fontId="30" fillId="0" borderId="36" xfId="0" applyFont="1" applyBorder="1" applyAlignment="1">
      <alignment horizontal="center" vertical="top" wrapText="1"/>
    </xf>
    <xf numFmtId="0" fontId="30" fillId="0" borderId="33" xfId="0" applyFont="1" applyBorder="1" applyAlignment="1">
      <alignment horizontal="center" vertical="top" wrapText="1"/>
    </xf>
    <xf numFmtId="164" fontId="30" fillId="0" borderId="38" xfId="0" applyNumberFormat="1" applyFont="1" applyBorder="1" applyAlignment="1">
      <alignment horizontal="center" vertical="top" wrapText="1"/>
    </xf>
    <xf numFmtId="0" fontId="20" fillId="0" borderId="43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164" fontId="30" fillId="0" borderId="34" xfId="0" applyNumberFormat="1" applyFont="1" applyBorder="1" applyAlignment="1">
      <alignment horizontal="center" vertical="center"/>
    </xf>
    <xf numFmtId="164" fontId="30" fillId="0" borderId="11" xfId="0" applyNumberFormat="1" applyFont="1" applyBorder="1" applyAlignment="1">
      <alignment horizontal="center" vertical="center"/>
    </xf>
    <xf numFmtId="164" fontId="30" fillId="0" borderId="26" xfId="0" applyNumberFormat="1" applyFont="1" applyBorder="1" applyAlignment="1">
      <alignment horizontal="center" vertical="center"/>
    </xf>
    <xf numFmtId="164" fontId="30" fillId="0" borderId="15" xfId="0" applyNumberFormat="1" applyFont="1" applyBorder="1" applyAlignment="1">
      <alignment horizontal="center" vertical="center"/>
    </xf>
    <xf numFmtId="164" fontId="44" fillId="0" borderId="26" xfId="2" applyNumberFormat="1" applyFont="1" applyFill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164" fontId="30" fillId="0" borderId="5" xfId="0" applyNumberFormat="1" applyFont="1" applyBorder="1" applyAlignment="1">
      <alignment horizontal="center" vertical="center"/>
    </xf>
    <xf numFmtId="164" fontId="44" fillId="0" borderId="27" xfId="2" applyNumberFormat="1" applyFont="1" applyFill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30" fillId="0" borderId="33" xfId="0" applyNumberFormat="1" applyFont="1" applyBorder="1" applyAlignment="1">
      <alignment horizontal="center" vertical="center"/>
    </xf>
    <xf numFmtId="164" fontId="30" fillId="0" borderId="37" xfId="0" applyNumberFormat="1" applyFont="1" applyBorder="1" applyAlignment="1">
      <alignment horizontal="center" vertical="center"/>
    </xf>
    <xf numFmtId="164" fontId="44" fillId="0" borderId="38" xfId="2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1" fontId="31" fillId="0" borderId="24" xfId="0" applyNumberFormat="1" applyFont="1" applyBorder="1" applyAlignment="1">
      <alignment horizontal="center"/>
    </xf>
    <xf numFmtId="0" fontId="31" fillId="0" borderId="48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53" fillId="0" borderId="40" xfId="0" applyFont="1" applyBorder="1" applyAlignment="1">
      <alignment horizontal="center"/>
    </xf>
    <xf numFmtId="0" fontId="53" fillId="0" borderId="41" xfId="0" applyFont="1" applyBorder="1" applyAlignment="1">
      <alignment horizontal="center"/>
    </xf>
    <xf numFmtId="0" fontId="53" fillId="0" borderId="42" xfId="0" applyFont="1" applyBorder="1" applyAlignment="1">
      <alignment horizontal="center"/>
    </xf>
    <xf numFmtId="0" fontId="39" fillId="0" borderId="3" xfId="2" applyFont="1" applyFill="1" applyBorder="1" applyAlignment="1">
      <alignment horizontal="left" vertical="center" wrapText="1"/>
    </xf>
    <xf numFmtId="166" fontId="0" fillId="0" borderId="5" xfId="0" applyNumberFormat="1" applyBorder="1" applyAlignment="1">
      <alignment vertical="center"/>
    </xf>
    <xf numFmtId="0" fontId="44" fillId="3" borderId="3" xfId="1" applyFont="1" applyFill="1" applyBorder="1" applyAlignment="1">
      <alignment horizontal="center" vertical="center" wrapText="1"/>
    </xf>
    <xf numFmtId="1" fontId="50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1" fontId="54" fillId="0" borderId="6" xfId="0" applyNumberFormat="1" applyFont="1" applyFill="1" applyBorder="1" applyAlignment="1">
      <alignment horizontal="right"/>
    </xf>
    <xf numFmtId="1" fontId="54" fillId="0" borderId="2" xfId="0" applyNumberFormat="1" applyFont="1" applyBorder="1"/>
    <xf numFmtId="1" fontId="54" fillId="0" borderId="0" xfId="0" applyNumberFormat="1" applyFont="1" applyAlignment="1">
      <alignment horizontal="right"/>
    </xf>
    <xf numFmtId="1" fontId="54" fillId="6" borderId="2" xfId="0" applyNumberFormat="1" applyFont="1" applyFill="1" applyBorder="1" applyAlignment="1">
      <alignment horizontal="right"/>
    </xf>
    <xf numFmtId="1" fontId="54" fillId="0" borderId="2" xfId="0" applyNumberFormat="1" applyFont="1" applyFill="1" applyBorder="1" applyAlignment="1">
      <alignment horizontal="right"/>
    </xf>
    <xf numFmtId="164" fontId="54" fillId="0" borderId="6" xfId="0" applyNumberFormat="1" applyFont="1" applyFill="1" applyBorder="1" applyAlignment="1">
      <alignment horizontal="right"/>
    </xf>
    <xf numFmtId="164" fontId="54" fillId="0" borderId="2" xfId="0" applyNumberFormat="1" applyFont="1" applyBorder="1"/>
    <xf numFmtId="0" fontId="54" fillId="0" borderId="2" xfId="0" applyFont="1" applyFill="1" applyBorder="1" applyAlignment="1">
      <alignment horizontal="right"/>
    </xf>
    <xf numFmtId="164" fontId="54" fillId="0" borderId="2" xfId="0" applyNumberFormat="1" applyFont="1" applyFill="1" applyBorder="1" applyAlignment="1">
      <alignment horizontal="right"/>
    </xf>
    <xf numFmtId="164" fontId="54" fillId="0" borderId="2" xfId="0" applyNumberFormat="1" applyFont="1" applyBorder="1" applyAlignment="1">
      <alignment horizontal="right"/>
    </xf>
    <xf numFmtId="164" fontId="54" fillId="6" borderId="2" xfId="0" applyNumberFormat="1" applyFont="1" applyFill="1" applyBorder="1" applyAlignment="1">
      <alignment horizontal="right"/>
    </xf>
    <xf numFmtId="0" fontId="54" fillId="0" borderId="6" xfId="0" applyFont="1" applyFill="1" applyBorder="1" applyAlignment="1">
      <alignment horizontal="right"/>
    </xf>
    <xf numFmtId="164" fontId="22" fillId="5" borderId="3" xfId="0" applyNumberFormat="1" applyFont="1" applyFill="1" applyBorder="1" applyAlignment="1">
      <alignment horizontal="center" vertical="center"/>
    </xf>
    <xf numFmtId="1" fontId="22" fillId="0" borderId="0" xfId="2" applyNumberFormat="1" applyFont="1" applyBorder="1" applyAlignment="1">
      <alignment horizontal="center" vertical="center"/>
    </xf>
    <xf numFmtId="1" fontId="22" fillId="0" borderId="0" xfId="3" applyNumberFormat="1" applyFont="1" applyBorder="1" applyAlignment="1">
      <alignment horizontal="center" vertical="center"/>
    </xf>
    <xf numFmtId="0" fontId="44" fillId="3" borderId="3" xfId="1" applyFont="1" applyFill="1" applyBorder="1" applyAlignment="1">
      <alignment horizontal="center" vertical="center" wrapText="1"/>
    </xf>
    <xf numFmtId="164" fontId="54" fillId="0" borderId="0" xfId="0" applyNumberFormat="1" applyFont="1" applyAlignment="1">
      <alignment horizontal="right"/>
    </xf>
    <xf numFmtId="0" fontId="21" fillId="5" borderId="2" xfId="3" applyFont="1" applyFill="1" applyBorder="1" applyAlignment="1">
      <alignment horizontal="center" vertical="center"/>
    </xf>
    <xf numFmtId="0" fontId="39" fillId="5" borderId="2" xfId="3" applyFont="1" applyFill="1" applyBorder="1" applyAlignment="1">
      <alignment vertical="center" wrapText="1"/>
    </xf>
    <xf numFmtId="1" fontId="6" fillId="5" borderId="2" xfId="2" applyNumberFormat="1" applyFont="1" applyFill="1" applyBorder="1" applyAlignment="1">
      <alignment horizontal="center" vertical="center"/>
    </xf>
    <xf numFmtId="164" fontId="6" fillId="5" borderId="2" xfId="2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5" borderId="2" xfId="1" applyFont="1" applyFill="1" applyBorder="1" applyAlignment="1">
      <alignment horizontal="center" vertical="center"/>
    </xf>
    <xf numFmtId="2" fontId="39" fillId="5" borderId="2" xfId="2" applyNumberFormat="1" applyFont="1" applyFill="1" applyBorder="1" applyAlignment="1">
      <alignment horizontal="left" vertical="center"/>
    </xf>
    <xf numFmtId="1" fontId="0" fillId="5" borderId="0" xfId="0" applyNumberFormat="1" applyFill="1" applyAlignment="1">
      <alignment vertical="center"/>
    </xf>
    <xf numFmtId="0" fontId="11" fillId="5" borderId="0" xfId="2" applyFont="1" applyFill="1" applyBorder="1" applyAlignment="1">
      <alignment horizontal="center" vertical="center"/>
    </xf>
    <xf numFmtId="2" fontId="0" fillId="5" borderId="0" xfId="0" applyNumberFormat="1" applyFill="1" applyAlignment="1">
      <alignment vertical="center"/>
    </xf>
    <xf numFmtId="166" fontId="31" fillId="6" borderId="11" xfId="2" applyNumberFormat="1" applyFont="1" applyFill="1" applyBorder="1" applyAlignment="1">
      <alignment horizontal="center" vertical="center" wrapText="1"/>
    </xf>
    <xf numFmtId="166" fontId="31" fillId="6" borderId="13" xfId="2" applyNumberFormat="1" applyFont="1" applyFill="1" applyBorder="1" applyAlignment="1">
      <alignment horizontal="center" vertical="center" wrapText="1"/>
    </xf>
    <xf numFmtId="166" fontId="37" fillId="6" borderId="49" xfId="2" applyNumberFormat="1" applyFont="1" applyFill="1" applyBorder="1" applyAlignment="1">
      <alignment horizontal="center" vertical="center" wrapText="1"/>
    </xf>
    <xf numFmtId="166" fontId="37" fillId="6" borderId="6" xfId="2" applyNumberFormat="1" applyFont="1" applyFill="1" applyBorder="1" applyAlignment="1">
      <alignment horizontal="center" vertical="center" wrapText="1"/>
    </xf>
    <xf numFmtId="166" fontId="14" fillId="6" borderId="11" xfId="2" applyNumberFormat="1" applyFont="1" applyFill="1" applyBorder="1" applyAlignment="1">
      <alignment horizontal="center" vertical="center"/>
    </xf>
    <xf numFmtId="166" fontId="14" fillId="6" borderId="34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2" xfId="2" applyNumberFormat="1" applyFont="1" applyFill="1" applyBorder="1" applyAlignment="1">
      <alignment horizontal="center" vertical="center" wrapText="1"/>
    </xf>
    <xf numFmtId="166" fontId="31" fillId="6" borderId="34" xfId="2" applyNumberFormat="1" applyFont="1" applyFill="1" applyBorder="1" applyAlignment="1">
      <alignment horizontal="center" vertical="center" wrapText="1"/>
    </xf>
    <xf numFmtId="166" fontId="31" fillId="6" borderId="35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35" xfId="2" applyNumberFormat="1" applyFont="1" applyFill="1" applyBorder="1" applyAlignment="1">
      <alignment horizontal="center" vertical="center"/>
    </xf>
    <xf numFmtId="167" fontId="9" fillId="0" borderId="3" xfId="2" applyNumberFormat="1" applyFont="1" applyFill="1" applyBorder="1" applyAlignment="1">
      <alignment horizontal="center" vertical="center"/>
    </xf>
    <xf numFmtId="166" fontId="9" fillId="0" borderId="3" xfId="2" applyNumberFormat="1" applyFont="1" applyFill="1" applyBorder="1" applyAlignment="1">
      <alignment horizontal="center" vertical="center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14" fillId="6" borderId="2" xfId="2" applyNumberFormat="1" applyFont="1" applyFill="1" applyBorder="1" applyAlignment="1">
      <alignment horizontal="center" vertical="center"/>
    </xf>
    <xf numFmtId="166" fontId="14" fillId="6" borderId="35" xfId="2" applyNumberFormat="1" applyFont="1" applyFill="1" applyBorder="1" applyAlignment="1">
      <alignment horizontal="center" vertical="center"/>
    </xf>
    <xf numFmtId="166" fontId="31" fillId="6" borderId="35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35" xfId="2" applyNumberFormat="1" applyFont="1" applyFill="1" applyBorder="1" applyAlignment="1">
      <alignment horizontal="center" vertical="center"/>
    </xf>
    <xf numFmtId="166" fontId="31" fillId="5" borderId="2" xfId="2" applyNumberFormat="1" applyFont="1" applyFill="1" applyBorder="1" applyAlignment="1">
      <alignment horizontal="center" vertical="center" wrapText="1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2" xfId="2" applyNumberFormat="1" applyFont="1" applyFill="1" applyBorder="1" applyAlignment="1">
      <alignment horizontal="center" vertical="center" wrapText="1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14" fillId="6" borderId="2" xfId="2" applyNumberFormat="1" applyFont="1" applyFill="1" applyBorder="1" applyAlignment="1">
      <alignment horizontal="center" vertical="center"/>
    </xf>
    <xf numFmtId="166" fontId="14" fillId="5" borderId="2" xfId="2" applyNumberFormat="1" applyFont="1" applyFill="1" applyBorder="1" applyAlignment="1">
      <alignment horizontal="center" vertical="center"/>
    </xf>
    <xf numFmtId="166" fontId="14" fillId="6" borderId="35" xfId="2" applyNumberFormat="1" applyFont="1" applyFill="1" applyBorder="1" applyAlignment="1">
      <alignment horizontal="center" vertical="center"/>
    </xf>
    <xf numFmtId="166" fontId="14" fillId="5" borderId="35" xfId="2" applyNumberFormat="1" applyFont="1" applyFill="1" applyBorder="1" applyAlignment="1">
      <alignment horizontal="center" vertical="center"/>
    </xf>
    <xf numFmtId="166" fontId="56" fillId="6" borderId="35" xfId="2" applyNumberFormat="1" applyFont="1" applyFill="1" applyBorder="1" applyAlignment="1">
      <alignment horizontal="center" vertical="center"/>
    </xf>
    <xf numFmtId="166" fontId="56" fillId="6" borderId="2" xfId="2" applyNumberFormat="1" applyFont="1" applyFill="1" applyBorder="1" applyAlignment="1">
      <alignment horizontal="center" vertical="center"/>
    </xf>
    <xf numFmtId="166" fontId="31" fillId="5" borderId="35" xfId="2" applyNumberFormat="1" applyFont="1" applyFill="1" applyBorder="1" applyAlignment="1">
      <alignment horizontal="center" vertical="center"/>
    </xf>
    <xf numFmtId="166" fontId="31" fillId="5" borderId="2" xfId="2" applyNumberFormat="1" applyFont="1" applyFill="1" applyBorder="1" applyAlignment="1">
      <alignment horizontal="center" vertical="center" wrapText="1"/>
    </xf>
    <xf numFmtId="166" fontId="56" fillId="6" borderId="36" xfId="2" applyNumberFormat="1" applyFont="1" applyFill="1" applyBorder="1" applyAlignment="1">
      <alignment horizontal="center" vertical="center"/>
    </xf>
    <xf numFmtId="166" fontId="56" fillId="6" borderId="33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18" xfId="2" applyNumberFormat="1" applyFont="1" applyFill="1" applyBorder="1" applyAlignment="1">
      <alignment horizontal="center" vertical="center" wrapText="1"/>
    </xf>
    <xf numFmtId="166" fontId="31" fillId="6" borderId="18" xfId="2" applyNumberFormat="1" applyFont="1" applyFill="1" applyBorder="1" applyAlignment="1">
      <alignment horizontal="center" vertical="center" wrapText="1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37" fillId="5" borderId="35" xfId="2" applyNumberFormat="1" applyFont="1" applyFill="1" applyBorder="1" applyAlignment="1">
      <alignment horizontal="center" vertical="center" wrapText="1"/>
    </xf>
    <xf numFmtId="166" fontId="37" fillId="5" borderId="2" xfId="2" applyNumberFormat="1" applyFont="1" applyFill="1" applyBorder="1" applyAlignment="1">
      <alignment horizontal="center" vertical="center" wrapText="1"/>
    </xf>
    <xf numFmtId="166" fontId="37" fillId="6" borderId="36" xfId="2" applyNumberFormat="1" applyFont="1" applyFill="1" applyBorder="1" applyAlignment="1">
      <alignment horizontal="center" vertical="center" wrapText="1"/>
    </xf>
    <xf numFmtId="166" fontId="37" fillId="6" borderId="33" xfId="2" applyNumberFormat="1" applyFont="1" applyFill="1" applyBorder="1" applyAlignment="1">
      <alignment horizontal="center" vertical="center" wrapText="1"/>
    </xf>
    <xf numFmtId="166" fontId="14" fillId="6" borderId="2" xfId="2" applyNumberFormat="1" applyFont="1" applyFill="1" applyBorder="1" applyAlignment="1">
      <alignment horizontal="center" vertical="center"/>
    </xf>
    <xf numFmtId="166" fontId="14" fillId="5" borderId="2" xfId="2" applyNumberFormat="1" applyFont="1" applyFill="1" applyBorder="1" applyAlignment="1">
      <alignment horizontal="center" vertical="center"/>
    </xf>
    <xf numFmtId="166" fontId="14" fillId="6" borderId="33" xfId="2" applyNumberFormat="1" applyFont="1" applyFill="1" applyBorder="1" applyAlignment="1">
      <alignment horizontal="center" vertical="center"/>
    </xf>
    <xf numFmtId="166" fontId="14" fillId="6" borderId="35" xfId="2" applyNumberFormat="1" applyFont="1" applyFill="1" applyBorder="1" applyAlignment="1">
      <alignment horizontal="center" vertical="center"/>
    </xf>
    <xf numFmtId="166" fontId="14" fillId="5" borderId="35" xfId="2" applyNumberFormat="1" applyFont="1" applyFill="1" applyBorder="1" applyAlignment="1">
      <alignment horizontal="center" vertical="center"/>
    </xf>
    <xf numFmtId="166" fontId="14" fillId="6" borderId="36" xfId="2" applyNumberFormat="1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0" fontId="39" fillId="0" borderId="2" xfId="2" applyFont="1" applyBorder="1" applyAlignment="1">
      <alignment horizontal="left" wrapText="1"/>
    </xf>
    <xf numFmtId="164" fontId="6" fillId="0" borderId="2" xfId="2" applyNumberFormat="1" applyFont="1" applyBorder="1" applyAlignment="1">
      <alignment horizontal="center"/>
    </xf>
    <xf numFmtId="0" fontId="44" fillId="3" borderId="3" xfId="1" applyFont="1" applyFill="1" applyBorder="1" applyAlignment="1">
      <alignment horizontal="center" vertical="center" wrapText="1"/>
    </xf>
    <xf numFmtId="1" fontId="8" fillId="0" borderId="2" xfId="2" applyNumberFormat="1" applyFont="1" applyBorder="1" applyAlignment="1">
      <alignment horizontal="center" vertical="center"/>
    </xf>
    <xf numFmtId="0" fontId="59" fillId="5" borderId="2" xfId="6" applyFont="1" applyFill="1" applyBorder="1" applyAlignment="1">
      <alignment horizontal="center" vertical="center"/>
    </xf>
    <xf numFmtId="0" fontId="59" fillId="0" borderId="2" xfId="6" applyFont="1" applyFill="1" applyBorder="1" applyAlignment="1">
      <alignment horizontal="center"/>
    </xf>
    <xf numFmtId="1" fontId="25" fillId="0" borderId="2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164" fontId="8" fillId="0" borderId="2" xfId="3" applyNumberFormat="1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64" fontId="5" fillId="0" borderId="2" xfId="2" applyNumberFormat="1" applyFont="1" applyBorder="1" applyAlignment="1">
      <alignment horizontal="center" vertical="center"/>
    </xf>
    <xf numFmtId="0" fontId="44" fillId="3" borderId="3" xfId="1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/>
    </xf>
    <xf numFmtId="166" fontId="31" fillId="6" borderId="34" xfId="2" applyNumberFormat="1" applyFont="1" applyFill="1" applyBorder="1" applyAlignment="1">
      <alignment horizontal="center" vertical="center" wrapText="1"/>
    </xf>
    <xf numFmtId="166" fontId="31" fillId="6" borderId="11" xfId="2" applyNumberFormat="1" applyFont="1" applyFill="1" applyBorder="1" applyAlignment="1">
      <alignment horizontal="center" vertical="center" wrapText="1"/>
    </xf>
    <xf numFmtId="166" fontId="31" fillId="6" borderId="35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56" fillId="6" borderId="35" xfId="2" applyNumberFormat="1" applyFont="1" applyFill="1" applyBorder="1" applyAlignment="1">
      <alignment horizontal="center" vertical="center"/>
    </xf>
    <xf numFmtId="166" fontId="56" fillId="6" borderId="2" xfId="2" applyNumberFormat="1" applyFont="1" applyFill="1" applyBorder="1" applyAlignment="1">
      <alignment horizontal="center" vertical="center"/>
    </xf>
    <xf numFmtId="166" fontId="31" fillId="5" borderId="35" xfId="2" applyNumberFormat="1" applyFont="1" applyFill="1" applyBorder="1" applyAlignment="1">
      <alignment horizontal="center" vertical="center"/>
    </xf>
    <xf numFmtId="166" fontId="31" fillId="5" borderId="2" xfId="2" applyNumberFormat="1" applyFont="1" applyFill="1" applyBorder="1" applyAlignment="1">
      <alignment horizontal="center" vertical="center" wrapText="1"/>
    </xf>
    <xf numFmtId="166" fontId="56" fillId="6" borderId="36" xfId="2" applyNumberFormat="1" applyFont="1" applyFill="1" applyBorder="1" applyAlignment="1">
      <alignment horizontal="center" vertical="center"/>
    </xf>
    <xf numFmtId="166" fontId="56" fillId="6" borderId="33" xfId="2" applyNumberFormat="1" applyFont="1" applyFill="1" applyBorder="1" applyAlignment="1">
      <alignment horizontal="center" vertical="center"/>
    </xf>
    <xf numFmtId="166" fontId="56" fillId="5" borderId="35" xfId="2" applyNumberFormat="1" applyFont="1" applyFill="1" applyBorder="1" applyAlignment="1">
      <alignment horizontal="center" vertical="center"/>
    </xf>
    <xf numFmtId="166" fontId="56" fillId="5" borderId="2" xfId="2" applyNumberFormat="1" applyFont="1" applyFill="1" applyBorder="1" applyAlignment="1">
      <alignment horizontal="center" vertical="center"/>
    </xf>
    <xf numFmtId="166" fontId="31" fillId="6" borderId="2" xfId="2" applyNumberFormat="1" applyFont="1" applyFill="1" applyBorder="1" applyAlignment="1">
      <alignment horizontal="center" vertical="center" wrapText="1"/>
    </xf>
    <xf numFmtId="166" fontId="31" fillId="5" borderId="2" xfId="2" applyNumberFormat="1" applyFont="1" applyFill="1" applyBorder="1" applyAlignment="1">
      <alignment horizontal="center" vertical="center" wrapText="1"/>
    </xf>
    <xf numFmtId="166" fontId="31" fillId="6" borderId="13" xfId="2" applyNumberFormat="1" applyFont="1" applyFill="1" applyBorder="1" applyAlignment="1">
      <alignment horizontal="center" vertical="center" wrapText="1"/>
    </xf>
    <xf numFmtId="166" fontId="31" fillId="5" borderId="18" xfId="2" applyNumberFormat="1" applyFont="1" applyFill="1" applyBorder="1" applyAlignment="1">
      <alignment horizontal="center" vertical="center" wrapText="1"/>
    </xf>
    <xf numFmtId="166" fontId="31" fillId="6" borderId="18" xfId="2" applyNumberFormat="1" applyFont="1" applyFill="1" applyBorder="1" applyAlignment="1">
      <alignment horizontal="center" vertical="center" wrapText="1"/>
    </xf>
    <xf numFmtId="166" fontId="37" fillId="6" borderId="49" xfId="2" applyNumberFormat="1" applyFont="1" applyFill="1" applyBorder="1" applyAlignment="1">
      <alignment horizontal="center" vertical="center" wrapText="1"/>
    </xf>
    <xf numFmtId="166" fontId="37" fillId="6" borderId="6" xfId="2" applyNumberFormat="1" applyFont="1" applyFill="1" applyBorder="1" applyAlignment="1">
      <alignment horizontal="center" vertical="center" wrapText="1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37" fillId="5" borderId="35" xfId="2" applyNumberFormat="1" applyFont="1" applyFill="1" applyBorder="1" applyAlignment="1">
      <alignment horizontal="center" vertical="center" wrapText="1"/>
    </xf>
    <xf numFmtId="166" fontId="37" fillId="5" borderId="2" xfId="2" applyNumberFormat="1" applyFont="1" applyFill="1" applyBorder="1" applyAlignment="1">
      <alignment horizontal="center" vertical="center" wrapText="1"/>
    </xf>
    <xf numFmtId="166" fontId="37" fillId="6" borderId="36" xfId="2" applyNumberFormat="1" applyFont="1" applyFill="1" applyBorder="1" applyAlignment="1">
      <alignment horizontal="center" vertical="center" wrapText="1"/>
    </xf>
    <xf numFmtId="166" fontId="37" fillId="6" borderId="33" xfId="2" applyNumberFormat="1" applyFont="1" applyFill="1" applyBorder="1" applyAlignment="1">
      <alignment horizontal="center" vertical="center" wrapText="1"/>
    </xf>
    <xf numFmtId="166" fontId="14" fillId="6" borderId="11" xfId="2" applyNumberFormat="1" applyFont="1" applyFill="1" applyBorder="1" applyAlignment="1">
      <alignment horizontal="center" vertical="center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6" borderId="2" xfId="2" applyNumberFormat="1" applyFont="1" applyFill="1" applyBorder="1" applyAlignment="1">
      <alignment horizontal="center" vertical="center" wrapText="1"/>
    </xf>
    <xf numFmtId="166" fontId="14" fillId="6" borderId="2" xfId="2" applyNumberFormat="1" applyFont="1" applyFill="1" applyBorder="1" applyAlignment="1">
      <alignment horizontal="center" vertical="center"/>
    </xf>
    <xf numFmtId="166" fontId="14" fillId="5" borderId="2" xfId="2" applyNumberFormat="1" applyFont="1" applyFill="1" applyBorder="1" applyAlignment="1">
      <alignment horizontal="center" vertical="center"/>
    </xf>
    <xf numFmtId="166" fontId="14" fillId="6" borderId="33" xfId="2" applyNumberFormat="1" applyFont="1" applyFill="1" applyBorder="1" applyAlignment="1">
      <alignment horizontal="center" vertical="center"/>
    </xf>
    <xf numFmtId="166" fontId="14" fillId="6" borderId="34" xfId="2" applyNumberFormat="1" applyFont="1" applyFill="1" applyBorder="1" applyAlignment="1">
      <alignment horizontal="center" vertical="center"/>
    </xf>
    <xf numFmtId="166" fontId="14" fillId="6" borderId="35" xfId="2" applyNumberFormat="1" applyFont="1" applyFill="1" applyBorder="1" applyAlignment="1">
      <alignment horizontal="center" vertical="center"/>
    </xf>
    <xf numFmtId="166" fontId="14" fillId="5" borderId="35" xfId="2" applyNumberFormat="1" applyFont="1" applyFill="1" applyBorder="1" applyAlignment="1">
      <alignment horizontal="center" vertical="center"/>
    </xf>
    <xf numFmtId="166" fontId="14" fillId="6" borderId="36" xfId="2" applyNumberFormat="1" applyFont="1" applyFill="1" applyBorder="1" applyAlignment="1">
      <alignment horizontal="center" vertical="center"/>
    </xf>
    <xf numFmtId="167" fontId="14" fillId="5" borderId="35" xfId="2" applyNumberFormat="1" applyFont="1" applyFill="1" applyBorder="1" applyAlignment="1">
      <alignment horizontal="center" vertical="center"/>
    </xf>
    <xf numFmtId="166" fontId="37" fillId="6" borderId="49" xfId="2" applyNumberFormat="1" applyFont="1" applyFill="1" applyBorder="1" applyAlignment="1">
      <alignment horizontal="center" vertical="center" wrapText="1"/>
    </xf>
    <xf numFmtId="166" fontId="37" fillId="6" borderId="35" xfId="2" applyNumberFormat="1" applyFont="1" applyFill="1" applyBorder="1" applyAlignment="1">
      <alignment horizontal="center" vertical="center" wrapText="1"/>
    </xf>
    <xf numFmtId="166" fontId="37" fillId="5" borderId="35" xfId="2" applyNumberFormat="1" applyFont="1" applyFill="1" applyBorder="1" applyAlignment="1">
      <alignment horizontal="center" vertical="center" wrapText="1"/>
    </xf>
    <xf numFmtId="166" fontId="37" fillId="6" borderId="36" xfId="2" applyNumberFormat="1" applyFont="1" applyFill="1" applyBorder="1" applyAlignment="1">
      <alignment horizontal="center" vertical="center" wrapText="1"/>
    </xf>
    <xf numFmtId="167" fontId="37" fillId="6" borderId="50" xfId="2" applyNumberFormat="1" applyFont="1" applyFill="1" applyBorder="1" applyAlignment="1">
      <alignment horizontal="center" vertical="center" wrapText="1"/>
    </xf>
    <xf numFmtId="167" fontId="37" fillId="5" borderId="27" xfId="2" applyNumberFormat="1" applyFont="1" applyFill="1" applyBorder="1" applyAlignment="1">
      <alignment horizontal="center" vertical="center" wrapText="1"/>
    </xf>
    <xf numFmtId="167" fontId="37" fillId="6" borderId="27" xfId="2" applyNumberFormat="1" applyFont="1" applyFill="1" applyBorder="1" applyAlignment="1">
      <alignment horizontal="center" vertical="center" wrapText="1"/>
    </xf>
    <xf numFmtId="167" fontId="37" fillId="6" borderId="38" xfId="2" applyNumberFormat="1" applyFont="1" applyFill="1" applyBorder="1" applyAlignment="1">
      <alignment horizontal="center" vertical="center" wrapText="1"/>
    </xf>
    <xf numFmtId="0" fontId="6" fillId="5" borderId="2" xfId="3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1" fillId="5" borderId="2" xfId="2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164" fontId="45" fillId="5" borderId="2" xfId="2" applyNumberFormat="1" applyFont="1" applyFill="1" applyBorder="1" applyAlignment="1">
      <alignment horizontal="center" vertical="center"/>
    </xf>
    <xf numFmtId="0" fontId="39" fillId="5" borderId="2" xfId="2" applyFont="1" applyFill="1" applyBorder="1" applyAlignment="1">
      <alignment horizontal="left" vertical="center" wrapText="1"/>
    </xf>
    <xf numFmtId="0" fontId="39" fillId="5" borderId="2" xfId="2" applyFont="1" applyFill="1" applyBorder="1" applyAlignment="1">
      <alignment horizontal="left" vertical="center"/>
    </xf>
    <xf numFmtId="1" fontId="6" fillId="5" borderId="2" xfId="2" applyNumberFormat="1" applyFont="1" applyFill="1" applyBorder="1" applyAlignment="1">
      <alignment horizontal="center"/>
    </xf>
    <xf numFmtId="0" fontId="0" fillId="5" borderId="0" xfId="0" applyFill="1" applyBorder="1" applyAlignment="1">
      <alignment vertical="center"/>
    </xf>
    <xf numFmtId="2" fontId="39" fillId="5" borderId="2" xfId="2" applyNumberFormat="1" applyFont="1" applyFill="1" applyBorder="1" applyAlignment="1">
      <alignment horizontal="left" vertical="center" wrapText="1"/>
    </xf>
    <xf numFmtId="0" fontId="52" fillId="5" borderId="2" xfId="3" applyFont="1" applyFill="1" applyBorder="1" applyAlignment="1">
      <alignment horizontal="left" vertical="center" wrapText="1"/>
    </xf>
    <xf numFmtId="0" fontId="39" fillId="5" borderId="2" xfId="2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0" fontId="39" fillId="3" borderId="2" xfId="3" applyFont="1" applyFill="1" applyBorder="1" applyAlignment="1">
      <alignment vertical="center" wrapText="1"/>
    </xf>
    <xf numFmtId="164" fontId="45" fillId="0" borderId="2" xfId="2" applyNumberFormat="1" applyFont="1" applyFill="1" applyBorder="1" applyAlignment="1">
      <alignment horizontal="center" vertical="center"/>
    </xf>
    <xf numFmtId="0" fontId="39" fillId="3" borderId="2" xfId="2" applyFont="1" applyFill="1" applyBorder="1" applyAlignment="1">
      <alignment horizontal="left" vertical="center"/>
    </xf>
    <xf numFmtId="0" fontId="39" fillId="3" borderId="2" xfId="2" applyFont="1" applyFill="1" applyBorder="1" applyAlignment="1">
      <alignment horizontal="left" vertical="center" wrapText="1"/>
    </xf>
    <xf numFmtId="2" fontId="39" fillId="3" borderId="2" xfId="2" applyNumberFormat="1" applyFont="1" applyFill="1" applyBorder="1" applyAlignment="1">
      <alignment horizontal="left" vertical="center" wrapText="1"/>
    </xf>
    <xf numFmtId="2" fontId="39" fillId="3" borderId="2" xfId="2" applyNumberFormat="1" applyFont="1" applyFill="1" applyBorder="1" applyAlignment="1">
      <alignment horizontal="left" vertical="center"/>
    </xf>
    <xf numFmtId="0" fontId="52" fillId="3" borderId="2" xfId="3" applyFont="1" applyFill="1" applyBorder="1" applyAlignment="1">
      <alignment horizontal="left" vertical="center" wrapText="1"/>
    </xf>
    <xf numFmtId="0" fontId="39" fillId="3" borderId="2" xfId="2" applyFont="1" applyFill="1" applyBorder="1" applyAlignment="1">
      <alignment vertical="center"/>
    </xf>
    <xf numFmtId="0" fontId="20" fillId="0" borderId="40" xfId="0" applyFont="1" applyBorder="1" applyAlignment="1">
      <alignment wrapText="1"/>
    </xf>
    <xf numFmtId="0" fontId="20" fillId="0" borderId="41" xfId="0" applyFont="1" applyBorder="1" applyAlignment="1">
      <alignment wrapText="1"/>
    </xf>
    <xf numFmtId="0" fontId="20" fillId="0" borderId="42" xfId="0" applyFont="1" applyBorder="1" applyAlignment="1">
      <alignment wrapText="1"/>
    </xf>
    <xf numFmtId="0" fontId="31" fillId="0" borderId="20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1" fontId="31" fillId="0" borderId="22" xfId="0" applyNumberFormat="1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0" fillId="0" borderId="36" xfId="0" applyFont="1" applyFill="1" applyBorder="1" applyAlignment="1">
      <alignment horizontal="center" vertical="top" wrapText="1"/>
    </xf>
    <xf numFmtId="0" fontId="30" fillId="0" borderId="33" xfId="0" applyFont="1" applyFill="1" applyBorder="1" applyAlignment="1">
      <alignment horizontal="center" vertical="top" wrapText="1"/>
    </xf>
    <xf numFmtId="164" fontId="30" fillId="0" borderId="38" xfId="0" applyNumberFormat="1" applyFont="1" applyFill="1" applyBorder="1" applyAlignment="1">
      <alignment horizontal="center" vertical="top" wrapText="1"/>
    </xf>
    <xf numFmtId="1" fontId="5" fillId="3" borderId="7" xfId="0" applyNumberFormat="1" applyFont="1" applyFill="1" applyBorder="1" applyAlignment="1">
      <alignment horizontal="center" vertical="center"/>
    </xf>
    <xf numFmtId="164" fontId="9" fillId="3" borderId="7" xfId="2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54" fillId="0" borderId="0" xfId="0" applyFont="1" applyFill="1" applyBorder="1" applyAlignment="1">
      <alignment horizontal="right"/>
    </xf>
    <xf numFmtId="164" fontId="54" fillId="0" borderId="0" xfId="0" applyNumberFormat="1" applyFont="1" applyFill="1" applyBorder="1" applyAlignment="1">
      <alignment horizontal="right"/>
    </xf>
    <xf numFmtId="166" fontId="37" fillId="6" borderId="0" xfId="2" applyNumberFormat="1" applyFont="1" applyFill="1" applyBorder="1" applyAlignment="1">
      <alignment horizontal="center" vertical="center" wrapText="1"/>
    </xf>
    <xf numFmtId="167" fontId="37" fillId="6" borderId="0" xfId="2" applyNumberFormat="1" applyFont="1" applyFill="1" applyBorder="1" applyAlignment="1">
      <alignment horizontal="center" vertical="center" wrapText="1"/>
    </xf>
    <xf numFmtId="166" fontId="37" fillId="5" borderId="0" xfId="2" applyNumberFormat="1" applyFont="1" applyFill="1" applyBorder="1" applyAlignment="1">
      <alignment horizontal="center" vertical="center" wrapText="1"/>
    </xf>
    <xf numFmtId="167" fontId="37" fillId="5" borderId="0" xfId="2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1" fontId="54" fillId="0" borderId="2" xfId="0" applyNumberFormat="1" applyFont="1" applyFill="1" applyBorder="1" applyAlignment="1">
      <alignment horizontal="right" vertical="center"/>
    </xf>
    <xf numFmtId="1" fontId="54" fillId="0" borderId="6" xfId="0" applyNumberFormat="1" applyFont="1" applyFill="1" applyBorder="1" applyAlignment="1">
      <alignment horizontal="right" vertical="center"/>
    </xf>
    <xf numFmtId="1" fontId="54" fillId="0" borderId="2" xfId="0" applyNumberFormat="1" applyFont="1" applyBorder="1" applyAlignment="1">
      <alignment vertical="center"/>
    </xf>
    <xf numFmtId="1" fontId="54" fillId="0" borderId="0" xfId="0" applyNumberFormat="1" applyFont="1" applyAlignment="1">
      <alignment horizontal="right" vertical="center"/>
    </xf>
    <xf numFmtId="1" fontId="54" fillId="6" borderId="2" xfId="0" applyNumberFormat="1" applyFont="1" applyFill="1" applyBorder="1" applyAlignment="1">
      <alignment horizontal="right" vertical="center"/>
    </xf>
    <xf numFmtId="1" fontId="54" fillId="0" borderId="2" xfId="0" applyNumberFormat="1" applyFont="1" applyBorder="1" applyAlignment="1">
      <alignment horizontal="right" vertical="center"/>
    </xf>
    <xf numFmtId="0" fontId="44" fillId="0" borderId="19" xfId="1" applyFont="1" applyFill="1" applyBorder="1" applyAlignment="1">
      <alignment horizontal="center" vertical="center"/>
    </xf>
    <xf numFmtId="0" fontId="44" fillId="0" borderId="30" xfId="1" applyFont="1" applyFill="1" applyBorder="1" applyAlignment="1">
      <alignment horizontal="center" vertical="center"/>
    </xf>
    <xf numFmtId="0" fontId="44" fillId="0" borderId="13" xfId="2" applyFont="1" applyFill="1" applyBorder="1" applyAlignment="1">
      <alignment horizontal="center" vertical="center"/>
    </xf>
    <xf numFmtId="1" fontId="44" fillId="0" borderId="13" xfId="2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44" fillId="3" borderId="7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/>
    </xf>
    <xf numFmtId="0" fontId="44" fillId="3" borderId="11" xfId="1" applyFont="1" applyFill="1" applyBorder="1" applyAlignment="1">
      <alignment horizontal="center" vertical="center" wrapText="1"/>
    </xf>
    <xf numFmtId="0" fontId="53" fillId="0" borderId="6" xfId="0" applyFont="1" applyFill="1" applyBorder="1" applyAlignment="1">
      <alignment horizontal="center" vertical="center" wrapText="1"/>
    </xf>
    <xf numFmtId="2" fontId="27" fillId="0" borderId="2" xfId="2" applyNumberFormat="1" applyFont="1" applyFill="1" applyBorder="1" applyAlignment="1">
      <alignment horizontal="center" vertical="center"/>
    </xf>
    <xf numFmtId="164" fontId="27" fillId="0" borderId="2" xfId="2" applyNumberFormat="1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center" vertical="center"/>
    </xf>
    <xf numFmtId="165" fontId="27" fillId="0" borderId="2" xfId="2" applyNumberFormat="1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167" fontId="11" fillId="0" borderId="2" xfId="2" applyNumberFormat="1" applyFont="1" applyFill="1" applyBorder="1" applyAlignment="1">
      <alignment horizontal="center" vertical="center"/>
    </xf>
    <xf numFmtId="164" fontId="60" fillId="8" borderId="11" xfId="0" applyNumberFormat="1" applyFont="1" applyFill="1" applyBorder="1" applyAlignment="1">
      <alignment horizontal="center" vertical="center" wrapText="1"/>
    </xf>
    <xf numFmtId="164" fontId="61" fillId="8" borderId="11" xfId="2" applyNumberFormat="1" applyFont="1" applyFill="1" applyBorder="1" applyAlignment="1">
      <alignment horizontal="center" vertical="center"/>
    </xf>
    <xf numFmtId="164" fontId="61" fillId="0" borderId="2" xfId="1" applyNumberFormat="1" applyFont="1" applyFill="1" applyBorder="1" applyAlignment="1">
      <alignment horizontal="center" vertical="center"/>
    </xf>
    <xf numFmtId="2" fontId="62" fillId="3" borderId="7" xfId="2" applyNumberFormat="1" applyFont="1" applyFill="1" applyBorder="1" applyAlignment="1">
      <alignment horizontal="center" vertical="center"/>
    </xf>
    <xf numFmtId="164" fontId="62" fillId="3" borderId="7" xfId="2" applyNumberFormat="1" applyFont="1" applyFill="1" applyBorder="1" applyAlignment="1">
      <alignment horizontal="center" vertical="center"/>
    </xf>
    <xf numFmtId="2" fontId="62" fillId="3" borderId="7" xfId="1" applyNumberFormat="1" applyFont="1" applyFill="1" applyBorder="1" applyAlignment="1">
      <alignment horizontal="center" vertical="center"/>
    </xf>
    <xf numFmtId="164" fontId="63" fillId="3" borderId="11" xfId="1" applyNumberFormat="1" applyFont="1" applyFill="1" applyBorder="1" applyAlignment="1">
      <alignment horizontal="center" vertical="center"/>
    </xf>
    <xf numFmtId="164" fontId="62" fillId="3" borderId="11" xfId="2" applyNumberFormat="1" applyFont="1" applyFill="1" applyBorder="1" applyAlignment="1">
      <alignment horizontal="center" vertical="center"/>
    </xf>
    <xf numFmtId="168" fontId="27" fillId="0" borderId="2" xfId="2" applyNumberFormat="1" applyFont="1" applyFill="1" applyBorder="1" applyAlignment="1">
      <alignment horizontal="center" vertical="center"/>
    </xf>
    <xf numFmtId="0" fontId="44" fillId="3" borderId="3" xfId="1" applyFont="1" applyFill="1" applyBorder="1" applyAlignment="1">
      <alignment horizontal="center" vertical="center" wrapText="1"/>
    </xf>
    <xf numFmtId="0" fontId="39" fillId="0" borderId="2" xfId="3" applyFont="1" applyFill="1" applyBorder="1" applyAlignment="1">
      <alignment vertical="center" wrapText="1"/>
    </xf>
    <xf numFmtId="2" fontId="39" fillId="0" borderId="2" xfId="2" applyNumberFormat="1" applyFont="1" applyFill="1" applyBorder="1" applyAlignment="1">
      <alignment horizontal="left" vertical="center"/>
    </xf>
    <xf numFmtId="2" fontId="39" fillId="0" borderId="2" xfId="2" applyNumberFormat="1" applyFont="1" applyFill="1" applyBorder="1" applyAlignment="1">
      <alignment horizontal="left" vertical="center" wrapText="1"/>
    </xf>
    <xf numFmtId="0" fontId="52" fillId="0" borderId="2" xfId="3" applyFont="1" applyFill="1" applyBorder="1" applyAlignment="1">
      <alignment horizontal="left" vertical="center" wrapText="1"/>
    </xf>
    <xf numFmtId="0" fontId="64" fillId="0" borderId="33" xfId="2" applyFont="1" applyFill="1" applyBorder="1" applyAlignment="1">
      <alignment horizontal="center" vertical="center" wrapText="1"/>
    </xf>
    <xf numFmtId="1" fontId="14" fillId="0" borderId="6" xfId="0" applyNumberFormat="1" applyFont="1" applyFill="1" applyBorder="1" applyAlignment="1">
      <alignment horizontal="center" vertical="center"/>
    </xf>
    <xf numFmtId="1" fontId="54" fillId="0" borderId="0" xfId="0" applyNumberFormat="1" applyFont="1" applyFill="1" applyBorder="1" applyAlignment="1">
      <alignment horizontal="right"/>
    </xf>
    <xf numFmtId="0" fontId="6" fillId="3" borderId="2" xfId="2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39" fillId="5" borderId="2" xfId="2" applyFont="1" applyFill="1" applyBorder="1" applyAlignment="1">
      <alignment vertical="center" wrapText="1"/>
    </xf>
    <xf numFmtId="164" fontId="30" fillId="0" borderId="27" xfId="0" applyNumberFormat="1" applyFont="1" applyBorder="1" applyAlignment="1">
      <alignment horizontal="center" vertical="center"/>
    </xf>
    <xf numFmtId="164" fontId="30" fillId="0" borderId="38" xfId="0" applyNumberFormat="1" applyFont="1" applyBorder="1" applyAlignment="1">
      <alignment horizontal="center" vertical="center"/>
    </xf>
    <xf numFmtId="0" fontId="23" fillId="5" borderId="2" xfId="3" applyFont="1" applyFill="1" applyBorder="1" applyAlignment="1">
      <alignment horizontal="center" vertical="center"/>
    </xf>
    <xf numFmtId="164" fontId="22" fillId="0" borderId="2" xfId="3" applyNumberFormat="1" applyFont="1" applyBorder="1" applyAlignment="1">
      <alignment horizontal="center" vertical="center"/>
    </xf>
    <xf numFmtId="166" fontId="56" fillId="5" borderId="2" xfId="2" applyNumberFormat="1" applyFont="1" applyFill="1" applyBorder="1" applyAlignment="1">
      <alignment horizontal="center" vertical="center" wrapText="1"/>
    </xf>
    <xf numFmtId="0" fontId="39" fillId="5" borderId="3" xfId="2" applyFont="1" applyFill="1" applyBorder="1" applyAlignment="1">
      <alignment horizontal="left" vertical="center"/>
    </xf>
    <xf numFmtId="0" fontId="39" fillId="5" borderId="3" xfId="2" applyFont="1" applyFill="1" applyBorder="1" applyAlignment="1">
      <alignment horizontal="left" vertical="center" wrapText="1"/>
    </xf>
    <xf numFmtId="166" fontId="14" fillId="6" borderId="2" xfId="2" applyNumberFormat="1" applyFont="1" applyFill="1" applyBorder="1" applyAlignment="1">
      <alignment horizontal="center" vertical="center" wrapText="1"/>
    </xf>
    <xf numFmtId="166" fontId="14" fillId="5" borderId="2" xfId="2" applyNumberFormat="1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/>
    </xf>
    <xf numFmtId="0" fontId="9" fillId="0" borderId="5" xfId="2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164" fontId="5" fillId="0" borderId="7" xfId="2" applyNumberFormat="1" applyFont="1" applyFill="1" applyBorder="1" applyAlignment="1">
      <alignment horizontal="center" vertical="center" wrapText="1"/>
    </xf>
    <xf numFmtId="164" fontId="5" fillId="0" borderId="8" xfId="2" applyNumberFormat="1" applyFont="1" applyFill="1" applyBorder="1" applyAlignment="1">
      <alignment horizontal="center" vertical="center" wrapText="1"/>
    </xf>
    <xf numFmtId="164" fontId="5" fillId="0" borderId="6" xfId="2" applyNumberFormat="1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vertical="center" wrapText="1"/>
    </xf>
    <xf numFmtId="0" fontId="10" fillId="0" borderId="1" xfId="2" applyFont="1" applyFill="1" applyBorder="1" applyAlignment="1">
      <alignment vertical="center" wrapText="1"/>
    </xf>
    <xf numFmtId="0" fontId="9" fillId="0" borderId="3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2" borderId="3" xfId="1" applyFont="1" applyFill="1" applyBorder="1" applyAlignment="1">
      <alignment horizontal="left"/>
    </xf>
    <xf numFmtId="0" fontId="9" fillId="2" borderId="5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right"/>
    </xf>
    <xf numFmtId="0" fontId="5" fillId="0" borderId="5" xfId="1" applyFont="1" applyFill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1" fontId="9" fillId="0" borderId="6" xfId="2" applyNumberFormat="1" applyFont="1" applyFill="1" applyBorder="1" applyAlignment="1">
      <alignment horizontal="center" vertical="center" wrapText="1"/>
    </xf>
    <xf numFmtId="1" fontId="9" fillId="0" borderId="2" xfId="2" applyNumberFormat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1" fontId="5" fillId="0" borderId="7" xfId="2" applyNumberFormat="1" applyFont="1" applyFill="1" applyBorder="1" applyAlignment="1">
      <alignment horizontal="center" vertical="center" wrapText="1"/>
    </xf>
    <xf numFmtId="1" fontId="5" fillId="0" borderId="8" xfId="2" applyNumberFormat="1" applyFont="1" applyFill="1" applyBorder="1" applyAlignment="1">
      <alignment horizontal="center" vertical="center" wrapText="1"/>
    </xf>
    <xf numFmtId="1" fontId="5" fillId="0" borderId="6" xfId="2" applyNumberFormat="1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vertical="center"/>
    </xf>
    <xf numFmtId="0" fontId="5" fillId="0" borderId="4" xfId="2" applyFont="1" applyFill="1" applyBorder="1" applyAlignment="1">
      <alignment vertical="center"/>
    </xf>
    <xf numFmtId="0" fontId="5" fillId="0" borderId="5" xfId="2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" fontId="9" fillId="0" borderId="7" xfId="2" applyNumberFormat="1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9" fillId="3" borderId="2" xfId="1" applyFont="1" applyFill="1" applyBorder="1" applyAlignment="1">
      <alignment horizontal="center"/>
    </xf>
    <xf numFmtId="1" fontId="9" fillId="0" borderId="3" xfId="2" applyNumberFormat="1" applyFont="1" applyFill="1" applyBorder="1" applyAlignment="1">
      <alignment horizontal="center" vertical="center"/>
    </xf>
    <xf numFmtId="1" fontId="9" fillId="0" borderId="4" xfId="2" applyNumberFormat="1" applyFont="1" applyFill="1" applyBorder="1" applyAlignment="1">
      <alignment horizontal="center" vertical="center"/>
    </xf>
    <xf numFmtId="1" fontId="9" fillId="0" borderId="5" xfId="2" applyNumberFormat="1" applyFont="1" applyFill="1" applyBorder="1" applyAlignment="1">
      <alignment horizontal="center" vertical="center"/>
    </xf>
    <xf numFmtId="1" fontId="5" fillId="0" borderId="3" xfId="2" applyNumberFormat="1" applyFont="1" applyFill="1" applyBorder="1" applyAlignment="1">
      <alignment horizontal="center" vertical="center"/>
    </xf>
    <xf numFmtId="1" fontId="5" fillId="0" borderId="4" xfId="2" applyNumberFormat="1" applyFont="1" applyFill="1" applyBorder="1" applyAlignment="1">
      <alignment horizontal="center" vertical="center"/>
    </xf>
    <xf numFmtId="1" fontId="5" fillId="0" borderId="5" xfId="2" applyNumberFormat="1" applyFont="1" applyFill="1" applyBorder="1" applyAlignment="1">
      <alignment horizontal="center" vertical="center"/>
    </xf>
    <xf numFmtId="1" fontId="5" fillId="0" borderId="3" xfId="2" applyNumberFormat="1" applyFont="1" applyFill="1" applyBorder="1" applyAlignment="1">
      <alignment vertical="center"/>
    </xf>
    <xf numFmtId="1" fontId="5" fillId="0" borderId="4" xfId="2" applyNumberFormat="1" applyFont="1" applyFill="1" applyBorder="1" applyAlignment="1">
      <alignment vertical="center"/>
    </xf>
    <xf numFmtId="1" fontId="5" fillId="0" borderId="5" xfId="2" applyNumberFormat="1" applyFont="1" applyFill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5" fillId="3" borderId="3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5" borderId="3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left"/>
    </xf>
    <xf numFmtId="0" fontId="5" fillId="2" borderId="5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3" borderId="28" xfId="0" applyFont="1" applyFill="1" applyBorder="1" applyAlignment="1">
      <alignment horizontal="center"/>
    </xf>
    <xf numFmtId="0" fontId="30" fillId="0" borderId="0" xfId="0" applyFont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/>
    </xf>
    <xf numFmtId="0" fontId="8" fillId="3" borderId="5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8" fillId="0" borderId="7" xfId="2" applyFont="1" applyFill="1" applyBorder="1" applyAlignment="1">
      <alignment horizontal="center" vertical="center" wrapText="1"/>
    </xf>
    <xf numFmtId="0" fontId="43" fillId="0" borderId="6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8" xfId="2" applyFont="1" applyFill="1" applyBorder="1" applyAlignment="1">
      <alignment horizontal="center" vertical="center" wrapText="1"/>
    </xf>
    <xf numFmtId="164" fontId="8" fillId="0" borderId="7" xfId="2" applyNumberFormat="1" applyFont="1" applyFill="1" applyBorder="1" applyAlignment="1">
      <alignment horizontal="center" vertical="center" wrapText="1"/>
    </xf>
    <xf numFmtId="164" fontId="8" fillId="0" borderId="8" xfId="2" applyNumberFormat="1" applyFont="1" applyFill="1" applyBorder="1" applyAlignment="1">
      <alignment horizontal="center" vertical="center" wrapText="1"/>
    </xf>
    <xf numFmtId="164" fontId="8" fillId="0" borderId="18" xfId="2" applyNumberFormat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8" fillId="0" borderId="12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vertical="center"/>
    </xf>
    <xf numFmtId="0" fontId="8" fillId="0" borderId="10" xfId="2" applyFont="1" applyFill="1" applyBorder="1" applyAlignment="1">
      <alignment vertical="center"/>
    </xf>
    <xf numFmtId="0" fontId="8" fillId="0" borderId="15" xfId="2" applyFont="1" applyFill="1" applyBorder="1" applyAlignment="1">
      <alignment vertical="center"/>
    </xf>
    <xf numFmtId="1" fontId="8" fillId="0" borderId="23" xfId="2" applyNumberFormat="1" applyFont="1" applyFill="1" applyBorder="1" applyAlignment="1">
      <alignment horizontal="center" vertical="center" wrapText="1"/>
    </xf>
    <xf numFmtId="1" fontId="8" fillId="0" borderId="24" xfId="2" applyNumberFormat="1" applyFont="1" applyFill="1" applyBorder="1" applyAlignment="1">
      <alignment horizontal="center" vertical="center" wrapText="1"/>
    </xf>
    <xf numFmtId="1" fontId="8" fillId="0" borderId="25" xfId="2" applyNumberFormat="1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 vertical="center" wrapText="1"/>
    </xf>
    <xf numFmtId="0" fontId="44" fillId="3" borderId="5" xfId="1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/>
    </xf>
    <xf numFmtId="0" fontId="44" fillId="3" borderId="5" xfId="1" applyFont="1" applyFill="1" applyBorder="1" applyAlignment="1">
      <alignment horizontal="center"/>
    </xf>
    <xf numFmtId="0" fontId="9" fillId="0" borderId="12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43" fillId="0" borderId="18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44" fillId="8" borderId="3" xfId="1" applyFont="1" applyFill="1" applyBorder="1" applyAlignment="1">
      <alignment horizontal="center" vertical="center" wrapText="1"/>
    </xf>
    <xf numFmtId="0" fontId="44" fillId="8" borderId="5" xfId="1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164" fontId="7" fillId="0" borderId="7" xfId="2" applyNumberFormat="1" applyFont="1" applyFill="1" applyBorder="1" applyAlignment="1">
      <alignment horizontal="center" vertical="center" wrapText="1"/>
    </xf>
    <xf numFmtId="164" fontId="7" fillId="0" borderId="8" xfId="2" applyNumberFormat="1" applyFont="1" applyFill="1" applyBorder="1" applyAlignment="1">
      <alignment horizontal="center" vertical="center" wrapText="1"/>
    </xf>
    <xf numFmtId="164" fontId="7" fillId="0" borderId="18" xfId="2" applyNumberFormat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7" fillId="0" borderId="14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vertical="center"/>
    </xf>
    <xf numFmtId="0" fontId="7" fillId="0" borderId="10" xfId="2" applyFont="1" applyFill="1" applyBorder="1" applyAlignment="1">
      <alignment vertical="center"/>
    </xf>
    <xf numFmtId="0" fontId="7" fillId="0" borderId="15" xfId="2" applyFont="1" applyFill="1" applyBorder="1" applyAlignment="1">
      <alignment vertical="center"/>
    </xf>
    <xf numFmtId="0" fontId="7" fillId="0" borderId="13" xfId="2" applyFont="1" applyFill="1" applyBorder="1" applyAlignment="1">
      <alignment horizontal="center" vertical="center" wrapText="1"/>
    </xf>
    <xf numFmtId="0" fontId="44" fillId="3" borderId="2" xfId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44" fillId="3" borderId="3" xfId="1" applyFont="1" applyFill="1" applyBorder="1" applyAlignment="1">
      <alignment horizontal="center" vertical="center"/>
    </xf>
    <xf numFmtId="0" fontId="44" fillId="3" borderId="5" xfId="1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top" wrapText="1"/>
    </xf>
    <xf numFmtId="0" fontId="7" fillId="0" borderId="8" xfId="2" applyFont="1" applyFill="1" applyBorder="1" applyAlignment="1">
      <alignment horizontal="center" vertical="top" wrapText="1"/>
    </xf>
    <xf numFmtId="0" fontId="7" fillId="0" borderId="18" xfId="2" applyFont="1" applyFill="1" applyBorder="1" applyAlignment="1">
      <alignment horizontal="center" vertical="top" wrapText="1"/>
    </xf>
    <xf numFmtId="164" fontId="7" fillId="0" borderId="7" xfId="2" applyNumberFormat="1" applyFont="1" applyFill="1" applyBorder="1" applyAlignment="1">
      <alignment horizontal="center" vertical="top" wrapText="1"/>
    </xf>
    <xf numFmtId="164" fontId="7" fillId="0" borderId="8" xfId="2" applyNumberFormat="1" applyFont="1" applyFill="1" applyBorder="1" applyAlignment="1">
      <alignment horizontal="center" vertical="top" wrapText="1"/>
    </xf>
    <xf numFmtId="164" fontId="7" fillId="0" borderId="18" xfId="2" applyNumberFormat="1" applyFont="1" applyFill="1" applyBorder="1" applyAlignment="1">
      <alignment horizontal="center" vertical="top" wrapText="1"/>
    </xf>
    <xf numFmtId="0" fontId="44" fillId="0" borderId="7" xfId="2" applyFont="1" applyFill="1" applyBorder="1" applyAlignment="1">
      <alignment horizontal="center" vertical="top" wrapText="1"/>
    </xf>
    <xf numFmtId="0" fontId="44" fillId="0" borderId="8" xfId="2" applyFont="1" applyFill="1" applyBorder="1" applyAlignment="1">
      <alignment horizontal="center" vertical="top" wrapText="1"/>
    </xf>
    <xf numFmtId="0" fontId="44" fillId="0" borderId="18" xfId="2" applyFont="1" applyFill="1" applyBorder="1" applyAlignment="1">
      <alignment horizontal="center" vertical="top" wrapText="1"/>
    </xf>
    <xf numFmtId="164" fontId="44" fillId="0" borderId="7" xfId="2" applyNumberFormat="1" applyFont="1" applyFill="1" applyBorder="1" applyAlignment="1">
      <alignment horizontal="center" vertical="top" wrapText="1"/>
    </xf>
    <xf numFmtId="164" fontId="44" fillId="0" borderId="8" xfId="2" applyNumberFormat="1" applyFont="1" applyFill="1" applyBorder="1" applyAlignment="1">
      <alignment horizontal="center" vertical="top" wrapText="1"/>
    </xf>
    <xf numFmtId="164" fontId="44" fillId="0" borderId="18" xfId="2" applyNumberFormat="1" applyFont="1" applyFill="1" applyBorder="1" applyAlignment="1">
      <alignment horizontal="center" vertical="top" wrapText="1"/>
    </xf>
    <xf numFmtId="0" fontId="30" fillId="0" borderId="51" xfId="0" applyFont="1" applyBorder="1" applyAlignment="1">
      <alignment horizontal="center" vertical="center" wrapText="1"/>
    </xf>
    <xf numFmtId="0" fontId="44" fillId="0" borderId="12" xfId="1" applyFont="1" applyFill="1" applyBorder="1" applyAlignment="1">
      <alignment horizontal="center" vertical="center"/>
    </xf>
    <xf numFmtId="0" fontId="44" fillId="0" borderId="16" xfId="1" applyFont="1" applyFill="1" applyBorder="1" applyAlignment="1">
      <alignment horizontal="center" vertical="center"/>
    </xf>
    <xf numFmtId="0" fontId="44" fillId="0" borderId="17" xfId="1" applyFont="1" applyFill="1" applyBorder="1" applyAlignment="1">
      <alignment horizontal="center" vertical="center"/>
    </xf>
    <xf numFmtId="0" fontId="44" fillId="0" borderId="13" xfId="2" applyFont="1" applyFill="1" applyBorder="1" applyAlignment="1">
      <alignment horizontal="center" vertical="center" wrapText="1"/>
    </xf>
    <xf numFmtId="0" fontId="44" fillId="0" borderId="8" xfId="2" applyFont="1" applyFill="1" applyBorder="1" applyAlignment="1">
      <alignment horizontal="center" vertical="center" wrapText="1"/>
    </xf>
    <xf numFmtId="0" fontId="44" fillId="0" borderId="18" xfId="2" applyFont="1" applyFill="1" applyBorder="1" applyAlignment="1">
      <alignment horizontal="center" vertical="center" wrapText="1"/>
    </xf>
    <xf numFmtId="0" fontId="44" fillId="0" borderId="14" xfId="2" applyFont="1" applyFill="1" applyBorder="1" applyAlignment="1">
      <alignment horizontal="center" vertical="center"/>
    </xf>
    <xf numFmtId="0" fontId="44" fillId="0" borderId="10" xfId="2" applyFont="1" applyFill="1" applyBorder="1" applyAlignment="1">
      <alignment horizontal="center" vertical="center"/>
    </xf>
    <xf numFmtId="0" fontId="44" fillId="0" borderId="15" xfId="2" applyFont="1" applyFill="1" applyBorder="1" applyAlignment="1">
      <alignment horizontal="center" vertical="center"/>
    </xf>
    <xf numFmtId="0" fontId="44" fillId="0" borderId="14" xfId="2" applyFont="1" applyFill="1" applyBorder="1" applyAlignment="1">
      <alignment vertical="center"/>
    </xf>
    <xf numFmtId="0" fontId="44" fillId="0" borderId="10" xfId="2" applyFont="1" applyFill="1" applyBorder="1" applyAlignment="1">
      <alignment vertical="center"/>
    </xf>
    <xf numFmtId="0" fontId="44" fillId="0" borderId="15" xfId="2" applyFont="1" applyFill="1" applyBorder="1" applyAlignment="1">
      <alignment vertical="center"/>
    </xf>
    <xf numFmtId="164" fontId="44" fillId="0" borderId="7" xfId="2" applyNumberFormat="1" applyFont="1" applyFill="1" applyBorder="1" applyAlignment="1">
      <alignment horizontal="center" vertical="center" wrapText="1"/>
    </xf>
    <xf numFmtId="164" fontId="44" fillId="0" borderId="8" xfId="2" applyNumberFormat="1" applyFont="1" applyFill="1" applyBorder="1" applyAlignment="1">
      <alignment horizontal="center" vertical="center" wrapText="1"/>
    </xf>
    <xf numFmtId="164" fontId="44" fillId="0" borderId="18" xfId="2" applyNumberFormat="1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top" wrapText="1"/>
    </xf>
    <xf numFmtId="0" fontId="5" fillId="0" borderId="8" xfId="2" applyFont="1" applyFill="1" applyBorder="1" applyAlignment="1">
      <alignment horizontal="center" vertical="top" wrapText="1"/>
    </xf>
    <xf numFmtId="0" fontId="5" fillId="0" borderId="18" xfId="2" applyFont="1" applyFill="1" applyBorder="1" applyAlignment="1">
      <alignment horizontal="center" vertical="top" wrapText="1"/>
    </xf>
    <xf numFmtId="0" fontId="48" fillId="0" borderId="34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29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44" fillId="3" borderId="52" xfId="1" applyFont="1" applyFill="1" applyBorder="1" applyAlignment="1">
      <alignment horizontal="center" vertical="center" wrapText="1"/>
    </xf>
    <xf numFmtId="0" fontId="44" fillId="3" borderId="28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2" fillId="0" borderId="0" xfId="3" quotePrefix="1" applyFont="1" applyFill="1" applyBorder="1" applyAlignment="1">
      <alignment vertical="center" wrapText="1"/>
    </xf>
  </cellXfs>
  <cellStyles count="12">
    <cellStyle name="Normal" xfId="0" builtinId="0"/>
    <cellStyle name="Normal 2" xfId="2"/>
    <cellStyle name="Normal 2 2" xfId="3"/>
    <cellStyle name="Normal 2 3" xfId="11"/>
    <cellStyle name="Normal 3" xfId="5"/>
    <cellStyle name="Normal 4" xfId="6"/>
    <cellStyle name="Normal_AUGUSTAMPOP" xfId="1"/>
    <cellStyle name="Normal_Sheet1" xfId="4"/>
    <cellStyle name="Денежный 2" xfId="7"/>
    <cellStyle name="Обычный 2" xfId="8"/>
    <cellStyle name="Обычный 3" xfId="9"/>
    <cellStyle name="Обычный 4" xfId="10"/>
  </cellStyles>
  <dxfs count="0"/>
  <tableStyles count="0" defaultTableStyle="TableStyleMedium2" defaultPivotStyle="PivotStyleMedium9"/>
  <colors>
    <mruColors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6"/>
  <sheetViews>
    <sheetView topLeftCell="A49" workbookViewId="0">
      <selection activeCell="L4" sqref="L4:M8"/>
    </sheetView>
  </sheetViews>
  <sheetFormatPr defaultRowHeight="15" x14ac:dyDescent="0.25"/>
  <cols>
    <col min="1" max="1" width="3.7109375" customWidth="1"/>
    <col min="2" max="2" width="25.42578125" customWidth="1"/>
    <col min="3" max="3" width="11.7109375" customWidth="1"/>
    <col min="4" max="4" width="11.42578125" customWidth="1"/>
    <col min="5" max="5" width="6.5703125" customWidth="1"/>
    <col min="6" max="6" width="10.85546875" customWidth="1"/>
    <col min="7" max="7" width="10.28515625" customWidth="1"/>
    <col min="8" max="8" width="6.5703125" customWidth="1"/>
    <col min="9" max="9" width="11.28515625" customWidth="1"/>
    <col min="10" max="10" width="11.7109375" customWidth="1"/>
    <col min="11" max="11" width="5.7109375" customWidth="1"/>
    <col min="12" max="12" width="11.28515625" customWidth="1"/>
    <col min="13" max="13" width="11.42578125" customWidth="1"/>
    <col min="14" max="14" width="6.140625" customWidth="1"/>
    <col min="15" max="15" width="7" customWidth="1"/>
    <col min="16" max="16" width="6.7109375" customWidth="1"/>
    <col min="17" max="17" width="7" customWidth="1"/>
  </cols>
  <sheetData>
    <row r="1" spans="1:18" x14ac:dyDescent="0.25">
      <c r="A1" s="919" t="s">
        <v>0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19"/>
      <c r="N1" s="919"/>
      <c r="O1" s="919"/>
      <c r="P1" s="919"/>
      <c r="Q1" s="919"/>
    </row>
    <row r="2" spans="1:18" x14ac:dyDescent="0.25">
      <c r="A2" s="920"/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1"/>
    </row>
    <row r="3" spans="1:18" ht="15" customHeight="1" x14ac:dyDescent="0.25">
      <c r="A3" s="932" t="s">
        <v>1</v>
      </c>
      <c r="B3" s="898" t="s">
        <v>2</v>
      </c>
      <c r="C3" s="929" t="s">
        <v>3</v>
      </c>
      <c r="D3" s="930"/>
      <c r="E3" s="930"/>
      <c r="F3" s="930"/>
      <c r="G3" s="930"/>
      <c r="H3" s="931"/>
      <c r="I3" s="938" t="s">
        <v>4</v>
      </c>
      <c r="J3" s="939"/>
      <c r="K3" s="940"/>
      <c r="L3" s="929" t="s">
        <v>5</v>
      </c>
      <c r="M3" s="930"/>
      <c r="N3" s="931"/>
      <c r="O3" s="898" t="s">
        <v>6</v>
      </c>
      <c r="P3" s="935" t="s">
        <v>7</v>
      </c>
      <c r="Q3" s="898" t="s">
        <v>8</v>
      </c>
      <c r="R3" s="2"/>
    </row>
    <row r="4" spans="1:18" ht="15" customHeight="1" x14ac:dyDescent="0.25">
      <c r="A4" s="933"/>
      <c r="B4" s="899"/>
      <c r="C4" s="898" t="s">
        <v>9</v>
      </c>
      <c r="D4" s="898" t="s">
        <v>10</v>
      </c>
      <c r="E4" s="895" t="s">
        <v>11</v>
      </c>
      <c r="F4" s="898" t="s">
        <v>12</v>
      </c>
      <c r="G4" s="898" t="s">
        <v>10</v>
      </c>
      <c r="H4" s="895" t="s">
        <v>11</v>
      </c>
      <c r="I4" s="898" t="s">
        <v>13</v>
      </c>
      <c r="J4" s="898" t="s">
        <v>10</v>
      </c>
      <c r="K4" s="895" t="s">
        <v>11</v>
      </c>
      <c r="L4" s="898" t="s">
        <v>13</v>
      </c>
      <c r="M4" s="898" t="s">
        <v>10</v>
      </c>
      <c r="N4" s="895" t="s">
        <v>11</v>
      </c>
      <c r="O4" s="899"/>
      <c r="P4" s="936"/>
      <c r="Q4" s="899"/>
      <c r="R4" s="2"/>
    </row>
    <row r="5" spans="1:18" x14ac:dyDescent="0.25">
      <c r="A5" s="933"/>
      <c r="B5" s="899"/>
      <c r="C5" s="899"/>
      <c r="D5" s="899"/>
      <c r="E5" s="896"/>
      <c r="F5" s="899"/>
      <c r="G5" s="899"/>
      <c r="H5" s="896"/>
      <c r="I5" s="899"/>
      <c r="J5" s="899"/>
      <c r="K5" s="896"/>
      <c r="L5" s="899"/>
      <c r="M5" s="899"/>
      <c r="N5" s="896"/>
      <c r="O5" s="899"/>
      <c r="P5" s="936"/>
      <c r="Q5" s="899"/>
      <c r="R5" s="2"/>
    </row>
    <row r="6" spans="1:18" x14ac:dyDescent="0.25">
      <c r="A6" s="933"/>
      <c r="B6" s="899"/>
      <c r="C6" s="899"/>
      <c r="D6" s="899"/>
      <c r="E6" s="896"/>
      <c r="F6" s="899"/>
      <c r="G6" s="899"/>
      <c r="H6" s="896"/>
      <c r="I6" s="899"/>
      <c r="J6" s="899"/>
      <c r="K6" s="896"/>
      <c r="L6" s="899"/>
      <c r="M6" s="899"/>
      <c r="N6" s="896"/>
      <c r="O6" s="899"/>
      <c r="P6" s="936"/>
      <c r="Q6" s="899"/>
      <c r="R6" s="2"/>
    </row>
    <row r="7" spans="1:18" x14ac:dyDescent="0.25">
      <c r="A7" s="933"/>
      <c r="B7" s="899"/>
      <c r="C7" s="899"/>
      <c r="D7" s="899"/>
      <c r="E7" s="896"/>
      <c r="F7" s="899"/>
      <c r="G7" s="899"/>
      <c r="H7" s="896"/>
      <c r="I7" s="899"/>
      <c r="J7" s="899"/>
      <c r="K7" s="896"/>
      <c r="L7" s="899"/>
      <c r="M7" s="899"/>
      <c r="N7" s="896"/>
      <c r="O7" s="899"/>
      <c r="P7" s="936"/>
      <c r="Q7" s="899"/>
      <c r="R7" s="2"/>
    </row>
    <row r="8" spans="1:18" x14ac:dyDescent="0.25">
      <c r="A8" s="934"/>
      <c r="B8" s="900"/>
      <c r="C8" s="900"/>
      <c r="D8" s="900"/>
      <c r="E8" s="897"/>
      <c r="F8" s="900"/>
      <c r="G8" s="900"/>
      <c r="H8" s="897"/>
      <c r="I8" s="900"/>
      <c r="J8" s="900"/>
      <c r="K8" s="897"/>
      <c r="L8" s="900"/>
      <c r="M8" s="900"/>
      <c r="N8" s="897"/>
      <c r="O8" s="900"/>
      <c r="P8" s="937"/>
      <c r="Q8" s="900"/>
      <c r="R8" s="2"/>
    </row>
    <row r="9" spans="1:18" x14ac:dyDescent="0.25">
      <c r="A9" s="3">
        <v>1</v>
      </c>
      <c r="B9" s="3">
        <v>2</v>
      </c>
      <c r="C9" s="4">
        <v>3</v>
      </c>
      <c r="D9" s="4">
        <v>4</v>
      </c>
      <c r="E9" s="5">
        <v>5</v>
      </c>
      <c r="F9" s="4">
        <v>6</v>
      </c>
      <c r="G9" s="4">
        <v>7</v>
      </c>
      <c r="H9" s="4">
        <v>8</v>
      </c>
      <c r="I9" s="4">
        <v>11</v>
      </c>
      <c r="J9" s="4">
        <v>12</v>
      </c>
      <c r="K9" s="4">
        <v>13</v>
      </c>
      <c r="L9" s="4">
        <v>17</v>
      </c>
      <c r="M9" s="4">
        <v>18</v>
      </c>
      <c r="N9" s="4">
        <v>19</v>
      </c>
      <c r="O9" s="4">
        <v>20</v>
      </c>
      <c r="P9" s="5">
        <v>21</v>
      </c>
      <c r="Q9" s="4">
        <v>22</v>
      </c>
      <c r="R9" s="6"/>
    </row>
    <row r="10" spans="1:18" ht="16.5" x14ac:dyDescent="0.25">
      <c r="A10" s="7">
        <v>1</v>
      </c>
      <c r="B10" s="8" t="s">
        <v>14</v>
      </c>
      <c r="C10" s="5">
        <f t="shared" ref="C10:O10" si="0">C140</f>
        <v>14123944</v>
      </c>
      <c r="D10" s="5">
        <f t="shared" si="0"/>
        <v>15407798</v>
      </c>
      <c r="E10" s="9">
        <f t="shared" si="0"/>
        <v>-8.3324950132394093</v>
      </c>
      <c r="F10" s="5">
        <f t="shared" si="0"/>
        <v>14123944</v>
      </c>
      <c r="G10" s="10">
        <f t="shared" si="0"/>
        <v>15407798</v>
      </c>
      <c r="H10" s="11">
        <f t="shared" si="0"/>
        <v>-8.3324950132394093</v>
      </c>
      <c r="I10" s="10">
        <f t="shared" si="0"/>
        <v>12057447</v>
      </c>
      <c r="J10" s="10">
        <f t="shared" si="0"/>
        <v>12932549</v>
      </c>
      <c r="K10" s="11">
        <f t="shared" si="0"/>
        <v>-6.7666629370590385</v>
      </c>
      <c r="L10" s="5">
        <f t="shared" si="0"/>
        <v>7997552</v>
      </c>
      <c r="M10" s="5">
        <f t="shared" si="0"/>
        <v>7680301</v>
      </c>
      <c r="N10" s="9">
        <f t="shared" si="0"/>
        <v>4.1307105021014081</v>
      </c>
      <c r="O10" s="5">
        <f t="shared" si="0"/>
        <v>6000</v>
      </c>
      <c r="P10" s="9">
        <f>P140</f>
        <v>175.09133333333332</v>
      </c>
      <c r="Q10" s="5">
        <f>Q140</f>
        <v>5992</v>
      </c>
      <c r="R10" s="5">
        <f>R140</f>
        <v>1050548</v>
      </c>
    </row>
    <row r="11" spans="1:18" ht="16.5" x14ac:dyDescent="0.25">
      <c r="A11" s="7"/>
      <c r="B11" s="8" t="s">
        <v>15</v>
      </c>
      <c r="C11" s="5">
        <f>C151</f>
        <v>12414537</v>
      </c>
      <c r="D11" s="5">
        <f>D151</f>
        <v>14876896</v>
      </c>
      <c r="E11" s="9">
        <f t="shared" ref="E11:Q11" si="1">E151</f>
        <v>-16.551564251037306</v>
      </c>
      <c r="F11" s="5">
        <f t="shared" si="1"/>
        <v>12414537</v>
      </c>
      <c r="G11" s="5">
        <f t="shared" si="1"/>
        <v>14876896</v>
      </c>
      <c r="H11" s="9">
        <f t="shared" si="1"/>
        <v>-16.551564251037306</v>
      </c>
      <c r="I11" s="5">
        <f t="shared" si="1"/>
        <v>11911665</v>
      </c>
      <c r="J11" s="5">
        <f t="shared" si="1"/>
        <v>14984193</v>
      </c>
      <c r="K11" s="9">
        <f t="shared" si="1"/>
        <v>-20.505128304206977</v>
      </c>
      <c r="L11" s="5">
        <f t="shared" si="1"/>
        <v>11489873</v>
      </c>
      <c r="M11" s="5">
        <f t="shared" si="1"/>
        <v>14356685</v>
      </c>
      <c r="N11" s="9">
        <f t="shared" si="1"/>
        <v>-19.968481581925076</v>
      </c>
      <c r="O11" s="5">
        <f t="shared" si="1"/>
        <v>3756</v>
      </c>
      <c r="P11" s="5">
        <f>P151</f>
        <v>130.43237486687966</v>
      </c>
      <c r="Q11" s="5">
        <f t="shared" si="1"/>
        <v>3737</v>
      </c>
      <c r="R11" s="12">
        <f t="shared" ref="R11:R22" si="2">O11*P11</f>
        <v>489904</v>
      </c>
    </row>
    <row r="12" spans="1:18" ht="16.5" x14ac:dyDescent="0.25">
      <c r="A12" s="7">
        <v>2</v>
      </c>
      <c r="B12" s="8" t="s">
        <v>16</v>
      </c>
      <c r="C12" s="5">
        <f t="shared" ref="C12:O12" si="3">C163</f>
        <v>980527</v>
      </c>
      <c r="D12" s="5">
        <f t="shared" si="3"/>
        <v>1082073</v>
      </c>
      <c r="E12" s="9">
        <f t="shared" si="3"/>
        <v>-9.3843945833599065</v>
      </c>
      <c r="F12" s="5">
        <f t="shared" si="3"/>
        <v>980527</v>
      </c>
      <c r="G12" s="10">
        <f t="shared" si="3"/>
        <v>1082073</v>
      </c>
      <c r="H12" s="11">
        <f t="shared" si="3"/>
        <v>-9.3843945833599065</v>
      </c>
      <c r="I12" s="10">
        <f t="shared" si="3"/>
        <v>922519</v>
      </c>
      <c r="J12" s="10">
        <f t="shared" si="3"/>
        <v>684305</v>
      </c>
      <c r="K12" s="11">
        <f t="shared" si="3"/>
        <v>34.811085700089876</v>
      </c>
      <c r="L12" s="5">
        <f t="shared" si="3"/>
        <v>400968</v>
      </c>
      <c r="M12" s="5">
        <f t="shared" si="3"/>
        <v>331309</v>
      </c>
      <c r="N12" s="9">
        <f t="shared" si="3"/>
        <v>21.025387176321814</v>
      </c>
      <c r="O12" s="5">
        <f t="shared" si="3"/>
        <v>1425</v>
      </c>
      <c r="P12" s="9">
        <f>P163</f>
        <v>98.262456140350878</v>
      </c>
      <c r="Q12" s="5">
        <f>Q163</f>
        <v>1425</v>
      </c>
      <c r="R12" s="12">
        <f t="shared" si="2"/>
        <v>140024</v>
      </c>
    </row>
    <row r="13" spans="1:18" ht="33" x14ac:dyDescent="0.25">
      <c r="A13" s="7">
        <v>3</v>
      </c>
      <c r="B13" s="8" t="s">
        <v>17</v>
      </c>
      <c r="C13" s="5">
        <f>C222</f>
        <v>783405</v>
      </c>
      <c r="D13" s="5">
        <f t="shared" ref="D13:R13" si="4">D222</f>
        <v>797238</v>
      </c>
      <c r="E13" s="9">
        <f t="shared" si="4"/>
        <v>-1.7351154862161593</v>
      </c>
      <c r="F13" s="5">
        <f t="shared" si="4"/>
        <v>783405</v>
      </c>
      <c r="G13" s="5">
        <f t="shared" si="4"/>
        <v>797238</v>
      </c>
      <c r="H13" s="5">
        <f t="shared" si="4"/>
        <v>-1.7351154862161593</v>
      </c>
      <c r="I13" s="5">
        <f t="shared" si="4"/>
        <v>825669</v>
      </c>
      <c r="J13" s="5">
        <f t="shared" si="4"/>
        <v>879854</v>
      </c>
      <c r="K13" s="9">
        <f t="shared" si="4"/>
        <v>-6.1584080995256016</v>
      </c>
      <c r="L13" s="5">
        <f t="shared" si="4"/>
        <v>527793</v>
      </c>
      <c r="M13" s="5">
        <f t="shared" si="4"/>
        <v>668623</v>
      </c>
      <c r="N13" s="9">
        <f t="shared" si="4"/>
        <v>-21.062691531700224</v>
      </c>
      <c r="O13" s="5">
        <f t="shared" si="4"/>
        <v>417</v>
      </c>
      <c r="P13" s="5">
        <f>P222</f>
        <v>127.47721822541966</v>
      </c>
      <c r="Q13" s="5">
        <f t="shared" si="4"/>
        <v>551</v>
      </c>
      <c r="R13" s="5">
        <f t="shared" si="4"/>
        <v>53158</v>
      </c>
    </row>
    <row r="14" spans="1:18" ht="33" x14ac:dyDescent="0.25">
      <c r="A14" s="7">
        <v>4</v>
      </c>
      <c r="B14" s="8" t="s">
        <v>18</v>
      </c>
      <c r="C14" s="5">
        <f>C55</f>
        <v>81240</v>
      </c>
      <c r="D14" s="10">
        <f>D55</f>
        <v>152528</v>
      </c>
      <c r="E14" s="11">
        <f t="shared" ref="E14:Q14" si="5">E55</f>
        <v>-46.737648169516419</v>
      </c>
      <c r="F14" s="10">
        <f t="shared" si="5"/>
        <v>81240</v>
      </c>
      <c r="G14" s="10">
        <f t="shared" si="5"/>
        <v>152528</v>
      </c>
      <c r="H14" s="11">
        <f t="shared" si="5"/>
        <v>-46.737648169516419</v>
      </c>
      <c r="I14" s="10">
        <f t="shared" si="5"/>
        <v>77657</v>
      </c>
      <c r="J14" s="10">
        <f t="shared" si="5"/>
        <v>126044</v>
      </c>
      <c r="K14" s="11">
        <f t="shared" si="5"/>
        <v>-38.388975278474177</v>
      </c>
      <c r="L14" s="10">
        <f t="shared" si="5"/>
        <v>5769</v>
      </c>
      <c r="M14" s="10">
        <f t="shared" si="5"/>
        <v>72014</v>
      </c>
      <c r="N14" s="11">
        <f t="shared" si="5"/>
        <v>-91.989057683228253</v>
      </c>
      <c r="O14" s="10">
        <f t="shared" si="5"/>
        <v>621</v>
      </c>
      <c r="P14" s="11">
        <f t="shared" si="5"/>
        <v>103.61030595813205</v>
      </c>
      <c r="Q14" s="10">
        <f t="shared" si="5"/>
        <v>836</v>
      </c>
      <c r="R14" s="12">
        <f t="shared" si="2"/>
        <v>64342</v>
      </c>
    </row>
    <row r="15" spans="1:18" ht="16.5" x14ac:dyDescent="0.25">
      <c r="A15" s="7">
        <v>5</v>
      </c>
      <c r="B15" s="8" t="s">
        <v>19</v>
      </c>
      <c r="C15" s="5">
        <f t="shared" ref="C15:Q15" si="6">C67</f>
        <v>38382</v>
      </c>
      <c r="D15" s="10">
        <f t="shared" si="6"/>
        <v>56545</v>
      </c>
      <c r="E15" s="11">
        <f t="shared" si="6"/>
        <v>-32.12131930320983</v>
      </c>
      <c r="F15" s="10">
        <f t="shared" si="6"/>
        <v>38382</v>
      </c>
      <c r="G15" s="10">
        <f t="shared" si="6"/>
        <v>35712</v>
      </c>
      <c r="H15" s="11">
        <f t="shared" si="6"/>
        <v>7.4764784946236489</v>
      </c>
      <c r="I15" s="10">
        <f t="shared" si="6"/>
        <v>32120</v>
      </c>
      <c r="J15" s="10">
        <f t="shared" si="6"/>
        <v>44075</v>
      </c>
      <c r="K15" s="11">
        <f t="shared" si="6"/>
        <v>-27.124220079410094</v>
      </c>
      <c r="L15" s="10">
        <f t="shared" si="6"/>
        <v>5434</v>
      </c>
      <c r="M15" s="10">
        <f t="shared" si="6"/>
        <v>12212</v>
      </c>
      <c r="N15" s="11">
        <f t="shared" si="6"/>
        <v>-55.502784146740915</v>
      </c>
      <c r="O15" s="10">
        <f t="shared" si="6"/>
        <v>402</v>
      </c>
      <c r="P15" s="11">
        <f t="shared" si="6"/>
        <v>98.151741293532339</v>
      </c>
      <c r="Q15" s="10">
        <f t="shared" si="6"/>
        <v>411</v>
      </c>
      <c r="R15" s="12">
        <f t="shared" si="2"/>
        <v>39457</v>
      </c>
    </row>
    <row r="16" spans="1:18" ht="16.5" x14ac:dyDescent="0.25">
      <c r="A16" s="7">
        <v>6</v>
      </c>
      <c r="B16" s="8" t="s">
        <v>20</v>
      </c>
      <c r="C16" s="5">
        <f t="shared" ref="C16:Q16" si="7">C78</f>
        <v>83357</v>
      </c>
      <c r="D16" s="10">
        <f t="shared" si="7"/>
        <v>105534</v>
      </c>
      <c r="E16" s="11">
        <f t="shared" si="7"/>
        <v>-21.014080770178339</v>
      </c>
      <c r="F16" s="10">
        <f t="shared" si="7"/>
        <v>83357</v>
      </c>
      <c r="G16" s="10">
        <f t="shared" si="7"/>
        <v>105534</v>
      </c>
      <c r="H16" s="11">
        <f t="shared" si="7"/>
        <v>-21.014080770178339</v>
      </c>
      <c r="I16" s="10">
        <f t="shared" si="7"/>
        <v>29666</v>
      </c>
      <c r="J16" s="10">
        <f t="shared" si="7"/>
        <v>93956</v>
      </c>
      <c r="K16" s="11">
        <f t="shared" si="7"/>
        <v>-68.425646047085877</v>
      </c>
      <c r="L16" s="10">
        <f t="shared" si="7"/>
        <v>0</v>
      </c>
      <c r="M16" s="10">
        <f t="shared" si="7"/>
        <v>37206</v>
      </c>
      <c r="N16" s="11">
        <f t="shared" si="7"/>
        <v>-100</v>
      </c>
      <c r="O16" s="10">
        <f t="shared" si="7"/>
        <v>254</v>
      </c>
      <c r="P16" s="11">
        <f t="shared" si="7"/>
        <v>76.149606299212593</v>
      </c>
      <c r="Q16" s="10">
        <f t="shared" si="7"/>
        <v>513</v>
      </c>
      <c r="R16" s="12">
        <f t="shared" si="2"/>
        <v>19342</v>
      </c>
    </row>
    <row r="17" spans="1:18" ht="16.5" x14ac:dyDescent="0.25">
      <c r="A17" s="7">
        <v>7</v>
      </c>
      <c r="B17" s="8" t="s">
        <v>21</v>
      </c>
      <c r="C17" s="5">
        <f t="shared" ref="C17:Q17" si="8">C93</f>
        <v>274632</v>
      </c>
      <c r="D17" s="10">
        <f t="shared" si="8"/>
        <v>310803</v>
      </c>
      <c r="E17" s="11">
        <f t="shared" si="8"/>
        <v>-11.637918552909724</v>
      </c>
      <c r="F17" s="10">
        <f t="shared" si="8"/>
        <v>274632</v>
      </c>
      <c r="G17" s="10">
        <f t="shared" si="8"/>
        <v>310803</v>
      </c>
      <c r="H17" s="11">
        <f t="shared" si="8"/>
        <v>-11.637918552909724</v>
      </c>
      <c r="I17" s="10">
        <f t="shared" si="8"/>
        <v>441159</v>
      </c>
      <c r="J17" s="10">
        <f t="shared" si="8"/>
        <v>572584</v>
      </c>
      <c r="K17" s="11">
        <f t="shared" si="8"/>
        <v>-22.952964106576502</v>
      </c>
      <c r="L17" s="10">
        <f t="shared" si="8"/>
        <v>131209</v>
      </c>
      <c r="M17" s="10">
        <f t="shared" si="8"/>
        <v>187347</v>
      </c>
      <c r="N17" s="11">
        <f t="shared" si="8"/>
        <v>-29.964717876453847</v>
      </c>
      <c r="O17" s="10">
        <f t="shared" si="8"/>
        <v>1235</v>
      </c>
      <c r="P17" s="11">
        <f t="shared" si="8"/>
        <v>133.56680161943319</v>
      </c>
      <c r="Q17" s="10">
        <f t="shared" si="8"/>
        <v>3801</v>
      </c>
      <c r="R17" s="12">
        <f t="shared" si="2"/>
        <v>164955</v>
      </c>
    </row>
    <row r="18" spans="1:18" ht="33" x14ac:dyDescent="0.25">
      <c r="A18" s="7">
        <v>8</v>
      </c>
      <c r="B18" s="8" t="s">
        <v>22</v>
      </c>
      <c r="C18" s="5">
        <f>C203</f>
        <v>8106381</v>
      </c>
      <c r="D18" s="5">
        <f t="shared" ref="D18:R18" si="9">D203</f>
        <v>12539990</v>
      </c>
      <c r="E18" s="9">
        <f t="shared" si="9"/>
        <v>-35.355761846700034</v>
      </c>
      <c r="F18" s="5">
        <f t="shared" si="9"/>
        <v>8106381</v>
      </c>
      <c r="G18" s="5">
        <f t="shared" si="9"/>
        <v>12539990</v>
      </c>
      <c r="H18" s="9">
        <f t="shared" si="9"/>
        <v>-35.355761846700034</v>
      </c>
      <c r="I18" s="5">
        <f t="shared" si="9"/>
        <v>6498504</v>
      </c>
      <c r="J18" s="5">
        <f t="shared" si="9"/>
        <v>7548527</v>
      </c>
      <c r="K18" s="9">
        <f t="shared" si="9"/>
        <v>-13.910303294934238</v>
      </c>
      <c r="L18" s="5">
        <f t="shared" si="9"/>
        <v>2904891</v>
      </c>
      <c r="M18" s="5">
        <f t="shared" si="9"/>
        <v>2887762</v>
      </c>
      <c r="N18" s="9">
        <f t="shared" si="9"/>
        <v>0.59315830044167228</v>
      </c>
      <c r="O18" s="5">
        <f t="shared" si="9"/>
        <v>4199</v>
      </c>
      <c r="P18" s="9">
        <f>P203</f>
        <v>128.97380328649677</v>
      </c>
      <c r="Q18" s="5">
        <f t="shared" si="9"/>
        <v>6421</v>
      </c>
      <c r="R18" s="5">
        <f t="shared" si="9"/>
        <v>541561</v>
      </c>
    </row>
    <row r="19" spans="1:18" ht="33" x14ac:dyDescent="0.25">
      <c r="A19" s="7">
        <v>9</v>
      </c>
      <c r="B19" s="8" t="s">
        <v>23</v>
      </c>
      <c r="C19" s="5">
        <f t="shared" ref="C19:Q19" si="10">C122</f>
        <v>305815</v>
      </c>
      <c r="D19" s="10">
        <f t="shared" si="10"/>
        <v>180190</v>
      </c>
      <c r="E19" s="11">
        <f t="shared" si="10"/>
        <v>69.718075364892599</v>
      </c>
      <c r="F19" s="10">
        <f t="shared" si="10"/>
        <v>305815</v>
      </c>
      <c r="G19" s="10">
        <f t="shared" si="10"/>
        <v>180190</v>
      </c>
      <c r="H19" s="11">
        <f t="shared" si="10"/>
        <v>69.718075364892599</v>
      </c>
      <c r="I19" s="10">
        <f t="shared" si="10"/>
        <v>284960</v>
      </c>
      <c r="J19" s="10">
        <f t="shared" si="10"/>
        <v>132461</v>
      </c>
      <c r="K19" s="11">
        <f t="shared" si="10"/>
        <v>115.12747148217213</v>
      </c>
      <c r="L19" s="10">
        <f t="shared" si="10"/>
        <v>226864</v>
      </c>
      <c r="M19" s="10">
        <f t="shared" si="10"/>
        <v>96429</v>
      </c>
      <c r="N19" s="11">
        <f t="shared" si="10"/>
        <v>135.26532474670483</v>
      </c>
      <c r="O19" s="10">
        <f t="shared" si="10"/>
        <v>858</v>
      </c>
      <c r="P19" s="11">
        <f>P122</f>
        <v>89.257575757575751</v>
      </c>
      <c r="Q19" s="10">
        <f t="shared" si="10"/>
        <v>1092</v>
      </c>
      <c r="R19" s="12">
        <f t="shared" si="2"/>
        <v>76583</v>
      </c>
    </row>
    <row r="20" spans="1:18" ht="16.5" x14ac:dyDescent="0.25">
      <c r="A20" s="7">
        <v>10</v>
      </c>
      <c r="B20" s="8" t="s">
        <v>24</v>
      </c>
      <c r="C20" s="5">
        <f t="shared" ref="C20:Q20" si="11">C132</f>
        <v>9321</v>
      </c>
      <c r="D20" s="10">
        <f t="shared" si="11"/>
        <v>1705</v>
      </c>
      <c r="E20" s="11">
        <f t="shared" si="11"/>
        <v>446.6862170087976</v>
      </c>
      <c r="F20" s="10">
        <f t="shared" si="11"/>
        <v>9321</v>
      </c>
      <c r="G20" s="10">
        <f t="shared" si="11"/>
        <v>1705</v>
      </c>
      <c r="H20" s="11">
        <f>H132</f>
        <v>446.6862170087976</v>
      </c>
      <c r="I20" s="10">
        <f t="shared" si="11"/>
        <v>535</v>
      </c>
      <c r="J20" s="10">
        <f t="shared" si="11"/>
        <v>5420</v>
      </c>
      <c r="K20" s="11">
        <f t="shared" si="11"/>
        <v>-90.129151291512912</v>
      </c>
      <c r="L20" s="10">
        <f>L132</f>
        <v>0</v>
      </c>
      <c r="M20" s="10">
        <f t="shared" si="11"/>
        <v>0</v>
      </c>
      <c r="N20" s="11">
        <f t="shared" si="11"/>
        <v>0</v>
      </c>
      <c r="O20" s="10">
        <f t="shared" si="11"/>
        <v>82</v>
      </c>
      <c r="P20" s="11">
        <f>P132</f>
        <v>79.024390243902445</v>
      </c>
      <c r="Q20" s="10">
        <f t="shared" si="11"/>
        <v>102</v>
      </c>
      <c r="R20" s="12">
        <f t="shared" si="2"/>
        <v>6480.0000000000009</v>
      </c>
    </row>
    <row r="21" spans="1:18" ht="33" x14ac:dyDescent="0.25">
      <c r="A21" s="7">
        <v>11</v>
      </c>
      <c r="B21" s="8" t="s">
        <v>25</v>
      </c>
      <c r="C21" s="5">
        <f t="shared" ref="C21:O21" si="12">C235</f>
        <v>51095.1</v>
      </c>
      <c r="D21" s="10">
        <f t="shared" si="12"/>
        <v>51135.1</v>
      </c>
      <c r="E21" s="11">
        <f t="shared" si="12"/>
        <v>-7.822415522801407E-2</v>
      </c>
      <c r="F21" s="10">
        <f t="shared" si="12"/>
        <v>51105.1</v>
      </c>
      <c r="G21" s="10">
        <f t="shared" si="12"/>
        <v>51010.1</v>
      </c>
      <c r="H21" s="11">
        <f t="shared" si="12"/>
        <v>0.18623762745025374</v>
      </c>
      <c r="I21" s="10">
        <f t="shared" si="12"/>
        <v>20860</v>
      </c>
      <c r="J21" s="10">
        <f t="shared" si="12"/>
        <v>10305.6</v>
      </c>
      <c r="K21" s="11">
        <f t="shared" si="12"/>
        <v>102.41422139419342</v>
      </c>
      <c r="L21" s="10">
        <f t="shared" si="12"/>
        <v>0</v>
      </c>
      <c r="M21" s="10">
        <f t="shared" si="12"/>
        <v>0</v>
      </c>
      <c r="N21" s="11" t="e">
        <f t="shared" si="12"/>
        <v>#DIV/0!</v>
      </c>
      <c r="O21" s="10">
        <f t="shared" si="12"/>
        <v>449</v>
      </c>
      <c r="P21" s="11">
        <f>P235</f>
        <v>162.96325167037858</v>
      </c>
      <c r="Q21" s="10">
        <f>Q235</f>
        <v>497</v>
      </c>
      <c r="R21" s="12">
        <f t="shared" si="2"/>
        <v>73170.499999999985</v>
      </c>
    </row>
    <row r="22" spans="1:18" ht="16.5" x14ac:dyDescent="0.25">
      <c r="A22" s="7">
        <v>12</v>
      </c>
      <c r="B22" s="8" t="s">
        <v>26</v>
      </c>
      <c r="C22" s="5">
        <f t="shared" ref="C22:N22" si="13">C240</f>
        <v>1451</v>
      </c>
      <c r="D22" s="10">
        <f t="shared" si="13"/>
        <v>3092</v>
      </c>
      <c r="E22" s="11">
        <f t="shared" si="13"/>
        <v>-53.072445019404917</v>
      </c>
      <c r="F22" s="10">
        <f t="shared" si="13"/>
        <v>1451</v>
      </c>
      <c r="G22" s="10">
        <f t="shared" si="13"/>
        <v>3092</v>
      </c>
      <c r="H22" s="11">
        <f>H240</f>
        <v>-53.072445019404917</v>
      </c>
      <c r="I22" s="10">
        <f t="shared" si="13"/>
        <v>1451</v>
      </c>
      <c r="J22" s="10">
        <f t="shared" si="13"/>
        <v>3092</v>
      </c>
      <c r="K22" s="11">
        <f t="shared" si="13"/>
        <v>-53.072445019404917</v>
      </c>
      <c r="L22" s="10">
        <f t="shared" si="13"/>
        <v>1451</v>
      </c>
      <c r="M22" s="10">
        <f t="shared" si="13"/>
        <v>3092</v>
      </c>
      <c r="N22" s="11">
        <f t="shared" si="13"/>
        <v>-53.072445019404917</v>
      </c>
      <c r="O22" s="10">
        <f>O240</f>
        <v>208</v>
      </c>
      <c r="P22" s="11">
        <f>P240</f>
        <v>78.567307692307693</v>
      </c>
      <c r="Q22" s="10">
        <f>Q240</f>
        <v>223</v>
      </c>
      <c r="R22" s="12">
        <f t="shared" si="2"/>
        <v>16342</v>
      </c>
    </row>
    <row r="23" spans="1:18" x14ac:dyDescent="0.25">
      <c r="A23" s="13"/>
      <c r="B23" s="14" t="s">
        <v>27</v>
      </c>
      <c r="C23" s="15">
        <f>SUM(C10:C22)</f>
        <v>37254087.100000001</v>
      </c>
      <c r="D23" s="15">
        <f>SUM(D10:D22)</f>
        <v>45565527.100000001</v>
      </c>
      <c r="E23" s="16">
        <f>C23/D23*100-100</f>
        <v>-18.24063174285105</v>
      </c>
      <c r="F23" s="15">
        <f>SUM(F10:F22)</f>
        <v>37254097.100000001</v>
      </c>
      <c r="G23" s="15">
        <f>SUM(G10:G22)</f>
        <v>45544569.100000001</v>
      </c>
      <c r="H23" s="16">
        <f>F23/G23*100-100</f>
        <v>-18.202987016513461</v>
      </c>
      <c r="I23" s="15">
        <f>SUM(I10:I22)</f>
        <v>33104212</v>
      </c>
      <c r="J23" s="15">
        <f>SUM(J10:J22)</f>
        <v>38017365.600000001</v>
      </c>
      <c r="K23" s="16">
        <f>I23/J23*100-100</f>
        <v>-12.923445700298615</v>
      </c>
      <c r="L23" s="15">
        <f>SUM(L10:L22)</f>
        <v>23691804</v>
      </c>
      <c r="M23" s="15">
        <f>SUM(M10:M22)</f>
        <v>26332980</v>
      </c>
      <c r="N23" s="16">
        <f>L23/M23*100-100</f>
        <v>-10.029916857112269</v>
      </c>
      <c r="O23" s="15">
        <f>SUM(O10:O22)</f>
        <v>19906</v>
      </c>
      <c r="P23" s="17">
        <f>R23/O23</f>
        <v>137.43928966140862</v>
      </c>
      <c r="Q23" s="15">
        <f>SUM(Q10:Q22)</f>
        <v>25601</v>
      </c>
      <c r="R23" s="18">
        <f>SUM(R10:R22)</f>
        <v>2735866.5</v>
      </c>
    </row>
    <row r="24" spans="1:18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9"/>
      <c r="Q24" s="19"/>
      <c r="R24" s="20"/>
    </row>
    <row r="25" spans="1:18" x14ac:dyDescent="0.25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2"/>
      <c r="R25" s="23"/>
    </row>
    <row r="26" spans="1:18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5">
      <c r="A30" s="901" t="s">
        <v>28</v>
      </c>
      <c r="B30" s="901"/>
      <c r="C30" s="901"/>
      <c r="D30" s="901"/>
      <c r="E30" s="901"/>
      <c r="F30" s="901"/>
      <c r="G30" s="901"/>
      <c r="H30" s="901"/>
      <c r="I30" s="901"/>
      <c r="J30" s="901"/>
      <c r="K30" s="901"/>
      <c r="L30" s="901"/>
      <c r="M30" s="901"/>
      <c r="N30" s="901"/>
      <c r="O30" s="901"/>
      <c r="P30" s="901"/>
      <c r="Q30" s="901"/>
      <c r="R30" s="24"/>
    </row>
    <row r="31" spans="1:18" x14ac:dyDescent="0.25">
      <c r="A31" s="901"/>
      <c r="B31" s="901"/>
      <c r="C31" s="901"/>
      <c r="D31" s="901"/>
      <c r="E31" s="901"/>
      <c r="F31" s="901"/>
      <c r="G31" s="901"/>
      <c r="H31" s="901"/>
      <c r="I31" s="901"/>
      <c r="J31" s="901"/>
      <c r="K31" s="901"/>
      <c r="L31" s="901"/>
      <c r="M31" s="901"/>
      <c r="N31" s="901"/>
      <c r="O31" s="901"/>
      <c r="P31" s="901"/>
      <c r="Q31" s="901"/>
      <c r="R31" s="24"/>
    </row>
    <row r="32" spans="1:18" ht="15.75" x14ac:dyDescent="0.25">
      <c r="A32" s="902"/>
      <c r="B32" s="902"/>
      <c r="C32" s="902"/>
      <c r="D32" s="902"/>
      <c r="E32" s="902"/>
      <c r="F32" s="902"/>
      <c r="G32" s="902"/>
      <c r="H32" s="902"/>
      <c r="I32" s="902"/>
      <c r="J32" s="902"/>
      <c r="K32" s="902"/>
      <c r="L32" s="902"/>
      <c r="M32" s="902"/>
      <c r="N32" s="902"/>
      <c r="O32" s="902"/>
      <c r="P32" s="902"/>
      <c r="Q32" s="902"/>
      <c r="R32" s="25"/>
    </row>
    <row r="33" spans="1:18" x14ac:dyDescent="0.25">
      <c r="A33" s="926" t="s">
        <v>1</v>
      </c>
      <c r="B33" s="922" t="s">
        <v>29</v>
      </c>
      <c r="C33" s="928" t="s">
        <v>3</v>
      </c>
      <c r="D33" s="928"/>
      <c r="E33" s="928"/>
      <c r="F33" s="928"/>
      <c r="G33" s="928"/>
      <c r="H33" s="928" t="s">
        <v>4</v>
      </c>
      <c r="I33" s="928"/>
      <c r="J33" s="928"/>
      <c r="K33" s="928"/>
      <c r="L33" s="26"/>
      <c r="M33" s="26" t="s">
        <v>5</v>
      </c>
      <c r="N33" s="27"/>
      <c r="O33" s="922" t="s">
        <v>30</v>
      </c>
      <c r="P33" s="923" t="s">
        <v>31</v>
      </c>
      <c r="Q33" s="921" t="s">
        <v>32</v>
      </c>
      <c r="R33" s="28"/>
    </row>
    <row r="34" spans="1:18" ht="60" x14ac:dyDescent="0.25">
      <c r="A34" s="927"/>
      <c r="B34" s="925"/>
      <c r="C34" s="29" t="s">
        <v>9</v>
      </c>
      <c r="D34" s="29" t="s">
        <v>33</v>
      </c>
      <c r="E34" s="30" t="s">
        <v>11</v>
      </c>
      <c r="F34" s="29" t="s">
        <v>12</v>
      </c>
      <c r="G34" s="29" t="s">
        <v>34</v>
      </c>
      <c r="H34" s="30" t="s">
        <v>11</v>
      </c>
      <c r="I34" s="29" t="s">
        <v>13</v>
      </c>
      <c r="J34" s="29" t="s">
        <v>33</v>
      </c>
      <c r="K34" s="30" t="s">
        <v>11</v>
      </c>
      <c r="L34" s="29" t="s">
        <v>13</v>
      </c>
      <c r="M34" s="29" t="s">
        <v>33</v>
      </c>
      <c r="N34" s="30" t="s">
        <v>11</v>
      </c>
      <c r="O34" s="925"/>
      <c r="P34" s="924"/>
      <c r="Q34" s="922"/>
      <c r="R34" s="31"/>
    </row>
    <row r="35" spans="1:18" x14ac:dyDescent="0.25">
      <c r="A35" s="32"/>
      <c r="B35" s="33" t="s">
        <v>35</v>
      </c>
      <c r="C35" s="32"/>
      <c r="D35" s="32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5"/>
      <c r="Q35" s="35"/>
      <c r="R35" s="36"/>
    </row>
    <row r="36" spans="1:18" x14ac:dyDescent="0.25">
      <c r="A36" s="891" t="s">
        <v>36</v>
      </c>
      <c r="B36" s="892"/>
      <c r="C36" s="37">
        <v>3</v>
      </c>
      <c r="D36" s="37">
        <v>4</v>
      </c>
      <c r="E36" s="38">
        <v>5</v>
      </c>
      <c r="F36" s="37">
        <v>6</v>
      </c>
      <c r="G36" s="37">
        <v>7</v>
      </c>
      <c r="H36" s="37">
        <v>8</v>
      </c>
      <c r="I36" s="37">
        <v>9</v>
      </c>
      <c r="J36" s="37">
        <v>10</v>
      </c>
      <c r="K36" s="37">
        <v>11</v>
      </c>
      <c r="L36" s="37">
        <v>12</v>
      </c>
      <c r="M36" s="37">
        <v>13</v>
      </c>
      <c r="N36" s="37">
        <v>14</v>
      </c>
      <c r="O36" s="37">
        <v>15</v>
      </c>
      <c r="P36" s="38">
        <v>16</v>
      </c>
      <c r="Q36" s="37">
        <v>17</v>
      </c>
      <c r="R36" s="39"/>
    </row>
    <row r="37" spans="1:18" x14ac:dyDescent="0.25">
      <c r="A37" s="40">
        <v>1</v>
      </c>
      <c r="B37" s="41" t="s">
        <v>37</v>
      </c>
      <c r="C37" s="42">
        <v>7705</v>
      </c>
      <c r="D37" s="42">
        <v>5705</v>
      </c>
      <c r="E37" s="43">
        <f>C37/D37*100-100</f>
        <v>35.056967572304984</v>
      </c>
      <c r="F37" s="42">
        <v>7705</v>
      </c>
      <c r="G37" s="42">
        <v>5705</v>
      </c>
      <c r="H37" s="43">
        <f>F37/G37*100-100</f>
        <v>35.056967572304984</v>
      </c>
      <c r="I37" s="42">
        <v>1121</v>
      </c>
      <c r="J37" s="42">
        <v>5705</v>
      </c>
      <c r="K37" s="43">
        <f>I37/J37*100-100</f>
        <v>-80.350569675723051</v>
      </c>
      <c r="L37" s="42">
        <v>0</v>
      </c>
      <c r="M37" s="42">
        <v>0</v>
      </c>
      <c r="N37" s="43" t="e">
        <f>L37/M37*100-100</f>
        <v>#DIV/0!</v>
      </c>
      <c r="O37" s="42">
        <v>71</v>
      </c>
      <c r="P37" s="42">
        <v>113</v>
      </c>
      <c r="Q37" s="42">
        <v>71</v>
      </c>
      <c r="R37" s="44">
        <f>O37*P37</f>
        <v>8023</v>
      </c>
    </row>
    <row r="38" spans="1:18" x14ac:dyDescent="0.25">
      <c r="A38" s="40">
        <v>2</v>
      </c>
      <c r="B38" s="41" t="s">
        <v>38</v>
      </c>
      <c r="C38" s="42">
        <v>12365</v>
      </c>
      <c r="D38" s="42">
        <v>0</v>
      </c>
      <c r="E38" s="43" t="e">
        <f>C38/D38*100-100</f>
        <v>#DIV/0!</v>
      </c>
      <c r="F38" s="42">
        <v>12365</v>
      </c>
      <c r="G38" s="42">
        <v>0</v>
      </c>
      <c r="H38" s="43" t="e">
        <f>F38/G38*100-100</f>
        <v>#DIV/0!</v>
      </c>
      <c r="I38" s="42">
        <v>12365</v>
      </c>
      <c r="J38" s="42">
        <v>0</v>
      </c>
      <c r="K38" s="43" t="e">
        <f>I38/J38*100-100</f>
        <v>#DIV/0!</v>
      </c>
      <c r="L38" s="42">
        <v>0</v>
      </c>
      <c r="M38" s="42">
        <v>0</v>
      </c>
      <c r="N38" s="43">
        <v>0</v>
      </c>
      <c r="O38" s="45">
        <v>71</v>
      </c>
      <c r="P38" s="46">
        <v>183</v>
      </c>
      <c r="Q38" s="45">
        <v>72</v>
      </c>
      <c r="R38" s="44">
        <f t="shared" ref="R38:R54" si="14">O38*P38</f>
        <v>12993</v>
      </c>
    </row>
    <row r="39" spans="1:18" x14ac:dyDescent="0.25">
      <c r="A39" s="40">
        <v>3</v>
      </c>
      <c r="B39" s="41" t="s">
        <v>39</v>
      </c>
      <c r="C39" s="42">
        <v>0</v>
      </c>
      <c r="D39" s="42">
        <v>6613</v>
      </c>
      <c r="E39" s="43">
        <f t="shared" ref="E39:E54" si="15">C39/D39*100-100</f>
        <v>-100</v>
      </c>
      <c r="F39" s="42">
        <v>0</v>
      </c>
      <c r="G39" s="42">
        <v>6613</v>
      </c>
      <c r="H39" s="43">
        <f t="shared" ref="H39:H55" si="16">F39/G39*100-100</f>
        <v>-100</v>
      </c>
      <c r="I39" s="42">
        <v>0</v>
      </c>
      <c r="J39" s="42">
        <v>6297</v>
      </c>
      <c r="K39" s="43">
        <f t="shared" ref="K39:K55" si="17">I39/J39*100-100</f>
        <v>-100</v>
      </c>
      <c r="L39" s="42">
        <v>0</v>
      </c>
      <c r="M39" s="42">
        <v>0</v>
      </c>
      <c r="N39" s="43">
        <v>0</v>
      </c>
      <c r="O39" s="45">
        <v>21</v>
      </c>
      <c r="P39" s="46">
        <v>90</v>
      </c>
      <c r="Q39" s="45">
        <v>32</v>
      </c>
      <c r="R39" s="44">
        <f t="shared" si="14"/>
        <v>1890</v>
      </c>
    </row>
    <row r="40" spans="1:18" x14ac:dyDescent="0.25">
      <c r="A40" s="40">
        <v>4</v>
      </c>
      <c r="B40" s="41" t="s">
        <v>40</v>
      </c>
      <c r="C40" s="42">
        <v>0</v>
      </c>
      <c r="D40" s="42">
        <v>2650</v>
      </c>
      <c r="E40" s="43">
        <f t="shared" si="15"/>
        <v>-100</v>
      </c>
      <c r="F40" s="42">
        <v>0</v>
      </c>
      <c r="G40" s="42">
        <v>2650</v>
      </c>
      <c r="H40" s="43">
        <f t="shared" si="16"/>
        <v>-100</v>
      </c>
      <c r="I40" s="42">
        <v>0</v>
      </c>
      <c r="J40" s="42">
        <v>0</v>
      </c>
      <c r="K40" s="43" t="e">
        <f t="shared" si="17"/>
        <v>#DIV/0!</v>
      </c>
      <c r="L40" s="42">
        <v>0</v>
      </c>
      <c r="M40" s="42">
        <v>0</v>
      </c>
      <c r="N40" s="43">
        <v>0</v>
      </c>
      <c r="O40" s="45"/>
      <c r="P40" s="46">
        <v>60</v>
      </c>
      <c r="Q40" s="45">
        <v>13</v>
      </c>
      <c r="R40" s="44">
        <f t="shared" si="14"/>
        <v>0</v>
      </c>
    </row>
    <row r="41" spans="1:18" x14ac:dyDescent="0.25">
      <c r="A41" s="40">
        <v>5</v>
      </c>
      <c r="B41" s="41" t="s">
        <v>41</v>
      </c>
      <c r="C41" s="47">
        <v>511</v>
      </c>
      <c r="D41" s="47">
        <v>2076</v>
      </c>
      <c r="E41" s="43">
        <f t="shared" si="15"/>
        <v>-75.385356454720622</v>
      </c>
      <c r="F41" s="47">
        <v>511</v>
      </c>
      <c r="G41" s="47">
        <v>2076</v>
      </c>
      <c r="H41" s="43">
        <f t="shared" si="16"/>
        <v>-75.385356454720622</v>
      </c>
      <c r="I41" s="47">
        <v>916</v>
      </c>
      <c r="J41" s="47">
        <v>312</v>
      </c>
      <c r="K41" s="43">
        <f t="shared" si="17"/>
        <v>193.58974358974359</v>
      </c>
      <c r="L41" s="47">
        <v>0</v>
      </c>
      <c r="M41" s="47">
        <v>1345</v>
      </c>
      <c r="N41" s="43">
        <f t="shared" ref="N41:N55" si="18">L41/M41*100-100</f>
        <v>-100</v>
      </c>
      <c r="O41" s="45">
        <v>56</v>
      </c>
      <c r="P41" s="46">
        <v>67</v>
      </c>
      <c r="Q41" s="45">
        <v>56</v>
      </c>
      <c r="R41" s="44">
        <f t="shared" si="14"/>
        <v>3752</v>
      </c>
    </row>
    <row r="42" spans="1:18" x14ac:dyDescent="0.25">
      <c r="A42" s="40">
        <v>6</v>
      </c>
      <c r="B42" s="41" t="s">
        <v>42</v>
      </c>
      <c r="C42" s="48">
        <v>0</v>
      </c>
      <c r="D42" s="42">
        <v>8167</v>
      </c>
      <c r="E42" s="43">
        <f t="shared" si="15"/>
        <v>-100</v>
      </c>
      <c r="F42" s="42">
        <v>0</v>
      </c>
      <c r="G42" s="42">
        <v>8167</v>
      </c>
      <c r="H42" s="43">
        <f t="shared" si="16"/>
        <v>-100</v>
      </c>
      <c r="I42" s="42">
        <v>3763</v>
      </c>
      <c r="J42" s="42">
        <v>7557</v>
      </c>
      <c r="K42" s="43">
        <f t="shared" si="17"/>
        <v>-50.205107847029247</v>
      </c>
      <c r="L42" s="42">
        <v>0</v>
      </c>
      <c r="M42" s="42">
        <v>0</v>
      </c>
      <c r="N42" s="43">
        <v>0</v>
      </c>
      <c r="O42" s="45">
        <v>65</v>
      </c>
      <c r="P42" s="46">
        <v>100</v>
      </c>
      <c r="Q42" s="45">
        <v>65</v>
      </c>
      <c r="R42" s="44">
        <f t="shared" si="14"/>
        <v>6500</v>
      </c>
    </row>
    <row r="43" spans="1:18" x14ac:dyDescent="0.25">
      <c r="A43" s="40">
        <v>7</v>
      </c>
      <c r="B43" s="41" t="s">
        <v>43</v>
      </c>
      <c r="C43" s="42">
        <v>0</v>
      </c>
      <c r="D43" s="42">
        <v>0</v>
      </c>
      <c r="E43" s="43">
        <v>0</v>
      </c>
      <c r="F43" s="42">
        <v>0</v>
      </c>
      <c r="G43" s="42">
        <v>0</v>
      </c>
      <c r="H43" s="43">
        <v>0</v>
      </c>
      <c r="I43" s="42">
        <v>0</v>
      </c>
      <c r="J43" s="42">
        <v>0</v>
      </c>
      <c r="K43" s="43">
        <v>0</v>
      </c>
      <c r="L43" s="42">
        <v>0</v>
      </c>
      <c r="M43" s="42">
        <v>0</v>
      </c>
      <c r="N43" s="43">
        <v>0</v>
      </c>
      <c r="O43" s="45"/>
      <c r="P43" s="46">
        <v>0</v>
      </c>
      <c r="Q43" s="45"/>
      <c r="R43" s="44">
        <f t="shared" si="14"/>
        <v>0</v>
      </c>
    </row>
    <row r="44" spans="1:18" x14ac:dyDescent="0.25">
      <c r="A44" s="40">
        <v>8</v>
      </c>
      <c r="B44" s="41" t="s">
        <v>44</v>
      </c>
      <c r="C44" s="47">
        <v>16662</v>
      </c>
      <c r="D44" s="47">
        <v>7383</v>
      </c>
      <c r="E44" s="43">
        <f t="shared" si="15"/>
        <v>125.68061763510769</v>
      </c>
      <c r="F44" s="47">
        <v>16662</v>
      </c>
      <c r="G44" s="47">
        <v>7383</v>
      </c>
      <c r="H44" s="43">
        <f t="shared" si="16"/>
        <v>125.68061763510769</v>
      </c>
      <c r="I44" s="47">
        <v>15340</v>
      </c>
      <c r="J44" s="47">
        <v>7114</v>
      </c>
      <c r="K44" s="43">
        <f t="shared" si="17"/>
        <v>115.63114984537529</v>
      </c>
      <c r="L44" s="42">
        <v>0</v>
      </c>
      <c r="M44" s="42">
        <v>0</v>
      </c>
      <c r="N44" s="43">
        <v>0</v>
      </c>
      <c r="O44" s="45">
        <v>42</v>
      </c>
      <c r="P44" s="46">
        <v>85</v>
      </c>
      <c r="Q44" s="45">
        <v>44</v>
      </c>
      <c r="R44" s="44">
        <f t="shared" si="14"/>
        <v>3570</v>
      </c>
    </row>
    <row r="45" spans="1:18" x14ac:dyDescent="0.25">
      <c r="A45" s="40">
        <v>9</v>
      </c>
      <c r="B45" s="41" t="s">
        <v>45</v>
      </c>
      <c r="C45" s="49">
        <v>7871</v>
      </c>
      <c r="D45" s="42">
        <v>6754</v>
      </c>
      <c r="E45" s="43">
        <f t="shared" si="15"/>
        <v>16.538347645839508</v>
      </c>
      <c r="F45" s="49">
        <v>7871</v>
      </c>
      <c r="G45" s="42">
        <v>6754</v>
      </c>
      <c r="H45" s="43">
        <f t="shared" si="16"/>
        <v>16.538347645839508</v>
      </c>
      <c r="I45" s="42">
        <v>0</v>
      </c>
      <c r="J45" s="42">
        <v>745</v>
      </c>
      <c r="K45" s="43">
        <f t="shared" si="17"/>
        <v>-100</v>
      </c>
      <c r="L45" s="42">
        <v>0</v>
      </c>
      <c r="M45" s="42">
        <v>0</v>
      </c>
      <c r="N45" s="43">
        <v>0</v>
      </c>
      <c r="O45" s="45">
        <v>56</v>
      </c>
      <c r="P45" s="46">
        <v>77</v>
      </c>
      <c r="Q45" s="45">
        <v>69</v>
      </c>
      <c r="R45" s="44">
        <f t="shared" si="14"/>
        <v>4312</v>
      </c>
    </row>
    <row r="46" spans="1:18" x14ac:dyDescent="0.25">
      <c r="A46" s="50">
        <v>10</v>
      </c>
      <c r="B46" s="41" t="s">
        <v>46</v>
      </c>
      <c r="C46" s="49">
        <v>0</v>
      </c>
      <c r="D46" s="42">
        <v>0</v>
      </c>
      <c r="E46" s="43" t="e">
        <f t="shared" si="15"/>
        <v>#DIV/0!</v>
      </c>
      <c r="F46" s="49">
        <v>0</v>
      </c>
      <c r="G46" s="42">
        <v>0</v>
      </c>
      <c r="H46" s="43" t="e">
        <f t="shared" si="16"/>
        <v>#DIV/0!</v>
      </c>
      <c r="I46" s="42">
        <v>0</v>
      </c>
      <c r="J46" s="42">
        <v>1458</v>
      </c>
      <c r="K46" s="43">
        <f t="shared" si="17"/>
        <v>-100</v>
      </c>
      <c r="L46" s="42">
        <v>0</v>
      </c>
      <c r="M46" s="42">
        <v>0</v>
      </c>
      <c r="N46" s="43" t="e">
        <f t="shared" si="18"/>
        <v>#DIV/0!</v>
      </c>
      <c r="O46" s="45"/>
      <c r="P46" s="46">
        <v>84</v>
      </c>
      <c r="Q46" s="45">
        <v>183</v>
      </c>
      <c r="R46" s="44">
        <f t="shared" si="14"/>
        <v>0</v>
      </c>
    </row>
    <row r="47" spans="1:18" x14ac:dyDescent="0.25">
      <c r="A47" s="40">
        <v>11</v>
      </c>
      <c r="B47" s="41" t="s">
        <v>47</v>
      </c>
      <c r="C47" s="49">
        <v>0</v>
      </c>
      <c r="D47" s="42">
        <v>0</v>
      </c>
      <c r="E47" s="43" t="e">
        <f t="shared" si="15"/>
        <v>#DIV/0!</v>
      </c>
      <c r="F47" s="42">
        <v>0</v>
      </c>
      <c r="G47" s="42">
        <v>0</v>
      </c>
      <c r="H47" s="43">
        <v>0</v>
      </c>
      <c r="I47" s="42">
        <v>5769</v>
      </c>
      <c r="J47" s="42">
        <v>0</v>
      </c>
      <c r="K47" s="43">
        <v>0</v>
      </c>
      <c r="L47" s="49">
        <v>5769</v>
      </c>
      <c r="M47" s="42">
        <v>0</v>
      </c>
      <c r="N47" s="43">
        <v>0</v>
      </c>
      <c r="O47" s="45">
        <v>23</v>
      </c>
      <c r="P47" s="46">
        <v>90</v>
      </c>
      <c r="Q47" s="45">
        <v>23</v>
      </c>
      <c r="R47" s="44">
        <f t="shared" si="14"/>
        <v>2070</v>
      </c>
    </row>
    <row r="48" spans="1:18" x14ac:dyDescent="0.25">
      <c r="A48" s="40">
        <v>12</v>
      </c>
      <c r="B48" s="41" t="s">
        <v>48</v>
      </c>
      <c r="C48" s="42">
        <v>0</v>
      </c>
      <c r="D48" s="42">
        <v>9455</v>
      </c>
      <c r="E48" s="43">
        <f t="shared" si="15"/>
        <v>-100</v>
      </c>
      <c r="F48" s="51">
        <v>0</v>
      </c>
      <c r="G48" s="51">
        <v>9455</v>
      </c>
      <c r="H48" s="43">
        <f t="shared" ref="H48" si="19">F48/G48*100-100</f>
        <v>-100</v>
      </c>
      <c r="I48" s="51">
        <v>0</v>
      </c>
      <c r="J48" s="51">
        <v>10635</v>
      </c>
      <c r="K48" s="43">
        <f t="shared" ref="K48" si="20">I48/J48*100-100</f>
        <v>-100</v>
      </c>
      <c r="L48" s="52">
        <v>0</v>
      </c>
      <c r="M48" s="51">
        <v>10635</v>
      </c>
      <c r="N48" s="43">
        <f t="shared" ref="N48" si="21">L48/M48*100-100</f>
        <v>-100</v>
      </c>
      <c r="O48" s="45">
        <v>23</v>
      </c>
      <c r="P48" s="46">
        <v>140</v>
      </c>
      <c r="Q48" s="45"/>
      <c r="R48" s="44">
        <f t="shared" si="14"/>
        <v>3220</v>
      </c>
    </row>
    <row r="49" spans="1:18" x14ac:dyDescent="0.25">
      <c r="A49" s="40">
        <v>13</v>
      </c>
      <c r="B49" s="41" t="s">
        <v>49</v>
      </c>
      <c r="C49" s="48">
        <v>9885</v>
      </c>
      <c r="D49" s="48">
        <v>32917</v>
      </c>
      <c r="E49" s="43">
        <f t="shared" si="15"/>
        <v>-69.969924355196412</v>
      </c>
      <c r="F49" s="48">
        <v>9885</v>
      </c>
      <c r="G49" s="48">
        <v>32917</v>
      </c>
      <c r="H49" s="43">
        <f t="shared" si="16"/>
        <v>-69.969924355196412</v>
      </c>
      <c r="I49" s="42">
        <v>1000</v>
      </c>
      <c r="J49" s="42">
        <v>26187</v>
      </c>
      <c r="K49" s="43">
        <f t="shared" si="17"/>
        <v>-96.181311337686637</v>
      </c>
      <c r="L49" s="48">
        <v>0</v>
      </c>
      <c r="M49" s="48">
        <v>0</v>
      </c>
      <c r="N49" s="43">
        <v>0</v>
      </c>
      <c r="O49" s="45"/>
      <c r="P49" s="46">
        <v>150</v>
      </c>
      <c r="Q49" s="45">
        <v>66</v>
      </c>
      <c r="R49" s="44">
        <f t="shared" si="14"/>
        <v>0</v>
      </c>
    </row>
    <row r="50" spans="1:18" x14ac:dyDescent="0.25">
      <c r="A50" s="40">
        <v>14</v>
      </c>
      <c r="B50" s="41" t="s">
        <v>50</v>
      </c>
      <c r="C50" s="45">
        <v>1750</v>
      </c>
      <c r="D50" s="45">
        <v>2980</v>
      </c>
      <c r="E50" s="43">
        <f t="shared" si="15"/>
        <v>-41.275167785234899</v>
      </c>
      <c r="F50" s="45">
        <v>1750</v>
      </c>
      <c r="G50" s="45">
        <v>2980</v>
      </c>
      <c r="H50" s="43">
        <f t="shared" si="16"/>
        <v>-41.275167785234899</v>
      </c>
      <c r="I50" s="45">
        <v>1225</v>
      </c>
      <c r="J50" s="45">
        <v>1576</v>
      </c>
      <c r="K50" s="43">
        <f t="shared" si="17"/>
        <v>-22.271573604060919</v>
      </c>
      <c r="L50" s="45">
        <v>0</v>
      </c>
      <c r="M50" s="45">
        <v>1576</v>
      </c>
      <c r="N50" s="43">
        <v>0</v>
      </c>
      <c r="O50" s="45">
        <v>15</v>
      </c>
      <c r="P50" s="46">
        <v>80</v>
      </c>
      <c r="Q50" s="45">
        <v>15</v>
      </c>
      <c r="R50" s="44">
        <f t="shared" si="14"/>
        <v>1200</v>
      </c>
    </row>
    <row r="51" spans="1:18" x14ac:dyDescent="0.25">
      <c r="A51" s="40">
        <v>15</v>
      </c>
      <c r="B51" s="41" t="s">
        <v>51</v>
      </c>
      <c r="C51" s="45">
        <v>0</v>
      </c>
      <c r="D51" s="45">
        <v>0</v>
      </c>
      <c r="E51" s="45" t="e">
        <f t="shared" si="15"/>
        <v>#DIV/0!</v>
      </c>
      <c r="F51" s="45">
        <v>0</v>
      </c>
      <c r="G51" s="45">
        <v>0</v>
      </c>
      <c r="H51" s="43" t="e">
        <f t="shared" si="16"/>
        <v>#DIV/0!</v>
      </c>
      <c r="I51" s="45">
        <v>11667</v>
      </c>
      <c r="J51" s="45">
        <v>0</v>
      </c>
      <c r="K51" s="45">
        <v>0</v>
      </c>
      <c r="L51" s="45">
        <v>0</v>
      </c>
      <c r="M51" s="45">
        <v>0</v>
      </c>
      <c r="N51" s="43" t="e">
        <f t="shared" si="18"/>
        <v>#DIV/0!</v>
      </c>
      <c r="O51" s="45">
        <v>58</v>
      </c>
      <c r="P51" s="46">
        <v>114</v>
      </c>
      <c r="Q51" s="45"/>
      <c r="R51" s="44">
        <f t="shared" si="14"/>
        <v>6612</v>
      </c>
    </row>
    <row r="52" spans="1:18" x14ac:dyDescent="0.25">
      <c r="A52" s="40">
        <v>16</v>
      </c>
      <c r="B52" s="41" t="s">
        <v>52</v>
      </c>
      <c r="C52" s="42">
        <v>0</v>
      </c>
      <c r="D52" s="53">
        <v>0</v>
      </c>
      <c r="E52" s="43" t="e">
        <f t="shared" si="15"/>
        <v>#DIV/0!</v>
      </c>
      <c r="F52" s="42">
        <v>0</v>
      </c>
      <c r="G52" s="42">
        <v>0</v>
      </c>
      <c r="H52" s="43">
        <v>0</v>
      </c>
      <c r="I52" s="42">
        <v>0</v>
      </c>
      <c r="J52" s="42">
        <v>0</v>
      </c>
      <c r="K52" s="43" t="e">
        <f t="shared" si="17"/>
        <v>#DIV/0!</v>
      </c>
      <c r="L52" s="42">
        <v>0</v>
      </c>
      <c r="M52" s="42">
        <v>0</v>
      </c>
      <c r="N52" s="43">
        <v>0</v>
      </c>
      <c r="O52" s="45"/>
      <c r="P52" s="46">
        <v>45</v>
      </c>
      <c r="Q52" s="45"/>
      <c r="R52" s="44">
        <f t="shared" si="14"/>
        <v>0</v>
      </c>
    </row>
    <row r="53" spans="1:18" x14ac:dyDescent="0.25">
      <c r="A53" s="40">
        <v>17</v>
      </c>
      <c r="B53" s="41" t="s">
        <v>53</v>
      </c>
      <c r="C53" s="45">
        <v>0</v>
      </c>
      <c r="D53" s="45">
        <v>9370</v>
      </c>
      <c r="E53" s="43">
        <f t="shared" si="15"/>
        <v>-100</v>
      </c>
      <c r="F53" s="45">
        <v>0</v>
      </c>
      <c r="G53" s="45">
        <v>9370</v>
      </c>
      <c r="H53" s="43">
        <v>0</v>
      </c>
      <c r="I53" s="45">
        <v>0</v>
      </c>
      <c r="J53" s="45">
        <v>0</v>
      </c>
      <c r="K53" s="54">
        <v>0</v>
      </c>
      <c r="L53" s="45">
        <v>0</v>
      </c>
      <c r="M53" s="45">
        <v>0</v>
      </c>
      <c r="N53" s="43">
        <v>0</v>
      </c>
      <c r="O53" s="45"/>
      <c r="P53" s="46">
        <v>63</v>
      </c>
      <c r="Q53" s="45">
        <v>2</v>
      </c>
      <c r="R53" s="44">
        <f t="shared" si="14"/>
        <v>0</v>
      </c>
    </row>
    <row r="54" spans="1:18" x14ac:dyDescent="0.25">
      <c r="A54" s="40">
        <v>18</v>
      </c>
      <c r="B54" s="55" t="s">
        <v>54</v>
      </c>
      <c r="C54" s="45">
        <v>24491</v>
      </c>
      <c r="D54" s="45">
        <v>58458</v>
      </c>
      <c r="E54" s="43">
        <f t="shared" si="15"/>
        <v>-58.104964247836058</v>
      </c>
      <c r="F54" s="45">
        <v>24491</v>
      </c>
      <c r="G54" s="45">
        <v>58458</v>
      </c>
      <c r="H54" s="43">
        <v>0</v>
      </c>
      <c r="I54" s="45">
        <v>24491</v>
      </c>
      <c r="J54" s="45">
        <v>58458</v>
      </c>
      <c r="K54" s="43">
        <v>0</v>
      </c>
      <c r="L54" s="45">
        <v>0</v>
      </c>
      <c r="M54" s="45">
        <f>53583+4875</f>
        <v>58458</v>
      </c>
      <c r="N54" s="43">
        <v>0</v>
      </c>
      <c r="O54" s="45">
        <v>120</v>
      </c>
      <c r="P54" s="46">
        <v>85</v>
      </c>
      <c r="Q54" s="45">
        <v>125</v>
      </c>
      <c r="R54" s="44">
        <f t="shared" si="14"/>
        <v>10200</v>
      </c>
    </row>
    <row r="55" spans="1:18" x14ac:dyDescent="0.25">
      <c r="A55" s="893" t="s">
        <v>55</v>
      </c>
      <c r="B55" s="894"/>
      <c r="C55" s="56">
        <f>SUM(C37:C54)</f>
        <v>81240</v>
      </c>
      <c r="D55" s="56">
        <f>SUM(D37:D54)</f>
        <v>152528</v>
      </c>
      <c r="E55" s="57">
        <f>C55/D55*100-100</f>
        <v>-46.737648169516419</v>
      </c>
      <c r="F55" s="56">
        <f>SUM(F37:F54)</f>
        <v>81240</v>
      </c>
      <c r="G55" s="56">
        <f>SUM(G37:G54)</f>
        <v>152528</v>
      </c>
      <c r="H55" s="57">
        <f t="shared" si="16"/>
        <v>-46.737648169516419</v>
      </c>
      <c r="I55" s="56">
        <f>SUM(I37:I54)</f>
        <v>77657</v>
      </c>
      <c r="J55" s="56">
        <f>SUM(J37:J54)</f>
        <v>126044</v>
      </c>
      <c r="K55" s="57">
        <f t="shared" si="17"/>
        <v>-38.388975278474177</v>
      </c>
      <c r="L55" s="56">
        <f>SUM(L37:L54)</f>
        <v>5769</v>
      </c>
      <c r="M55" s="56">
        <f>SUM(M37:M54)</f>
        <v>72014</v>
      </c>
      <c r="N55" s="57">
        <f t="shared" si="18"/>
        <v>-91.989057683228253</v>
      </c>
      <c r="O55" s="56">
        <f>SUM(O37:O54)</f>
        <v>621</v>
      </c>
      <c r="P55" s="58">
        <f>R55/O55</f>
        <v>103.61030595813205</v>
      </c>
      <c r="Q55" s="56">
        <f>SUM(Q37:Q54)</f>
        <v>836</v>
      </c>
      <c r="R55" s="56">
        <f>SUM(R37:R54)</f>
        <v>64342</v>
      </c>
    </row>
    <row r="56" spans="1:18" x14ac:dyDescent="0.25">
      <c r="A56" s="45"/>
      <c r="B56" s="59"/>
      <c r="C56" s="45"/>
      <c r="D56" s="45"/>
      <c r="E56" s="45"/>
      <c r="F56" s="45"/>
      <c r="G56" s="45"/>
      <c r="H56" s="45"/>
      <c r="I56" s="45"/>
      <c r="J56" s="45"/>
      <c r="K56" s="34"/>
      <c r="L56" s="45"/>
      <c r="M56" s="45"/>
      <c r="N56" s="45"/>
      <c r="O56" s="45"/>
      <c r="P56" s="60"/>
      <c r="Q56" s="45"/>
      <c r="R56" s="39"/>
    </row>
    <row r="57" spans="1:18" x14ac:dyDescent="0.25">
      <c r="A57" s="891" t="s">
        <v>56</v>
      </c>
      <c r="B57" s="892"/>
      <c r="C57" s="37">
        <v>3</v>
      </c>
      <c r="D57" s="37">
        <v>4</v>
      </c>
      <c r="E57" s="38">
        <v>5</v>
      </c>
      <c r="F57" s="37">
        <v>6</v>
      </c>
      <c r="G57" s="37">
        <v>7</v>
      </c>
      <c r="H57" s="37">
        <v>8</v>
      </c>
      <c r="I57" s="37">
        <v>9</v>
      </c>
      <c r="J57" s="37">
        <v>10</v>
      </c>
      <c r="K57" s="37">
        <v>11</v>
      </c>
      <c r="L57" s="37">
        <v>12</v>
      </c>
      <c r="M57" s="37">
        <v>13</v>
      </c>
      <c r="N57" s="37">
        <v>14</v>
      </c>
      <c r="O57" s="37">
        <v>15</v>
      </c>
      <c r="P57" s="38">
        <v>16</v>
      </c>
      <c r="Q57" s="37">
        <v>17</v>
      </c>
      <c r="R57" s="39"/>
    </row>
    <row r="58" spans="1:18" x14ac:dyDescent="0.25">
      <c r="A58" s="46">
        <v>1</v>
      </c>
      <c r="B58" s="55" t="s">
        <v>57</v>
      </c>
      <c r="C58" s="61">
        <v>0</v>
      </c>
      <c r="D58" s="62">
        <v>20833</v>
      </c>
      <c r="E58" s="43">
        <f t="shared" ref="E58:E67" si="22">C58/D58*100-100</f>
        <v>-100</v>
      </c>
      <c r="F58" s="62">
        <v>0</v>
      </c>
      <c r="G58" s="54">
        <v>0</v>
      </c>
      <c r="H58" s="54" t="e">
        <f t="shared" ref="H58:H67" si="23">F58/G58*100-100</f>
        <v>#DIV/0!</v>
      </c>
      <c r="I58" s="62">
        <v>0</v>
      </c>
      <c r="J58" s="62">
        <v>0</v>
      </c>
      <c r="K58" s="43" t="e">
        <f t="shared" ref="K58:K67" si="24">I58/J58*100-100</f>
        <v>#DIV/0!</v>
      </c>
      <c r="L58" s="62">
        <v>0</v>
      </c>
      <c r="M58" s="62">
        <v>0</v>
      </c>
      <c r="N58" s="43" t="e">
        <f t="shared" ref="N58:N67" si="25">L58/M58*100-100</f>
        <v>#DIV/0!</v>
      </c>
      <c r="O58" s="54">
        <v>158</v>
      </c>
      <c r="P58" s="62">
        <v>90</v>
      </c>
      <c r="Q58" s="54">
        <v>158</v>
      </c>
      <c r="R58" s="44">
        <f>O58*P58</f>
        <v>14220</v>
      </c>
    </row>
    <row r="59" spans="1:18" x14ac:dyDescent="0.25">
      <c r="A59" s="63">
        <v>2</v>
      </c>
      <c r="B59" s="55" t="s">
        <v>58</v>
      </c>
      <c r="C59" s="42">
        <v>4923</v>
      </c>
      <c r="D59" s="42">
        <v>235</v>
      </c>
      <c r="E59" s="43">
        <f t="shared" si="22"/>
        <v>1994.8936170212764</v>
      </c>
      <c r="F59" s="54">
        <v>4923</v>
      </c>
      <c r="G59" s="54">
        <v>235</v>
      </c>
      <c r="H59" s="54">
        <f t="shared" si="23"/>
        <v>1994.8936170212764</v>
      </c>
      <c r="I59" s="54">
        <v>3992</v>
      </c>
      <c r="J59" s="54">
        <v>29</v>
      </c>
      <c r="K59" s="43">
        <f t="shared" si="24"/>
        <v>13665.517241379312</v>
      </c>
      <c r="L59" s="54">
        <v>0</v>
      </c>
      <c r="M59" s="54">
        <v>0</v>
      </c>
      <c r="N59" s="43">
        <v>0</v>
      </c>
      <c r="O59" s="54"/>
      <c r="P59" s="54">
        <v>105</v>
      </c>
      <c r="Q59" s="54"/>
      <c r="R59" s="44">
        <f t="shared" ref="R59:R66" si="26">O59*P59</f>
        <v>0</v>
      </c>
    </row>
    <row r="60" spans="1:18" x14ac:dyDescent="0.25">
      <c r="A60" s="63">
        <v>3</v>
      </c>
      <c r="B60" s="55" t="s">
        <v>59</v>
      </c>
      <c r="C60" s="54">
        <v>11004</v>
      </c>
      <c r="D60" s="54">
        <v>11936</v>
      </c>
      <c r="E60" s="43">
        <f t="shared" si="22"/>
        <v>-7.8083109919571001</v>
      </c>
      <c r="F60" s="54">
        <v>11004</v>
      </c>
      <c r="G60" s="54">
        <v>11936</v>
      </c>
      <c r="H60" s="43">
        <f t="shared" si="23"/>
        <v>-7.8083109919571001</v>
      </c>
      <c r="I60" s="54">
        <v>11004</v>
      </c>
      <c r="J60" s="54">
        <v>11936</v>
      </c>
      <c r="K60" s="43">
        <v>0</v>
      </c>
      <c r="L60" s="54">
        <v>0</v>
      </c>
      <c r="M60" s="54">
        <v>0</v>
      </c>
      <c r="N60" s="43">
        <v>0</v>
      </c>
      <c r="O60" s="54">
        <v>111</v>
      </c>
      <c r="P60" s="54">
        <v>107</v>
      </c>
      <c r="Q60" s="54">
        <v>113</v>
      </c>
      <c r="R60" s="44">
        <f t="shared" si="26"/>
        <v>11877</v>
      </c>
    </row>
    <row r="61" spans="1:18" x14ac:dyDescent="0.25">
      <c r="A61" s="46">
        <v>4</v>
      </c>
      <c r="B61" s="55" t="s">
        <v>60</v>
      </c>
      <c r="C61" s="54">
        <v>11665</v>
      </c>
      <c r="D61" s="54">
        <v>19641</v>
      </c>
      <c r="E61" s="43">
        <f t="shared" si="22"/>
        <v>-40.608930298864621</v>
      </c>
      <c r="F61" s="54">
        <v>11665</v>
      </c>
      <c r="G61" s="54">
        <v>19641</v>
      </c>
      <c r="H61" s="43">
        <f t="shared" si="23"/>
        <v>-40.608930298864621</v>
      </c>
      <c r="I61" s="47">
        <v>11665</v>
      </c>
      <c r="J61" s="47">
        <v>19898</v>
      </c>
      <c r="K61" s="43">
        <f t="shared" si="24"/>
        <v>-41.376017690220124</v>
      </c>
      <c r="L61" s="54">
        <v>0</v>
      </c>
      <c r="M61" s="54">
        <v>0</v>
      </c>
      <c r="N61" s="43">
        <v>0</v>
      </c>
      <c r="O61" s="54">
        <v>67</v>
      </c>
      <c r="P61" s="54">
        <v>124</v>
      </c>
      <c r="Q61" s="54">
        <v>68</v>
      </c>
      <c r="R61" s="44">
        <f t="shared" si="26"/>
        <v>8308</v>
      </c>
    </row>
    <row r="62" spans="1:18" x14ac:dyDescent="0.25">
      <c r="A62" s="63">
        <v>5</v>
      </c>
      <c r="B62" s="55" t="s">
        <v>61</v>
      </c>
      <c r="C62" s="42">
        <v>0</v>
      </c>
      <c r="D62" s="42">
        <v>0</v>
      </c>
      <c r="E62" s="43" t="e">
        <f t="shared" si="22"/>
        <v>#DIV/0!</v>
      </c>
      <c r="F62" s="42">
        <v>0</v>
      </c>
      <c r="G62" s="42">
        <v>0</v>
      </c>
      <c r="H62" s="43" t="e">
        <f t="shared" si="23"/>
        <v>#DIV/0!</v>
      </c>
      <c r="I62" s="42">
        <v>0</v>
      </c>
      <c r="J62" s="42">
        <v>0</v>
      </c>
      <c r="K62" s="43" t="e">
        <f t="shared" si="24"/>
        <v>#DIV/0!</v>
      </c>
      <c r="L62" s="42">
        <v>0</v>
      </c>
      <c r="M62" s="42">
        <v>0</v>
      </c>
      <c r="N62" s="43">
        <v>0</v>
      </c>
      <c r="O62" s="45"/>
      <c r="P62" s="46">
        <v>0</v>
      </c>
      <c r="Q62" s="45"/>
      <c r="R62" s="44">
        <f t="shared" si="26"/>
        <v>0</v>
      </c>
    </row>
    <row r="63" spans="1:18" x14ac:dyDescent="0.25">
      <c r="A63" s="63">
        <v>6</v>
      </c>
      <c r="B63" s="55" t="s">
        <v>62</v>
      </c>
      <c r="C63" s="54">
        <v>701</v>
      </c>
      <c r="D63" s="54">
        <v>3900</v>
      </c>
      <c r="E63" s="43">
        <f t="shared" si="22"/>
        <v>-82.025641025641022</v>
      </c>
      <c r="F63" s="54">
        <v>701</v>
      </c>
      <c r="G63" s="54">
        <v>3900</v>
      </c>
      <c r="H63" s="43">
        <f t="shared" si="23"/>
        <v>-82.025641025641022</v>
      </c>
      <c r="I63" s="54">
        <v>5434</v>
      </c>
      <c r="J63" s="54">
        <v>3425</v>
      </c>
      <c r="K63" s="43">
        <f t="shared" si="24"/>
        <v>58.656934306569354</v>
      </c>
      <c r="L63" s="54">
        <v>5434</v>
      </c>
      <c r="M63" s="54">
        <v>3425</v>
      </c>
      <c r="N63" s="43">
        <v>0</v>
      </c>
      <c r="O63" s="54">
        <v>31</v>
      </c>
      <c r="P63" s="54">
        <v>67</v>
      </c>
      <c r="Q63" s="54"/>
      <c r="R63" s="44">
        <f t="shared" si="26"/>
        <v>2077</v>
      </c>
    </row>
    <row r="64" spans="1:18" x14ac:dyDescent="0.25">
      <c r="A64" s="46">
        <v>7</v>
      </c>
      <c r="B64" s="55" t="s">
        <v>63</v>
      </c>
      <c r="C64" s="42">
        <v>10089</v>
      </c>
      <c r="D64" s="42">
        <v>0</v>
      </c>
      <c r="E64" s="43" t="e">
        <f t="shared" si="22"/>
        <v>#DIV/0!</v>
      </c>
      <c r="F64" s="42">
        <v>10089</v>
      </c>
      <c r="G64" s="42">
        <v>0</v>
      </c>
      <c r="H64" s="43" t="e">
        <f t="shared" si="23"/>
        <v>#DIV/0!</v>
      </c>
      <c r="I64" s="42">
        <v>25</v>
      </c>
      <c r="J64" s="42">
        <v>8787</v>
      </c>
      <c r="K64" s="43">
        <f t="shared" si="24"/>
        <v>-99.715488790258334</v>
      </c>
      <c r="L64" s="64">
        <v>0</v>
      </c>
      <c r="M64" s="42">
        <v>8787</v>
      </c>
      <c r="N64" s="43">
        <v>0</v>
      </c>
      <c r="O64" s="54"/>
      <c r="P64" s="54">
        <v>82</v>
      </c>
      <c r="Q64" s="54">
        <v>37</v>
      </c>
      <c r="R64" s="44">
        <f t="shared" si="26"/>
        <v>0</v>
      </c>
    </row>
    <row r="65" spans="1:18" x14ac:dyDescent="0.25">
      <c r="A65" s="63">
        <v>8</v>
      </c>
      <c r="B65" s="55" t="s">
        <v>64</v>
      </c>
      <c r="C65" s="65">
        <v>0</v>
      </c>
      <c r="D65" s="42">
        <v>0</v>
      </c>
      <c r="E65" s="43" t="e">
        <f t="shared" si="22"/>
        <v>#DIV/0!</v>
      </c>
      <c r="F65" s="42">
        <v>0</v>
      </c>
      <c r="G65" s="66">
        <v>0</v>
      </c>
      <c r="H65" s="43">
        <v>0</v>
      </c>
      <c r="I65" s="42">
        <v>0</v>
      </c>
      <c r="J65" s="66">
        <v>0</v>
      </c>
      <c r="K65" s="43" t="e">
        <f t="shared" si="24"/>
        <v>#DIV/0!</v>
      </c>
      <c r="L65" s="42">
        <v>0</v>
      </c>
      <c r="M65" s="66">
        <v>0</v>
      </c>
      <c r="N65" s="43">
        <v>0</v>
      </c>
      <c r="O65" s="54">
        <v>35</v>
      </c>
      <c r="P65" s="62">
        <v>85</v>
      </c>
      <c r="Q65" s="54">
        <v>35</v>
      </c>
      <c r="R65" s="44">
        <f t="shared" si="26"/>
        <v>2975</v>
      </c>
    </row>
    <row r="66" spans="1:18" x14ac:dyDescent="0.25">
      <c r="A66" s="63">
        <v>9</v>
      </c>
      <c r="B66" s="55" t="s">
        <v>65</v>
      </c>
      <c r="C66" s="42">
        <v>0</v>
      </c>
      <c r="D66" s="42">
        <v>0</v>
      </c>
      <c r="E66" s="43">
        <v>0</v>
      </c>
      <c r="F66" s="42">
        <v>0</v>
      </c>
      <c r="G66" s="42">
        <v>0</v>
      </c>
      <c r="H66" s="43">
        <v>0</v>
      </c>
      <c r="I66" s="42">
        <v>0</v>
      </c>
      <c r="J66" s="42">
        <v>0</v>
      </c>
      <c r="K66" s="43">
        <v>0</v>
      </c>
      <c r="L66" s="42">
        <v>0</v>
      </c>
      <c r="M66" s="42">
        <v>0</v>
      </c>
      <c r="N66" s="43">
        <v>0</v>
      </c>
      <c r="O66" s="45"/>
      <c r="P66" s="46">
        <v>0</v>
      </c>
      <c r="Q66" s="45">
        <v>0</v>
      </c>
      <c r="R66" s="44">
        <f t="shared" si="26"/>
        <v>0</v>
      </c>
    </row>
    <row r="67" spans="1:18" x14ac:dyDescent="0.25">
      <c r="A67" s="907" t="s">
        <v>66</v>
      </c>
      <c r="B67" s="908"/>
      <c r="C67" s="67">
        <f>SUM(C58:C66)</f>
        <v>38382</v>
      </c>
      <c r="D67" s="67">
        <f>SUM(D58:D66)</f>
        <v>56545</v>
      </c>
      <c r="E67" s="57">
        <f t="shared" si="22"/>
        <v>-32.12131930320983</v>
      </c>
      <c r="F67" s="67">
        <f>SUM(F58:F66)</f>
        <v>38382</v>
      </c>
      <c r="G67" s="67">
        <f>SUM(G58:G66)</f>
        <v>35712</v>
      </c>
      <c r="H67" s="57">
        <f t="shared" si="23"/>
        <v>7.4764784946236489</v>
      </c>
      <c r="I67" s="68">
        <f>SUM(I58:I66)</f>
        <v>32120</v>
      </c>
      <c r="J67" s="67">
        <f>SUM(J58:J66)</f>
        <v>44075</v>
      </c>
      <c r="K67" s="57">
        <f t="shared" si="24"/>
        <v>-27.124220079410094</v>
      </c>
      <c r="L67" s="67">
        <f>SUM(L58:L66)</f>
        <v>5434</v>
      </c>
      <c r="M67" s="67">
        <f>SUM(M58:M66)</f>
        <v>12212</v>
      </c>
      <c r="N67" s="57">
        <f t="shared" si="25"/>
        <v>-55.502784146740915</v>
      </c>
      <c r="O67" s="68">
        <f>SUM(O58:O66)</f>
        <v>402</v>
      </c>
      <c r="P67" s="69">
        <f>R67/O67</f>
        <v>98.151741293532339</v>
      </c>
      <c r="Q67" s="68">
        <f>SUM(Q58:Q66)</f>
        <v>411</v>
      </c>
      <c r="R67" s="70">
        <f>SUM(R58:R66)</f>
        <v>39457</v>
      </c>
    </row>
    <row r="68" spans="1:18" x14ac:dyDescent="0.25">
      <c r="A68" s="39"/>
      <c r="B68" s="71"/>
      <c r="C68" s="39"/>
      <c r="D68" s="39"/>
      <c r="E68" s="39"/>
      <c r="F68" s="39"/>
      <c r="G68" s="39"/>
      <c r="H68" s="39"/>
      <c r="I68" s="39"/>
      <c r="J68" s="39"/>
      <c r="K68" s="72"/>
      <c r="L68" s="39"/>
      <c r="M68" s="39"/>
      <c r="N68" s="39"/>
      <c r="O68" s="39"/>
      <c r="P68" s="73"/>
      <c r="Q68" s="39"/>
      <c r="R68" s="39"/>
    </row>
    <row r="69" spans="1:18" x14ac:dyDescent="0.25">
      <c r="A69" s="891" t="s">
        <v>67</v>
      </c>
      <c r="B69" s="892"/>
      <c r="C69" s="37">
        <v>3</v>
      </c>
      <c r="D69" s="37">
        <v>4</v>
      </c>
      <c r="E69" s="38">
        <v>5</v>
      </c>
      <c r="F69" s="37">
        <v>6</v>
      </c>
      <c r="G69" s="37">
        <v>7</v>
      </c>
      <c r="H69" s="37">
        <v>8</v>
      </c>
      <c r="I69" s="37">
        <v>9</v>
      </c>
      <c r="J69" s="37">
        <v>10</v>
      </c>
      <c r="K69" s="37">
        <v>11</v>
      </c>
      <c r="L69" s="37">
        <v>12</v>
      </c>
      <c r="M69" s="37">
        <v>13</v>
      </c>
      <c r="N69" s="37">
        <v>14</v>
      </c>
      <c r="O69" s="37">
        <v>15</v>
      </c>
      <c r="P69" s="38">
        <v>16</v>
      </c>
      <c r="Q69" s="37">
        <v>17</v>
      </c>
      <c r="R69" s="39"/>
    </row>
    <row r="70" spans="1:18" x14ac:dyDescent="0.25">
      <c r="A70" s="40">
        <v>1</v>
      </c>
      <c r="B70" s="41" t="s">
        <v>68</v>
      </c>
      <c r="C70" s="45">
        <v>21</v>
      </c>
      <c r="D70" s="45">
        <v>0</v>
      </c>
      <c r="E70" s="43" t="e">
        <f t="shared" ref="E70:E79" si="27">C70/D70*100-100</f>
        <v>#DIV/0!</v>
      </c>
      <c r="F70" s="45">
        <v>21</v>
      </c>
      <c r="G70" s="45">
        <v>0</v>
      </c>
      <c r="H70" s="54" t="e">
        <f t="shared" ref="H70:H79" si="28">F70/G70*100-100</f>
        <v>#DIV/0!</v>
      </c>
      <c r="I70" s="45">
        <v>21</v>
      </c>
      <c r="J70" s="45">
        <v>0</v>
      </c>
      <c r="K70" s="74" t="e">
        <f>I70/J70*100</f>
        <v>#DIV/0!</v>
      </c>
      <c r="L70" s="45">
        <v>0</v>
      </c>
      <c r="M70" s="45">
        <v>0</v>
      </c>
      <c r="N70" s="43" t="e">
        <f t="shared" ref="N70:N79" si="29">L70/M70*100-100</f>
        <v>#DIV/0!</v>
      </c>
      <c r="O70" s="45">
        <v>138</v>
      </c>
      <c r="P70" s="60">
        <v>55</v>
      </c>
      <c r="Q70" s="45">
        <v>147</v>
      </c>
      <c r="R70" s="44">
        <f t="shared" ref="R70:R77" si="30">O70*P70</f>
        <v>7590</v>
      </c>
    </row>
    <row r="71" spans="1:18" x14ac:dyDescent="0.25">
      <c r="A71" s="40">
        <v>2</v>
      </c>
      <c r="B71" s="41" t="s">
        <v>69</v>
      </c>
      <c r="C71" s="49">
        <v>19291</v>
      </c>
      <c r="D71" s="49">
        <v>63095</v>
      </c>
      <c r="E71" s="43">
        <f t="shared" si="27"/>
        <v>-69.425469530073698</v>
      </c>
      <c r="F71" s="49">
        <v>19291</v>
      </c>
      <c r="G71" s="49">
        <v>63095</v>
      </c>
      <c r="H71" s="43">
        <f t="shared" si="28"/>
        <v>-69.425469530073698</v>
      </c>
      <c r="I71" s="49">
        <v>0</v>
      </c>
      <c r="J71" s="49">
        <v>37178</v>
      </c>
      <c r="K71" s="43">
        <f t="shared" ref="K71:K79" si="31">I71/J71*100-100</f>
        <v>-100</v>
      </c>
      <c r="L71" s="49">
        <v>0</v>
      </c>
      <c r="M71" s="49">
        <v>37178</v>
      </c>
      <c r="N71" s="43">
        <f t="shared" si="29"/>
        <v>-100</v>
      </c>
      <c r="O71" s="45">
        <v>12</v>
      </c>
      <c r="P71" s="46">
        <v>72</v>
      </c>
      <c r="Q71" s="45">
        <v>23</v>
      </c>
      <c r="R71" s="44">
        <f t="shared" si="30"/>
        <v>864</v>
      </c>
    </row>
    <row r="72" spans="1:18" x14ac:dyDescent="0.25">
      <c r="A72" s="40">
        <v>3</v>
      </c>
      <c r="B72" s="41" t="s">
        <v>70</v>
      </c>
      <c r="C72" s="45">
        <v>0</v>
      </c>
      <c r="D72" s="45">
        <v>0</v>
      </c>
      <c r="E72" s="43" t="e">
        <f t="shared" si="27"/>
        <v>#DIV/0!</v>
      </c>
      <c r="F72" s="45">
        <v>0</v>
      </c>
      <c r="G72" s="45">
        <v>0</v>
      </c>
      <c r="H72" s="43" t="e">
        <f t="shared" si="28"/>
        <v>#DIV/0!</v>
      </c>
      <c r="I72" s="45">
        <v>0</v>
      </c>
      <c r="J72" s="45">
        <v>0</v>
      </c>
      <c r="K72" s="43" t="e">
        <f t="shared" si="31"/>
        <v>#DIV/0!</v>
      </c>
      <c r="L72" s="45">
        <v>0</v>
      </c>
      <c r="M72" s="45">
        <v>0</v>
      </c>
      <c r="N72" s="43" t="e">
        <f t="shared" si="29"/>
        <v>#DIV/0!</v>
      </c>
      <c r="O72" s="45"/>
      <c r="P72" s="60">
        <v>71</v>
      </c>
      <c r="Q72" s="45">
        <v>37</v>
      </c>
      <c r="R72" s="44">
        <f t="shared" si="30"/>
        <v>0</v>
      </c>
    </row>
    <row r="73" spans="1:18" x14ac:dyDescent="0.25">
      <c r="A73" s="40">
        <v>4</v>
      </c>
      <c r="B73" s="41" t="s">
        <v>71</v>
      </c>
      <c r="C73" s="45">
        <v>2955</v>
      </c>
      <c r="D73" s="45">
        <v>14705</v>
      </c>
      <c r="E73" s="43">
        <f t="shared" si="27"/>
        <v>-79.904794287657268</v>
      </c>
      <c r="F73" s="45">
        <v>2955</v>
      </c>
      <c r="G73" s="45">
        <v>14705</v>
      </c>
      <c r="H73" s="43">
        <f t="shared" si="28"/>
        <v>-79.904794287657268</v>
      </c>
      <c r="I73" s="45">
        <v>0</v>
      </c>
      <c r="J73" s="45">
        <v>0</v>
      </c>
      <c r="K73" s="43" t="e">
        <f t="shared" si="31"/>
        <v>#DIV/0!</v>
      </c>
      <c r="L73" s="45">
        <v>0</v>
      </c>
      <c r="M73" s="45">
        <v>0</v>
      </c>
      <c r="N73" s="43" t="e">
        <f t="shared" si="29"/>
        <v>#DIV/0!</v>
      </c>
      <c r="O73" s="45"/>
      <c r="P73" s="75">
        <v>50</v>
      </c>
      <c r="Q73" s="45">
        <v>66</v>
      </c>
      <c r="R73" s="44">
        <f t="shared" si="30"/>
        <v>0</v>
      </c>
    </row>
    <row r="74" spans="1:18" x14ac:dyDescent="0.25">
      <c r="A74" s="40">
        <v>5</v>
      </c>
      <c r="B74" s="41" t="s">
        <v>72</v>
      </c>
      <c r="C74" s="45">
        <v>208</v>
      </c>
      <c r="D74" s="45">
        <v>75</v>
      </c>
      <c r="E74" s="43">
        <f t="shared" si="27"/>
        <v>177.33333333333337</v>
      </c>
      <c r="F74" s="45">
        <v>208</v>
      </c>
      <c r="G74" s="45">
        <v>75</v>
      </c>
      <c r="H74" s="43">
        <f t="shared" si="28"/>
        <v>177.33333333333337</v>
      </c>
      <c r="I74" s="45">
        <v>208</v>
      </c>
      <c r="J74" s="45">
        <v>75</v>
      </c>
      <c r="K74" s="43">
        <f t="shared" si="31"/>
        <v>177.33333333333337</v>
      </c>
      <c r="L74" s="45">
        <v>0</v>
      </c>
      <c r="M74" s="45">
        <v>0</v>
      </c>
      <c r="N74" s="43" t="e">
        <f t="shared" si="29"/>
        <v>#DIV/0!</v>
      </c>
      <c r="O74" s="45">
        <v>67</v>
      </c>
      <c r="P74" s="60">
        <v>136</v>
      </c>
      <c r="Q74" s="45">
        <v>67</v>
      </c>
      <c r="R74" s="44">
        <f t="shared" si="30"/>
        <v>9112</v>
      </c>
    </row>
    <row r="75" spans="1:18" x14ac:dyDescent="0.25">
      <c r="A75" s="50">
        <v>6</v>
      </c>
      <c r="B75" s="41" t="s">
        <v>73</v>
      </c>
      <c r="C75" s="45">
        <v>0</v>
      </c>
      <c r="D75" s="45">
        <v>2050</v>
      </c>
      <c r="E75" s="54">
        <f t="shared" si="27"/>
        <v>-100</v>
      </c>
      <c r="F75" s="45">
        <v>0</v>
      </c>
      <c r="G75" s="45">
        <v>2050</v>
      </c>
      <c r="H75" s="43">
        <f t="shared" si="28"/>
        <v>-100</v>
      </c>
      <c r="I75" s="45">
        <v>33</v>
      </c>
      <c r="J75" s="45">
        <v>2134</v>
      </c>
      <c r="K75" s="54">
        <f t="shared" si="31"/>
        <v>-98.453608247422679</v>
      </c>
      <c r="L75" s="45">
        <v>0</v>
      </c>
      <c r="M75" s="45">
        <v>28</v>
      </c>
      <c r="N75" s="43">
        <f t="shared" si="29"/>
        <v>-100</v>
      </c>
      <c r="O75" s="45">
        <v>8</v>
      </c>
      <c r="P75" s="60">
        <v>77</v>
      </c>
      <c r="Q75" s="45">
        <v>10</v>
      </c>
      <c r="R75" s="44">
        <f t="shared" si="30"/>
        <v>616</v>
      </c>
    </row>
    <row r="76" spans="1:18" x14ac:dyDescent="0.25">
      <c r="A76" s="40">
        <v>7</v>
      </c>
      <c r="B76" s="41" t="s">
        <v>74</v>
      </c>
      <c r="C76" s="45">
        <v>58207</v>
      </c>
      <c r="D76" s="45">
        <v>25609</v>
      </c>
      <c r="E76" s="43">
        <f t="shared" si="27"/>
        <v>127.29118669217851</v>
      </c>
      <c r="F76" s="45">
        <v>58207</v>
      </c>
      <c r="G76" s="45">
        <v>25609</v>
      </c>
      <c r="H76" s="43">
        <f t="shared" si="28"/>
        <v>127.29118669217851</v>
      </c>
      <c r="I76" s="45">
        <v>26729</v>
      </c>
      <c r="J76" s="45">
        <v>49544</v>
      </c>
      <c r="K76" s="43">
        <f t="shared" si="31"/>
        <v>-46.049975779105445</v>
      </c>
      <c r="L76" s="45">
        <v>0</v>
      </c>
      <c r="M76" s="45">
        <v>0</v>
      </c>
      <c r="N76" s="43" t="e">
        <f t="shared" si="29"/>
        <v>#DIV/0!</v>
      </c>
      <c r="O76" s="45"/>
      <c r="P76" s="46">
        <v>200</v>
      </c>
      <c r="Q76" s="45">
        <v>133</v>
      </c>
      <c r="R76" s="44">
        <f t="shared" si="30"/>
        <v>0</v>
      </c>
    </row>
    <row r="77" spans="1:18" x14ac:dyDescent="0.25">
      <c r="A77" s="40">
        <v>8</v>
      </c>
      <c r="B77" s="41" t="s">
        <v>75</v>
      </c>
      <c r="C77" s="45">
        <v>2675</v>
      </c>
      <c r="D77" s="45">
        <v>0</v>
      </c>
      <c r="E77" s="54" t="e">
        <f t="shared" si="27"/>
        <v>#DIV/0!</v>
      </c>
      <c r="F77" s="45">
        <v>2675</v>
      </c>
      <c r="G77" s="45">
        <v>0</v>
      </c>
      <c r="H77" s="43">
        <v>0</v>
      </c>
      <c r="I77" s="45">
        <v>2675</v>
      </c>
      <c r="J77" s="45">
        <v>5025</v>
      </c>
      <c r="K77" s="54">
        <f t="shared" si="31"/>
        <v>-46.766169154228855</v>
      </c>
      <c r="L77" s="45">
        <v>0</v>
      </c>
      <c r="M77" s="45">
        <v>0</v>
      </c>
      <c r="N77" s="43" t="e">
        <f t="shared" si="29"/>
        <v>#DIV/0!</v>
      </c>
      <c r="O77" s="45">
        <v>29</v>
      </c>
      <c r="P77" s="60">
        <v>40</v>
      </c>
      <c r="Q77" s="45">
        <v>30</v>
      </c>
      <c r="R77" s="44">
        <f t="shared" si="30"/>
        <v>1160</v>
      </c>
    </row>
    <row r="78" spans="1:18" x14ac:dyDescent="0.25">
      <c r="A78" s="893" t="s">
        <v>76</v>
      </c>
      <c r="B78" s="894" t="s">
        <v>77</v>
      </c>
      <c r="C78" s="56">
        <f>SUM(C70:C77)</f>
        <v>83357</v>
      </c>
      <c r="D78" s="56">
        <f>SUM(D70:D77)</f>
        <v>105534</v>
      </c>
      <c r="E78" s="57">
        <f t="shared" si="27"/>
        <v>-21.014080770178339</v>
      </c>
      <c r="F78" s="56">
        <f>SUM(F70:F77)</f>
        <v>83357</v>
      </c>
      <c r="G78" s="56">
        <f>SUM(G70:G77)</f>
        <v>105534</v>
      </c>
      <c r="H78" s="57">
        <f t="shared" si="28"/>
        <v>-21.014080770178339</v>
      </c>
      <c r="I78" s="56">
        <f>SUM(I70:I77)</f>
        <v>29666</v>
      </c>
      <c r="J78" s="56">
        <f>SUM(J70:J77)</f>
        <v>93956</v>
      </c>
      <c r="K78" s="57">
        <f t="shared" si="31"/>
        <v>-68.425646047085877</v>
      </c>
      <c r="L78" s="56">
        <f>SUM(L70:L77)</f>
        <v>0</v>
      </c>
      <c r="M78" s="56">
        <f>SUM(M70:M77)</f>
        <v>37206</v>
      </c>
      <c r="N78" s="57">
        <f t="shared" si="29"/>
        <v>-100</v>
      </c>
      <c r="O78" s="56">
        <f>SUM(O70:O77)</f>
        <v>254</v>
      </c>
      <c r="P78" s="58">
        <f>R78/O78</f>
        <v>76.149606299212593</v>
      </c>
      <c r="Q78" s="56">
        <f>SUM(Q70:Q77)</f>
        <v>513</v>
      </c>
      <c r="R78" s="70">
        <f>SUM(R70:R77)</f>
        <v>19342</v>
      </c>
    </row>
    <row r="79" spans="1:18" x14ac:dyDescent="0.25">
      <c r="A79" s="905" t="s">
        <v>78</v>
      </c>
      <c r="B79" s="906" t="s">
        <v>78</v>
      </c>
      <c r="C79" s="76">
        <f>C55+C67+C78</f>
        <v>202979</v>
      </c>
      <c r="D79" s="76">
        <f>D55+D67+D78</f>
        <v>314607</v>
      </c>
      <c r="E79" s="77">
        <f t="shared" si="27"/>
        <v>-35.481727997152007</v>
      </c>
      <c r="F79" s="76">
        <f>F55+F67+F78</f>
        <v>202979</v>
      </c>
      <c r="G79" s="76">
        <f>G55+G67+G78</f>
        <v>293774</v>
      </c>
      <c r="H79" s="77">
        <f t="shared" si="28"/>
        <v>-30.906411050671608</v>
      </c>
      <c r="I79" s="76">
        <f>I55+I67+I78</f>
        <v>139443</v>
      </c>
      <c r="J79" s="76">
        <f>J55+J67+J78</f>
        <v>264075</v>
      </c>
      <c r="K79" s="77">
        <f t="shared" si="31"/>
        <v>-47.195683044589607</v>
      </c>
      <c r="L79" s="76">
        <f>L55+L67+L78</f>
        <v>11203</v>
      </c>
      <c r="M79" s="76">
        <f>M55+M67+M78</f>
        <v>121432</v>
      </c>
      <c r="N79" s="77">
        <f t="shared" si="29"/>
        <v>-90.774260491468482</v>
      </c>
      <c r="O79" s="76">
        <f>O55+O67+O78</f>
        <v>1277</v>
      </c>
      <c r="P79" s="78">
        <f>R79/O79</f>
        <v>96.42991386061081</v>
      </c>
      <c r="Q79" s="76">
        <f>Q55+Q67+Q78</f>
        <v>1760</v>
      </c>
      <c r="R79" s="79">
        <f>R55+R67+R78</f>
        <v>123141</v>
      </c>
    </row>
    <row r="80" spans="1:18" x14ac:dyDescent="0.25">
      <c r="A80" s="45"/>
      <c r="B80" s="59"/>
      <c r="C80" s="45"/>
      <c r="D80" s="45"/>
      <c r="E80" s="45"/>
      <c r="F80" s="45"/>
      <c r="G80" s="45"/>
      <c r="H80" s="45"/>
      <c r="I80" s="45"/>
      <c r="J80" s="45"/>
      <c r="K80" s="34"/>
      <c r="L80" s="45"/>
      <c r="M80" s="45"/>
      <c r="N80" s="45"/>
      <c r="O80" s="45"/>
      <c r="P80" s="60"/>
      <c r="Q80" s="45"/>
      <c r="R80" s="39"/>
    </row>
    <row r="81" spans="1:18" x14ac:dyDescent="0.25">
      <c r="A81" s="903" t="s">
        <v>79</v>
      </c>
      <c r="B81" s="904"/>
      <c r="C81" s="37">
        <v>3</v>
      </c>
      <c r="D81" s="37">
        <v>4</v>
      </c>
      <c r="E81" s="38">
        <v>5</v>
      </c>
      <c r="F81" s="37">
        <v>6</v>
      </c>
      <c r="G81" s="37">
        <v>7</v>
      </c>
      <c r="H81" s="37">
        <v>8</v>
      </c>
      <c r="I81" s="37">
        <v>9</v>
      </c>
      <c r="J81" s="37">
        <v>10</v>
      </c>
      <c r="K81" s="37">
        <v>11</v>
      </c>
      <c r="L81" s="37">
        <v>12</v>
      </c>
      <c r="M81" s="37">
        <v>13</v>
      </c>
      <c r="N81" s="37">
        <v>14</v>
      </c>
      <c r="O81" s="37">
        <v>15</v>
      </c>
      <c r="P81" s="38">
        <v>16</v>
      </c>
      <c r="Q81" s="37">
        <v>17</v>
      </c>
      <c r="R81" s="39"/>
    </row>
    <row r="82" spans="1:18" x14ac:dyDescent="0.25">
      <c r="A82" s="80">
        <v>1</v>
      </c>
      <c r="B82" s="81" t="s">
        <v>80</v>
      </c>
      <c r="C82" s="49">
        <v>0</v>
      </c>
      <c r="D82" s="49">
        <v>241</v>
      </c>
      <c r="E82" s="43">
        <f t="shared" ref="E82:E93" si="32">C82/D82*100-100</f>
        <v>-100</v>
      </c>
      <c r="F82" s="49">
        <v>0</v>
      </c>
      <c r="G82" s="49">
        <v>241</v>
      </c>
      <c r="H82" s="43">
        <f t="shared" ref="H82:H93" si="33">F82/G82*100-100</f>
        <v>-100</v>
      </c>
      <c r="I82" s="49">
        <v>0</v>
      </c>
      <c r="J82" s="49">
        <v>241</v>
      </c>
      <c r="K82" s="43">
        <v>0</v>
      </c>
      <c r="L82" s="45">
        <v>0</v>
      </c>
      <c r="M82" s="49">
        <v>0</v>
      </c>
      <c r="N82" s="43">
        <v>0</v>
      </c>
      <c r="O82" s="45"/>
      <c r="P82" s="49">
        <v>113</v>
      </c>
      <c r="Q82" s="45">
        <v>2473</v>
      </c>
      <c r="R82" s="44">
        <f t="shared" ref="R82:R92" si="34">O82*P82</f>
        <v>0</v>
      </c>
    </row>
    <row r="83" spans="1:18" x14ac:dyDescent="0.25">
      <c r="A83" s="82">
        <v>2</v>
      </c>
      <c r="B83" s="81" t="s">
        <v>81</v>
      </c>
      <c r="C83" s="49">
        <v>0</v>
      </c>
      <c r="D83" s="49">
        <v>72342</v>
      </c>
      <c r="E83" s="43">
        <f t="shared" si="32"/>
        <v>-100</v>
      </c>
      <c r="F83" s="49">
        <v>0</v>
      </c>
      <c r="G83" s="49">
        <v>72342</v>
      </c>
      <c r="H83" s="43">
        <f t="shared" si="33"/>
        <v>-100</v>
      </c>
      <c r="I83" s="49">
        <v>60</v>
      </c>
      <c r="J83" s="49">
        <v>86203</v>
      </c>
      <c r="K83" s="43">
        <f t="shared" ref="K83:K93" si="35">I83/J83*100-100</f>
        <v>-99.930396853937793</v>
      </c>
      <c r="L83" s="49">
        <v>0</v>
      </c>
      <c r="M83" s="49">
        <v>86207</v>
      </c>
      <c r="N83" s="43">
        <f t="shared" ref="N83:N93" si="36">L83/M83*100-100</f>
        <v>-100</v>
      </c>
      <c r="O83" s="45">
        <v>703</v>
      </c>
      <c r="P83" s="49">
        <v>120</v>
      </c>
      <c r="Q83" s="45">
        <v>708</v>
      </c>
      <c r="R83" s="44">
        <f t="shared" si="34"/>
        <v>84360</v>
      </c>
    </row>
    <row r="84" spans="1:18" x14ac:dyDescent="0.25">
      <c r="A84" s="80">
        <v>3</v>
      </c>
      <c r="B84" s="81" t="s">
        <v>82</v>
      </c>
      <c r="C84" s="49">
        <v>0</v>
      </c>
      <c r="D84" s="49">
        <v>3234</v>
      </c>
      <c r="E84" s="43">
        <f t="shared" si="32"/>
        <v>-100</v>
      </c>
      <c r="F84" s="49">
        <v>0</v>
      </c>
      <c r="G84" s="49">
        <v>3234</v>
      </c>
      <c r="H84" s="43">
        <f t="shared" si="33"/>
        <v>-100</v>
      </c>
      <c r="I84" s="49">
        <v>79438</v>
      </c>
      <c r="J84" s="49">
        <v>75146</v>
      </c>
      <c r="K84" s="43">
        <f t="shared" si="35"/>
        <v>5.7115481861975468</v>
      </c>
      <c r="L84" s="49">
        <v>18917</v>
      </c>
      <c r="M84" s="49">
        <v>10918</v>
      </c>
      <c r="N84" s="43">
        <f t="shared" si="36"/>
        <v>73.26433412712953</v>
      </c>
      <c r="O84" s="45">
        <v>30</v>
      </c>
      <c r="P84" s="49">
        <v>306</v>
      </c>
      <c r="Q84" s="45">
        <v>28</v>
      </c>
      <c r="R84" s="44">
        <f t="shared" si="34"/>
        <v>9180</v>
      </c>
    </row>
    <row r="85" spans="1:18" x14ac:dyDescent="0.25">
      <c r="A85" s="82">
        <v>4</v>
      </c>
      <c r="B85" s="81" t="s">
        <v>83</v>
      </c>
      <c r="C85" s="49">
        <v>89603</v>
      </c>
      <c r="D85" s="49">
        <v>63367</v>
      </c>
      <c r="E85" s="43">
        <f t="shared" si="32"/>
        <v>41.403254059684059</v>
      </c>
      <c r="F85" s="49">
        <v>89603</v>
      </c>
      <c r="G85" s="49">
        <v>63367</v>
      </c>
      <c r="H85" s="43">
        <f t="shared" si="33"/>
        <v>41.403254059684059</v>
      </c>
      <c r="I85" s="49">
        <v>63810</v>
      </c>
      <c r="J85" s="49">
        <v>14101</v>
      </c>
      <c r="K85" s="43">
        <f t="shared" si="35"/>
        <v>352.52109779448267</v>
      </c>
      <c r="L85" s="45">
        <v>44869</v>
      </c>
      <c r="M85" s="49"/>
      <c r="N85" s="43" t="e">
        <f t="shared" si="36"/>
        <v>#DIV/0!</v>
      </c>
      <c r="O85" s="45">
        <v>181</v>
      </c>
      <c r="P85" s="49">
        <v>40</v>
      </c>
      <c r="Q85" s="45">
        <v>158</v>
      </c>
      <c r="R85" s="44">
        <f t="shared" si="34"/>
        <v>7240</v>
      </c>
    </row>
    <row r="86" spans="1:18" x14ac:dyDescent="0.25">
      <c r="A86" s="80">
        <v>5</v>
      </c>
      <c r="B86" s="81" t="s">
        <v>84</v>
      </c>
      <c r="C86" s="60">
        <v>9997</v>
      </c>
      <c r="D86" s="60">
        <v>31979</v>
      </c>
      <c r="E86" s="43">
        <f t="shared" si="32"/>
        <v>-68.738859876794152</v>
      </c>
      <c r="F86" s="60">
        <v>9997</v>
      </c>
      <c r="G86" s="60">
        <v>31979</v>
      </c>
      <c r="H86" s="43">
        <f t="shared" si="33"/>
        <v>-68.738859876794152</v>
      </c>
      <c r="I86" s="60">
        <v>13660</v>
      </c>
      <c r="J86" s="60">
        <v>32400</v>
      </c>
      <c r="K86" s="43">
        <f t="shared" si="35"/>
        <v>-57.839506172839506</v>
      </c>
      <c r="L86" s="45">
        <v>4585</v>
      </c>
      <c r="M86" s="60">
        <v>2484</v>
      </c>
      <c r="N86" s="43">
        <f t="shared" si="36"/>
        <v>84.58132045088567</v>
      </c>
      <c r="O86" s="45">
        <v>89</v>
      </c>
      <c r="P86" s="60">
        <v>79</v>
      </c>
      <c r="Q86" s="45">
        <v>92</v>
      </c>
      <c r="R86" s="44">
        <f t="shared" si="34"/>
        <v>7031</v>
      </c>
    </row>
    <row r="87" spans="1:18" x14ac:dyDescent="0.25">
      <c r="A87" s="82">
        <v>6</v>
      </c>
      <c r="B87" s="81" t="s">
        <v>85</v>
      </c>
      <c r="C87" s="42">
        <v>0</v>
      </c>
      <c r="D87" s="42">
        <v>0</v>
      </c>
      <c r="E87" s="43">
        <v>0</v>
      </c>
      <c r="F87" s="42">
        <v>0</v>
      </c>
      <c r="G87" s="42">
        <v>0</v>
      </c>
      <c r="H87" s="43">
        <v>0</v>
      </c>
      <c r="I87" s="42">
        <v>0</v>
      </c>
      <c r="J87" s="42">
        <v>0</v>
      </c>
      <c r="K87" s="43">
        <v>0</v>
      </c>
      <c r="L87" s="42">
        <v>0</v>
      </c>
      <c r="M87" s="42">
        <v>0</v>
      </c>
      <c r="N87" s="43">
        <v>0</v>
      </c>
      <c r="O87" s="45"/>
      <c r="P87" s="46">
        <v>0</v>
      </c>
      <c r="Q87" s="45"/>
      <c r="R87" s="44">
        <f t="shared" si="34"/>
        <v>0</v>
      </c>
    </row>
    <row r="88" spans="1:18" x14ac:dyDescent="0.25">
      <c r="A88" s="82">
        <v>7</v>
      </c>
      <c r="B88" s="83" t="s">
        <v>86</v>
      </c>
      <c r="C88" s="60"/>
      <c r="D88" s="60"/>
      <c r="E88" s="43" t="e">
        <f t="shared" si="32"/>
        <v>#DIV/0!</v>
      </c>
      <c r="F88" s="60"/>
      <c r="G88" s="60"/>
      <c r="H88" s="43" t="e">
        <f t="shared" si="33"/>
        <v>#DIV/0!</v>
      </c>
      <c r="I88" s="60"/>
      <c r="J88" s="60"/>
      <c r="K88" s="43" t="e">
        <f t="shared" si="35"/>
        <v>#DIV/0!</v>
      </c>
      <c r="L88" s="45"/>
      <c r="M88" s="60"/>
      <c r="N88" s="43" t="e">
        <f t="shared" si="36"/>
        <v>#DIV/0!</v>
      </c>
      <c r="O88" s="45"/>
      <c r="P88" s="49">
        <v>128</v>
      </c>
      <c r="Q88" s="45">
        <v>66</v>
      </c>
      <c r="R88" s="44">
        <f t="shared" si="34"/>
        <v>0</v>
      </c>
    </row>
    <row r="89" spans="1:18" x14ac:dyDescent="0.25">
      <c r="A89" s="80">
        <v>8</v>
      </c>
      <c r="B89" s="81" t="s">
        <v>87</v>
      </c>
      <c r="C89" s="49">
        <v>73847</v>
      </c>
      <c r="D89" s="49">
        <v>69064</v>
      </c>
      <c r="E89" s="43">
        <f t="shared" si="32"/>
        <v>6.9254604424881165</v>
      </c>
      <c r="F89" s="49">
        <v>73847</v>
      </c>
      <c r="G89" s="49">
        <v>69064</v>
      </c>
      <c r="H89" s="43">
        <f t="shared" si="33"/>
        <v>6.9254604424881165</v>
      </c>
      <c r="I89" s="49">
        <v>73847</v>
      </c>
      <c r="J89" s="49">
        <v>69064</v>
      </c>
      <c r="K89" s="43">
        <f t="shared" si="35"/>
        <v>6.9254604424881165</v>
      </c>
      <c r="L89" s="45">
        <v>42597</v>
      </c>
      <c r="M89" s="49">
        <v>37152</v>
      </c>
      <c r="N89" s="43">
        <f t="shared" si="36"/>
        <v>14.656007751937977</v>
      </c>
      <c r="O89" s="45">
        <v>106</v>
      </c>
      <c r="P89" s="49">
        <v>300</v>
      </c>
      <c r="Q89" s="45">
        <v>106</v>
      </c>
      <c r="R89" s="44">
        <f t="shared" si="34"/>
        <v>31800</v>
      </c>
    </row>
    <row r="90" spans="1:18" x14ac:dyDescent="0.25">
      <c r="A90" s="80">
        <v>9</v>
      </c>
      <c r="B90" s="81" t="s">
        <v>88</v>
      </c>
      <c r="C90" s="49">
        <v>63613</v>
      </c>
      <c r="D90" s="49">
        <v>42450</v>
      </c>
      <c r="E90" s="43">
        <f t="shared" si="32"/>
        <v>49.853945818610129</v>
      </c>
      <c r="F90" s="49">
        <v>63613</v>
      </c>
      <c r="G90" s="49">
        <v>42450</v>
      </c>
      <c r="H90" s="43">
        <f t="shared" si="33"/>
        <v>49.853945818610129</v>
      </c>
      <c r="I90" s="49">
        <v>39195</v>
      </c>
      <c r="J90" s="49">
        <v>56358</v>
      </c>
      <c r="K90" s="43">
        <f t="shared" si="35"/>
        <v>-30.453529223890129</v>
      </c>
      <c r="L90" s="45">
        <v>2805</v>
      </c>
      <c r="M90" s="49">
        <v>1024</v>
      </c>
      <c r="N90" s="43">
        <f t="shared" si="36"/>
        <v>173.92578125</v>
      </c>
      <c r="O90" s="45">
        <v>76</v>
      </c>
      <c r="P90" s="49">
        <v>169</v>
      </c>
      <c r="Q90" s="45">
        <v>75</v>
      </c>
      <c r="R90" s="44">
        <f t="shared" si="34"/>
        <v>12844</v>
      </c>
    </row>
    <row r="91" spans="1:18" x14ac:dyDescent="0.25">
      <c r="A91" s="80">
        <v>10</v>
      </c>
      <c r="B91" s="81" t="s">
        <v>89</v>
      </c>
      <c r="C91" s="49">
        <v>8569</v>
      </c>
      <c r="D91" s="49">
        <v>8496</v>
      </c>
      <c r="E91" s="43">
        <f t="shared" si="32"/>
        <v>0.85922787193972283</v>
      </c>
      <c r="F91" s="49">
        <v>8569</v>
      </c>
      <c r="G91" s="49">
        <v>8496</v>
      </c>
      <c r="H91" s="43">
        <f t="shared" si="33"/>
        <v>0.85922787193972283</v>
      </c>
      <c r="I91" s="49">
        <v>8569</v>
      </c>
      <c r="J91" s="49">
        <v>8496</v>
      </c>
      <c r="K91" s="43">
        <f t="shared" si="35"/>
        <v>0.85922787193972283</v>
      </c>
      <c r="L91" s="45">
        <f>2135+1655</f>
        <v>3790</v>
      </c>
      <c r="M91" s="49">
        <v>1931</v>
      </c>
      <c r="N91" s="43">
        <f t="shared" si="36"/>
        <v>96.271361988606941</v>
      </c>
      <c r="O91" s="45"/>
      <c r="P91" s="49"/>
      <c r="Q91" s="45">
        <v>46</v>
      </c>
      <c r="R91" s="44"/>
    </row>
    <row r="92" spans="1:18" x14ac:dyDescent="0.25">
      <c r="A92" s="82">
        <v>11</v>
      </c>
      <c r="B92" s="81" t="s">
        <v>90</v>
      </c>
      <c r="C92" s="80">
        <v>29003</v>
      </c>
      <c r="D92" s="84">
        <v>19630</v>
      </c>
      <c r="E92" s="43">
        <f t="shared" si="32"/>
        <v>47.748344370860934</v>
      </c>
      <c r="F92" s="49">
        <v>29003</v>
      </c>
      <c r="G92" s="49">
        <v>19630</v>
      </c>
      <c r="H92" s="43">
        <f t="shared" si="33"/>
        <v>47.748344370860934</v>
      </c>
      <c r="I92" s="85">
        <v>162580</v>
      </c>
      <c r="J92" s="86">
        <v>230575</v>
      </c>
      <c r="K92" s="43">
        <f t="shared" si="35"/>
        <v>-29.489320177816325</v>
      </c>
      <c r="L92" s="85">
        <v>13646</v>
      </c>
      <c r="M92" s="86">
        <v>47631</v>
      </c>
      <c r="N92" s="43">
        <f t="shared" si="36"/>
        <v>-71.350591001658586</v>
      </c>
      <c r="O92" s="45">
        <v>50</v>
      </c>
      <c r="P92" s="49">
        <v>250</v>
      </c>
      <c r="Q92" s="45">
        <v>49</v>
      </c>
      <c r="R92" s="44">
        <f t="shared" si="34"/>
        <v>12500</v>
      </c>
    </row>
    <row r="93" spans="1:18" x14ac:dyDescent="0.25">
      <c r="A93" s="893" t="s">
        <v>91</v>
      </c>
      <c r="B93" s="894" t="s">
        <v>92</v>
      </c>
      <c r="C93" s="87">
        <f>SUM(C82:C92)</f>
        <v>274632</v>
      </c>
      <c r="D93" s="87">
        <f>SUM(D82:D92)</f>
        <v>310803</v>
      </c>
      <c r="E93" s="57">
        <f t="shared" si="32"/>
        <v>-11.637918552909724</v>
      </c>
      <c r="F93" s="87">
        <f>SUM(F82:F92)</f>
        <v>274632</v>
      </c>
      <c r="G93" s="87">
        <f>SUM(G82:G92)</f>
        <v>310803</v>
      </c>
      <c r="H93" s="57">
        <f t="shared" si="33"/>
        <v>-11.637918552909724</v>
      </c>
      <c r="I93" s="87">
        <f>SUM(I82:I92)</f>
        <v>441159</v>
      </c>
      <c r="J93" s="87">
        <f>SUM(J82:J92)</f>
        <v>572584</v>
      </c>
      <c r="K93" s="57">
        <f t="shared" si="35"/>
        <v>-22.952964106576502</v>
      </c>
      <c r="L93" s="87">
        <f>SUM(L82:L92)</f>
        <v>131209</v>
      </c>
      <c r="M93" s="87">
        <f>SUM(M82:M92)</f>
        <v>187347</v>
      </c>
      <c r="N93" s="57">
        <f t="shared" si="36"/>
        <v>-29.964717876453847</v>
      </c>
      <c r="O93" s="56">
        <f>SUM(O82:O92)</f>
        <v>1235</v>
      </c>
      <c r="P93" s="58">
        <f>R93/O93</f>
        <v>133.56680161943319</v>
      </c>
      <c r="Q93" s="56">
        <f>SUM(Q82:Q92)</f>
        <v>3801</v>
      </c>
      <c r="R93" s="70">
        <f>SUM(R82:R92)</f>
        <v>164955</v>
      </c>
    </row>
    <row r="94" spans="1:18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34"/>
      <c r="L94" s="45"/>
      <c r="M94" s="45"/>
      <c r="N94" s="45"/>
      <c r="O94" s="45"/>
      <c r="P94" s="60"/>
      <c r="Q94" s="45"/>
      <c r="R94" s="39"/>
    </row>
    <row r="95" spans="1:18" x14ac:dyDescent="0.25">
      <c r="A95" s="903" t="s">
        <v>93</v>
      </c>
      <c r="B95" s="904"/>
      <c r="C95" s="37">
        <v>3</v>
      </c>
      <c r="D95" s="37">
        <v>4</v>
      </c>
      <c r="E95" s="38">
        <v>5</v>
      </c>
      <c r="F95" s="37">
        <v>6</v>
      </c>
      <c r="G95" s="37">
        <v>7</v>
      </c>
      <c r="H95" s="37">
        <v>8</v>
      </c>
      <c r="I95" s="37">
        <v>9</v>
      </c>
      <c r="J95" s="37">
        <v>10</v>
      </c>
      <c r="K95" s="37">
        <v>11</v>
      </c>
      <c r="L95" s="37">
        <v>12</v>
      </c>
      <c r="M95" s="37">
        <v>13</v>
      </c>
      <c r="N95" s="37">
        <v>14</v>
      </c>
      <c r="O95" s="37">
        <v>15</v>
      </c>
      <c r="P95" s="38">
        <v>16</v>
      </c>
      <c r="Q95" s="37">
        <v>17</v>
      </c>
      <c r="R95" s="39"/>
    </row>
    <row r="96" spans="1:18" x14ac:dyDescent="0.25">
      <c r="A96" s="88">
        <v>1</v>
      </c>
      <c r="B96" s="83" t="s">
        <v>94</v>
      </c>
      <c r="C96" s="89">
        <v>51716</v>
      </c>
      <c r="D96" s="89">
        <v>0</v>
      </c>
      <c r="E96" s="43" t="e">
        <f t="shared" ref="E96:E122" si="37">C96/D96*100-100</f>
        <v>#DIV/0!</v>
      </c>
      <c r="F96" s="89">
        <v>51716</v>
      </c>
      <c r="G96" s="89">
        <v>0</v>
      </c>
      <c r="H96" s="43" t="e">
        <f t="shared" ref="H96:H122" si="38">F96/G96*100-100</f>
        <v>#DIV/0!</v>
      </c>
      <c r="I96" s="89">
        <v>44683</v>
      </c>
      <c r="J96" s="90">
        <v>18133</v>
      </c>
      <c r="K96" s="54">
        <f t="shared" ref="K96:K122" si="39">I96/J96*100-100</f>
        <v>146.41813268626262</v>
      </c>
      <c r="L96" s="89">
        <v>44683</v>
      </c>
      <c r="M96" s="89">
        <v>18113</v>
      </c>
      <c r="N96" s="43">
        <f t="shared" ref="N96:N122" si="40">L96/M96*100-100</f>
        <v>146.6902224921327</v>
      </c>
      <c r="O96" s="89">
        <v>316</v>
      </c>
      <c r="P96" s="89">
        <v>121</v>
      </c>
      <c r="Q96" s="89">
        <v>282</v>
      </c>
      <c r="R96" s="44">
        <f t="shared" ref="R96:R120" si="41">O96*P96</f>
        <v>38236</v>
      </c>
    </row>
    <row r="97" spans="1:19" x14ac:dyDescent="0.25">
      <c r="A97" s="88">
        <v>2</v>
      </c>
      <c r="B97" s="83" t="s">
        <v>95</v>
      </c>
      <c r="C97" s="42">
        <v>0</v>
      </c>
      <c r="D97" s="42">
        <v>0</v>
      </c>
      <c r="E97" s="43">
        <v>0</v>
      </c>
      <c r="F97" s="42">
        <v>0</v>
      </c>
      <c r="G97" s="42">
        <v>0</v>
      </c>
      <c r="H97" s="43">
        <v>0</v>
      </c>
      <c r="I97" s="42">
        <v>0</v>
      </c>
      <c r="J97" s="42">
        <v>0</v>
      </c>
      <c r="K97" s="43">
        <v>0</v>
      </c>
      <c r="L97" s="42">
        <v>0</v>
      </c>
      <c r="M97" s="42">
        <v>0</v>
      </c>
      <c r="N97" s="43">
        <v>0</v>
      </c>
      <c r="O97" s="89"/>
      <c r="P97" s="89">
        <v>0</v>
      </c>
      <c r="Q97" s="89"/>
      <c r="R97" s="44">
        <f t="shared" si="41"/>
        <v>0</v>
      </c>
    </row>
    <row r="98" spans="1:19" x14ac:dyDescent="0.25">
      <c r="A98" s="88">
        <v>3</v>
      </c>
      <c r="B98" s="81" t="s">
        <v>96</v>
      </c>
      <c r="C98" s="42">
        <v>0</v>
      </c>
      <c r="D98" s="42">
        <v>0</v>
      </c>
      <c r="E98" s="43">
        <v>0</v>
      </c>
      <c r="F98" s="42">
        <v>0</v>
      </c>
      <c r="G98" s="42">
        <v>0</v>
      </c>
      <c r="H98" s="43">
        <v>0</v>
      </c>
      <c r="I98" s="42">
        <v>0</v>
      </c>
      <c r="J98" s="42">
        <v>0</v>
      </c>
      <c r="K98" s="43">
        <v>0</v>
      </c>
      <c r="L98" s="42">
        <v>0</v>
      </c>
      <c r="M98" s="42">
        <v>0</v>
      </c>
      <c r="N98" s="43">
        <v>0</v>
      </c>
      <c r="O98" s="89"/>
      <c r="P98" s="89">
        <v>0</v>
      </c>
      <c r="Q98" s="89"/>
      <c r="R98" s="44">
        <v>0</v>
      </c>
      <c r="S98" s="91"/>
    </row>
    <row r="99" spans="1:19" x14ac:dyDescent="0.25">
      <c r="A99" s="88">
        <v>4</v>
      </c>
      <c r="B99" s="81" t="s">
        <v>97</v>
      </c>
      <c r="C99" s="42">
        <v>2475</v>
      </c>
      <c r="D99" s="42">
        <v>0</v>
      </c>
      <c r="E99" s="43">
        <v>0</v>
      </c>
      <c r="F99" s="42">
        <v>2475</v>
      </c>
      <c r="G99" s="42">
        <v>0</v>
      </c>
      <c r="H99" s="43">
        <v>0</v>
      </c>
      <c r="I99" s="42">
        <v>24</v>
      </c>
      <c r="J99" s="42">
        <v>0</v>
      </c>
      <c r="K99" s="43">
        <v>0</v>
      </c>
      <c r="L99" s="42">
        <v>0</v>
      </c>
      <c r="M99" s="42">
        <v>0</v>
      </c>
      <c r="N99" s="43">
        <v>0</v>
      </c>
      <c r="O99" s="89">
        <v>29</v>
      </c>
      <c r="P99" s="89">
        <v>145</v>
      </c>
      <c r="Q99" s="89">
        <v>31</v>
      </c>
      <c r="R99" s="44">
        <f t="shared" si="41"/>
        <v>4205</v>
      </c>
    </row>
    <row r="100" spans="1:19" x14ac:dyDescent="0.25">
      <c r="A100" s="88">
        <v>5</v>
      </c>
      <c r="B100" s="83" t="s">
        <v>98</v>
      </c>
      <c r="C100" s="89">
        <v>31558</v>
      </c>
      <c r="D100" s="89">
        <v>56009</v>
      </c>
      <c r="E100" s="43">
        <f t="shared" si="37"/>
        <v>-43.655483940081062</v>
      </c>
      <c r="F100" s="89">
        <v>31558</v>
      </c>
      <c r="G100" s="89">
        <v>56009</v>
      </c>
      <c r="H100" s="43">
        <f t="shared" si="38"/>
        <v>-43.655483940081062</v>
      </c>
      <c r="I100" s="89">
        <v>28946</v>
      </c>
      <c r="J100" s="89">
        <v>35620</v>
      </c>
      <c r="K100" s="43">
        <f t="shared" si="39"/>
        <v>-18.736664795058957</v>
      </c>
      <c r="L100" s="89">
        <v>28946</v>
      </c>
      <c r="M100" s="89">
        <v>35620</v>
      </c>
      <c r="N100" s="43">
        <f t="shared" si="40"/>
        <v>-18.736664795058957</v>
      </c>
      <c r="O100" s="89"/>
      <c r="P100" s="89">
        <v>52</v>
      </c>
      <c r="Q100" s="89"/>
      <c r="R100" s="44">
        <f t="shared" si="41"/>
        <v>0</v>
      </c>
    </row>
    <row r="101" spans="1:19" x14ac:dyDescent="0.25">
      <c r="A101" s="88">
        <v>6</v>
      </c>
      <c r="B101" s="83" t="s">
        <v>99</v>
      </c>
      <c r="C101" s="42">
        <v>0</v>
      </c>
      <c r="D101" s="42">
        <v>0</v>
      </c>
      <c r="E101" s="43">
        <v>0</v>
      </c>
      <c r="F101" s="42">
        <v>0</v>
      </c>
      <c r="G101" s="42">
        <v>0</v>
      </c>
      <c r="H101" s="43">
        <v>0</v>
      </c>
      <c r="I101" s="42">
        <v>0</v>
      </c>
      <c r="J101" s="42">
        <v>0</v>
      </c>
      <c r="K101" s="43">
        <v>0</v>
      </c>
      <c r="L101" s="42">
        <v>0</v>
      </c>
      <c r="M101" s="42">
        <v>0</v>
      </c>
      <c r="N101" s="43">
        <v>0</v>
      </c>
      <c r="O101" s="89"/>
      <c r="P101" s="89">
        <v>0</v>
      </c>
      <c r="Q101" s="89"/>
      <c r="R101" s="44">
        <f t="shared" si="41"/>
        <v>0</v>
      </c>
    </row>
    <row r="102" spans="1:19" x14ac:dyDescent="0.25">
      <c r="A102" s="88">
        <v>7</v>
      </c>
      <c r="B102" s="81" t="s">
        <v>100</v>
      </c>
      <c r="C102" s="42">
        <v>0</v>
      </c>
      <c r="D102" s="42">
        <v>0</v>
      </c>
      <c r="E102" s="43">
        <v>0</v>
      </c>
      <c r="F102" s="42">
        <v>0</v>
      </c>
      <c r="G102" s="42">
        <v>0</v>
      </c>
      <c r="H102" s="43">
        <v>0</v>
      </c>
      <c r="I102" s="42">
        <v>0</v>
      </c>
      <c r="J102" s="42">
        <v>0</v>
      </c>
      <c r="K102" s="43">
        <v>0</v>
      </c>
      <c r="L102" s="42">
        <v>0</v>
      </c>
      <c r="M102" s="42">
        <v>0</v>
      </c>
      <c r="N102" s="43">
        <v>0</v>
      </c>
      <c r="O102" s="89"/>
      <c r="P102" s="89">
        <v>0</v>
      </c>
      <c r="Q102" s="89"/>
      <c r="R102" s="44">
        <f t="shared" si="41"/>
        <v>0</v>
      </c>
    </row>
    <row r="103" spans="1:19" x14ac:dyDescent="0.25">
      <c r="A103" s="88">
        <v>8</v>
      </c>
      <c r="B103" s="83" t="s">
        <v>101</v>
      </c>
      <c r="C103" s="49">
        <v>10290</v>
      </c>
      <c r="D103" s="49">
        <v>24855</v>
      </c>
      <c r="E103" s="43">
        <f t="shared" si="37"/>
        <v>-58.599879299939651</v>
      </c>
      <c r="F103" s="49">
        <v>10290</v>
      </c>
      <c r="G103" s="49">
        <v>24855</v>
      </c>
      <c r="H103" s="43">
        <f t="shared" si="38"/>
        <v>-58.599879299939651</v>
      </c>
      <c r="I103" s="49">
        <v>13864</v>
      </c>
      <c r="J103" s="49">
        <v>7880</v>
      </c>
      <c r="K103" s="43">
        <f t="shared" si="39"/>
        <v>75.939086294416228</v>
      </c>
      <c r="L103" s="49">
        <v>0</v>
      </c>
      <c r="M103" s="49">
        <v>0</v>
      </c>
      <c r="N103" s="54" t="e">
        <f t="shared" si="40"/>
        <v>#DIV/0!</v>
      </c>
      <c r="O103" s="89">
        <v>114</v>
      </c>
      <c r="P103" s="89">
        <v>74</v>
      </c>
      <c r="Q103" s="89">
        <v>120</v>
      </c>
      <c r="R103" s="44">
        <f t="shared" si="41"/>
        <v>8436</v>
      </c>
    </row>
    <row r="104" spans="1:19" x14ac:dyDescent="0.25">
      <c r="A104" s="88">
        <v>9</v>
      </c>
      <c r="B104" s="83" t="s">
        <v>102</v>
      </c>
      <c r="C104" s="42">
        <v>0</v>
      </c>
      <c r="D104" s="42">
        <v>0</v>
      </c>
      <c r="E104" s="43">
        <v>0</v>
      </c>
      <c r="F104" s="42">
        <v>0</v>
      </c>
      <c r="G104" s="42">
        <v>0</v>
      </c>
      <c r="H104" s="43">
        <v>0</v>
      </c>
      <c r="I104" s="42">
        <v>0</v>
      </c>
      <c r="J104" s="42">
        <v>0</v>
      </c>
      <c r="K104" s="43">
        <v>0</v>
      </c>
      <c r="L104" s="42">
        <v>0</v>
      </c>
      <c r="M104" s="42">
        <v>0</v>
      </c>
      <c r="N104" s="43">
        <v>0</v>
      </c>
      <c r="O104" s="89"/>
      <c r="P104" s="89">
        <v>0</v>
      </c>
      <c r="Q104" s="89"/>
      <c r="R104" s="44">
        <f t="shared" si="41"/>
        <v>0</v>
      </c>
    </row>
    <row r="105" spans="1:19" x14ac:dyDescent="0.25">
      <c r="A105" s="88">
        <v>10</v>
      </c>
      <c r="B105" s="81" t="s">
        <v>103</v>
      </c>
      <c r="C105" s="45">
        <v>0</v>
      </c>
      <c r="D105" s="45">
        <v>24222</v>
      </c>
      <c r="E105" s="43">
        <f t="shared" si="37"/>
        <v>-100</v>
      </c>
      <c r="F105" s="45">
        <v>0</v>
      </c>
      <c r="G105" s="45">
        <v>24222</v>
      </c>
      <c r="H105" s="43">
        <v>0</v>
      </c>
      <c r="I105" s="45">
        <v>0</v>
      </c>
      <c r="J105" s="45">
        <v>24222</v>
      </c>
      <c r="K105" s="43">
        <f t="shared" si="39"/>
        <v>-100</v>
      </c>
      <c r="L105" s="45">
        <v>0</v>
      </c>
      <c r="M105" s="45">
        <v>24222</v>
      </c>
      <c r="N105" s="43">
        <f t="shared" si="40"/>
        <v>-100</v>
      </c>
      <c r="O105" s="89">
        <v>83</v>
      </c>
      <c r="P105" s="89">
        <v>64</v>
      </c>
      <c r="Q105" s="89">
        <v>92</v>
      </c>
      <c r="R105" s="44">
        <f t="shared" si="41"/>
        <v>5312</v>
      </c>
    </row>
    <row r="106" spans="1:19" x14ac:dyDescent="0.25">
      <c r="A106" s="88">
        <v>11</v>
      </c>
      <c r="B106" s="83" t="s">
        <v>104</v>
      </c>
      <c r="C106" s="42">
        <v>0</v>
      </c>
      <c r="D106" s="42">
        <v>0</v>
      </c>
      <c r="E106" s="43">
        <v>0</v>
      </c>
      <c r="F106" s="42">
        <v>0</v>
      </c>
      <c r="G106" s="42">
        <v>0</v>
      </c>
      <c r="H106" s="43">
        <v>0</v>
      </c>
      <c r="I106" s="42">
        <v>0</v>
      </c>
      <c r="J106" s="42">
        <v>0</v>
      </c>
      <c r="K106" s="43">
        <v>0</v>
      </c>
      <c r="L106" s="42">
        <v>0</v>
      </c>
      <c r="M106" s="42">
        <v>0</v>
      </c>
      <c r="N106" s="43">
        <v>0</v>
      </c>
      <c r="O106" s="89"/>
      <c r="P106" s="89">
        <v>0</v>
      </c>
      <c r="Q106" s="89"/>
      <c r="R106" s="44">
        <f t="shared" si="41"/>
        <v>0</v>
      </c>
    </row>
    <row r="107" spans="1:19" x14ac:dyDescent="0.25">
      <c r="A107" s="88">
        <v>12</v>
      </c>
      <c r="B107" s="83" t="s">
        <v>105</v>
      </c>
      <c r="C107" s="90">
        <v>0</v>
      </c>
      <c r="D107" s="89">
        <v>0</v>
      </c>
      <c r="E107" s="43" t="e">
        <f t="shared" si="37"/>
        <v>#DIV/0!</v>
      </c>
      <c r="F107" s="90">
        <v>0</v>
      </c>
      <c r="G107" s="89">
        <v>0</v>
      </c>
      <c r="H107" s="43" t="e">
        <f t="shared" si="38"/>
        <v>#DIV/0!</v>
      </c>
      <c r="I107" s="90">
        <v>0</v>
      </c>
      <c r="J107" s="90">
        <v>0</v>
      </c>
      <c r="K107" s="43" t="e">
        <f t="shared" si="39"/>
        <v>#DIV/0!</v>
      </c>
      <c r="L107" s="89">
        <v>0</v>
      </c>
      <c r="M107" s="89">
        <v>0</v>
      </c>
      <c r="N107" s="43">
        <v>0</v>
      </c>
      <c r="O107" s="89"/>
      <c r="P107" s="89">
        <v>58</v>
      </c>
      <c r="Q107" s="89">
        <v>8</v>
      </c>
      <c r="R107" s="44">
        <f t="shared" si="41"/>
        <v>0</v>
      </c>
    </row>
    <row r="108" spans="1:19" x14ac:dyDescent="0.25">
      <c r="A108" s="88">
        <v>13</v>
      </c>
      <c r="B108" s="83" t="s">
        <v>106</v>
      </c>
      <c r="C108" s="90">
        <v>5202</v>
      </c>
      <c r="D108" s="90">
        <v>0</v>
      </c>
      <c r="E108" s="92" t="e">
        <f t="shared" si="37"/>
        <v>#DIV/0!</v>
      </c>
      <c r="F108" s="90">
        <v>5202</v>
      </c>
      <c r="G108" s="90">
        <v>0</v>
      </c>
      <c r="H108" s="90" t="e">
        <f t="shared" si="38"/>
        <v>#DIV/0!</v>
      </c>
      <c r="I108" s="90">
        <v>11800</v>
      </c>
      <c r="J108" s="90">
        <v>812</v>
      </c>
      <c r="K108" s="92">
        <f t="shared" si="39"/>
        <v>1353.2019704433499</v>
      </c>
      <c r="L108" s="90">
        <v>11539</v>
      </c>
      <c r="M108" s="90">
        <v>0</v>
      </c>
      <c r="N108" s="92" t="e">
        <f t="shared" ref="N108" si="42">L108/M108*100-100</f>
        <v>#DIV/0!</v>
      </c>
      <c r="O108" s="90">
        <v>67</v>
      </c>
      <c r="P108" s="90">
        <v>65</v>
      </c>
      <c r="Q108" s="90">
        <v>75</v>
      </c>
      <c r="R108" s="44">
        <f t="shared" si="41"/>
        <v>4355</v>
      </c>
    </row>
    <row r="109" spans="1:19" x14ac:dyDescent="0.25">
      <c r="A109" s="88">
        <v>14</v>
      </c>
      <c r="B109" s="83" t="s">
        <v>107</v>
      </c>
      <c r="C109" s="42">
        <v>0</v>
      </c>
      <c r="D109" s="42">
        <v>0</v>
      </c>
      <c r="E109" s="43">
        <v>0</v>
      </c>
      <c r="F109" s="42">
        <v>0</v>
      </c>
      <c r="G109" s="42">
        <v>0</v>
      </c>
      <c r="H109" s="43">
        <v>0</v>
      </c>
      <c r="I109" s="42">
        <v>0</v>
      </c>
      <c r="J109" s="42">
        <v>0</v>
      </c>
      <c r="K109" s="43">
        <v>0</v>
      </c>
      <c r="L109" s="42">
        <v>0</v>
      </c>
      <c r="M109" s="42">
        <v>0</v>
      </c>
      <c r="N109" s="43">
        <v>0</v>
      </c>
      <c r="O109" s="89"/>
      <c r="P109" s="89">
        <v>0</v>
      </c>
      <c r="Q109" s="89"/>
      <c r="R109" s="44">
        <f t="shared" si="41"/>
        <v>0</v>
      </c>
    </row>
    <row r="110" spans="1:19" x14ac:dyDescent="0.25">
      <c r="A110" s="88">
        <v>15</v>
      </c>
      <c r="B110" s="83" t="s">
        <v>108</v>
      </c>
      <c r="C110" s="49">
        <v>13517</v>
      </c>
      <c r="D110" s="49">
        <v>15305</v>
      </c>
      <c r="E110" s="43">
        <f t="shared" si="37"/>
        <v>-11.682456713492314</v>
      </c>
      <c r="F110" s="49">
        <v>13517</v>
      </c>
      <c r="G110" s="49">
        <v>15305</v>
      </c>
      <c r="H110" s="43">
        <f t="shared" si="38"/>
        <v>-11.682456713492314</v>
      </c>
      <c r="I110" s="49">
        <v>13517</v>
      </c>
      <c r="J110" s="49">
        <v>15305</v>
      </c>
      <c r="K110" s="43">
        <v>0</v>
      </c>
      <c r="L110" s="49">
        <v>13517</v>
      </c>
      <c r="M110" s="49">
        <v>15305</v>
      </c>
      <c r="N110" s="43">
        <f t="shared" si="40"/>
        <v>-11.682456713492314</v>
      </c>
      <c r="O110" s="89">
        <v>86</v>
      </c>
      <c r="P110" s="89">
        <v>85</v>
      </c>
      <c r="Q110" s="89">
        <v>90</v>
      </c>
      <c r="R110" s="44">
        <f t="shared" si="41"/>
        <v>7310</v>
      </c>
    </row>
    <row r="111" spans="1:19" x14ac:dyDescent="0.25">
      <c r="A111" s="88">
        <v>16</v>
      </c>
      <c r="B111" s="83" t="s">
        <v>109</v>
      </c>
      <c r="C111" s="49">
        <v>3850</v>
      </c>
      <c r="D111" s="49">
        <v>80</v>
      </c>
      <c r="E111" s="43">
        <f t="shared" si="37"/>
        <v>4712.5</v>
      </c>
      <c r="F111" s="49">
        <v>3850</v>
      </c>
      <c r="G111" s="49">
        <v>80</v>
      </c>
      <c r="H111" s="43">
        <f t="shared" si="38"/>
        <v>4712.5</v>
      </c>
      <c r="I111" s="49">
        <v>3834</v>
      </c>
      <c r="J111" s="49">
        <v>80</v>
      </c>
      <c r="K111" s="43">
        <f t="shared" si="39"/>
        <v>4692.5</v>
      </c>
      <c r="L111" s="49">
        <v>0</v>
      </c>
      <c r="M111" s="49">
        <v>0</v>
      </c>
      <c r="N111" s="43">
        <v>0</v>
      </c>
      <c r="O111" s="89">
        <v>64</v>
      </c>
      <c r="P111" s="89">
        <v>45</v>
      </c>
      <c r="Q111" s="89">
        <v>96</v>
      </c>
      <c r="R111" s="44">
        <f t="shared" si="41"/>
        <v>2880</v>
      </c>
    </row>
    <row r="112" spans="1:19" x14ac:dyDescent="0.25">
      <c r="A112" s="88">
        <v>17</v>
      </c>
      <c r="B112" s="83" t="s">
        <v>110</v>
      </c>
      <c r="C112" s="90">
        <v>41204</v>
      </c>
      <c r="D112" s="89">
        <v>42833</v>
      </c>
      <c r="E112" s="43">
        <f t="shared" si="37"/>
        <v>-3.8031424369061284</v>
      </c>
      <c r="F112" s="90">
        <v>41204</v>
      </c>
      <c r="G112" s="90">
        <v>42833</v>
      </c>
      <c r="H112" s="43">
        <f t="shared" si="38"/>
        <v>-3.8031424369061284</v>
      </c>
      <c r="I112" s="90">
        <v>27553</v>
      </c>
      <c r="J112" s="90">
        <v>2249</v>
      </c>
      <c r="K112" s="43">
        <f t="shared" si="39"/>
        <v>1125.1222765673633</v>
      </c>
      <c r="L112" s="89">
        <v>0</v>
      </c>
      <c r="M112" s="89">
        <v>0</v>
      </c>
      <c r="N112" s="90">
        <v>0</v>
      </c>
      <c r="O112" s="89"/>
      <c r="P112" s="89">
        <v>60</v>
      </c>
      <c r="Q112" s="89">
        <v>168</v>
      </c>
      <c r="R112" s="44">
        <f t="shared" si="41"/>
        <v>0</v>
      </c>
    </row>
    <row r="113" spans="1:18" x14ac:dyDescent="0.25">
      <c r="A113" s="88">
        <v>18</v>
      </c>
      <c r="B113" s="81" t="s">
        <v>111</v>
      </c>
      <c r="C113" s="49">
        <v>123592</v>
      </c>
      <c r="D113" s="49">
        <v>0</v>
      </c>
      <c r="E113" s="43" t="e">
        <f t="shared" si="37"/>
        <v>#DIV/0!</v>
      </c>
      <c r="F113" s="49">
        <v>123592</v>
      </c>
      <c r="G113" s="49">
        <v>0</v>
      </c>
      <c r="H113" s="43">
        <v>0</v>
      </c>
      <c r="I113" s="49">
        <v>123592</v>
      </c>
      <c r="J113" s="49">
        <v>0</v>
      </c>
      <c r="K113" s="43" t="e">
        <f t="shared" si="39"/>
        <v>#DIV/0!</v>
      </c>
      <c r="L113" s="49">
        <v>123592</v>
      </c>
      <c r="M113" s="49">
        <v>0</v>
      </c>
      <c r="N113" s="43" t="e">
        <f t="shared" si="40"/>
        <v>#DIV/0!</v>
      </c>
      <c r="O113" s="89"/>
      <c r="P113" s="89">
        <v>75</v>
      </c>
      <c r="Q113" s="89">
        <v>7</v>
      </c>
      <c r="R113" s="44">
        <f t="shared" si="41"/>
        <v>0</v>
      </c>
    </row>
    <row r="114" spans="1:18" x14ac:dyDescent="0.25">
      <c r="A114" s="88">
        <v>19</v>
      </c>
      <c r="B114" s="83" t="s">
        <v>112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3">
        <v>0</v>
      </c>
      <c r="I114" s="42">
        <v>0</v>
      </c>
      <c r="J114" s="42">
        <v>0</v>
      </c>
      <c r="K114" s="43">
        <v>0</v>
      </c>
      <c r="L114" s="42">
        <v>0</v>
      </c>
      <c r="M114" s="42">
        <v>0</v>
      </c>
      <c r="N114" s="43">
        <v>0</v>
      </c>
      <c r="O114" s="90"/>
      <c r="P114" s="90">
        <v>0</v>
      </c>
      <c r="Q114" s="90"/>
      <c r="R114" s="44">
        <f t="shared" si="41"/>
        <v>0</v>
      </c>
    </row>
    <row r="115" spans="1:18" x14ac:dyDescent="0.25">
      <c r="A115" s="88">
        <v>20</v>
      </c>
      <c r="B115" s="83" t="s">
        <v>113</v>
      </c>
      <c r="C115" s="42">
        <v>0</v>
      </c>
      <c r="D115" s="42">
        <v>0</v>
      </c>
      <c r="E115" s="43">
        <v>0</v>
      </c>
      <c r="F115" s="42">
        <v>0</v>
      </c>
      <c r="G115" s="42">
        <v>0</v>
      </c>
      <c r="H115" s="43">
        <v>0</v>
      </c>
      <c r="I115" s="42">
        <v>0</v>
      </c>
      <c r="J115" s="42">
        <v>0</v>
      </c>
      <c r="K115" s="43">
        <v>0</v>
      </c>
      <c r="L115" s="42">
        <v>0</v>
      </c>
      <c r="M115" s="42">
        <v>0</v>
      </c>
      <c r="N115" s="43">
        <v>0</v>
      </c>
      <c r="O115" s="90"/>
      <c r="P115" s="90">
        <v>0</v>
      </c>
      <c r="Q115" s="90"/>
      <c r="R115" s="44">
        <f t="shared" si="41"/>
        <v>0</v>
      </c>
    </row>
    <row r="116" spans="1:18" x14ac:dyDescent="0.25">
      <c r="A116" s="88">
        <v>21</v>
      </c>
      <c r="B116" s="83" t="s">
        <v>114</v>
      </c>
      <c r="C116" s="89">
        <v>4587</v>
      </c>
      <c r="D116" s="89">
        <v>4023</v>
      </c>
      <c r="E116" s="43">
        <f t="shared" si="37"/>
        <v>14.019388516032819</v>
      </c>
      <c r="F116" s="89">
        <v>4587</v>
      </c>
      <c r="G116" s="89">
        <v>4023</v>
      </c>
      <c r="H116" s="43">
        <f t="shared" si="38"/>
        <v>14.019388516032819</v>
      </c>
      <c r="I116" s="89">
        <v>4587</v>
      </c>
      <c r="J116" s="89">
        <v>4023</v>
      </c>
      <c r="K116" s="43">
        <f t="shared" si="39"/>
        <v>14.019388516032819</v>
      </c>
      <c r="L116" s="89">
        <v>4587</v>
      </c>
      <c r="M116" s="89">
        <v>3169</v>
      </c>
      <c r="N116" s="43">
        <f t="shared" si="40"/>
        <v>44.745976648785103</v>
      </c>
      <c r="O116" s="90">
        <v>16</v>
      </c>
      <c r="P116" s="90">
        <v>60</v>
      </c>
      <c r="Q116" s="90"/>
      <c r="R116" s="44">
        <f t="shared" si="41"/>
        <v>960</v>
      </c>
    </row>
    <row r="117" spans="1:18" x14ac:dyDescent="0.25">
      <c r="A117" s="88">
        <v>22</v>
      </c>
      <c r="B117" s="81" t="s">
        <v>115</v>
      </c>
      <c r="C117" s="90">
        <v>0</v>
      </c>
      <c r="D117" s="90">
        <v>0</v>
      </c>
      <c r="E117" s="43" t="e">
        <f t="shared" si="37"/>
        <v>#DIV/0!</v>
      </c>
      <c r="F117" s="90">
        <v>0</v>
      </c>
      <c r="G117" s="90">
        <v>0</v>
      </c>
      <c r="H117" s="43" t="e">
        <f t="shared" si="38"/>
        <v>#DIV/0!</v>
      </c>
      <c r="I117" s="90">
        <v>2187</v>
      </c>
      <c r="J117" s="90">
        <v>2369</v>
      </c>
      <c r="K117" s="43">
        <f t="shared" si="39"/>
        <v>-7.6825664837484169</v>
      </c>
      <c r="L117" s="89">
        <v>0</v>
      </c>
      <c r="M117" s="90">
        <v>0</v>
      </c>
      <c r="N117" s="43">
        <v>0</v>
      </c>
      <c r="O117" s="90"/>
      <c r="P117" s="90">
        <v>93</v>
      </c>
      <c r="Q117" s="90">
        <v>13</v>
      </c>
      <c r="R117" s="44">
        <f t="shared" si="41"/>
        <v>0</v>
      </c>
    </row>
    <row r="118" spans="1:18" x14ac:dyDescent="0.25">
      <c r="A118" s="88">
        <v>23</v>
      </c>
      <c r="B118" s="81" t="s">
        <v>116</v>
      </c>
      <c r="C118" s="90">
        <v>4210</v>
      </c>
      <c r="D118" s="89">
        <v>6987</v>
      </c>
      <c r="E118" s="43">
        <f t="shared" si="37"/>
        <v>-39.745241162158294</v>
      </c>
      <c r="F118" s="90">
        <v>4210</v>
      </c>
      <c r="G118" s="90">
        <v>6987</v>
      </c>
      <c r="H118" s="43">
        <f t="shared" si="38"/>
        <v>-39.745241162158294</v>
      </c>
      <c r="I118" s="90">
        <v>4576</v>
      </c>
      <c r="J118" s="90">
        <v>7273</v>
      </c>
      <c r="K118" s="43">
        <v>0</v>
      </c>
      <c r="L118" s="89">
        <v>0</v>
      </c>
      <c r="M118" s="89">
        <v>0</v>
      </c>
      <c r="N118" s="43">
        <v>0</v>
      </c>
      <c r="O118" s="90">
        <v>12</v>
      </c>
      <c r="P118" s="90">
        <v>70</v>
      </c>
      <c r="Q118" s="90">
        <v>37</v>
      </c>
      <c r="R118" s="44">
        <f t="shared" si="41"/>
        <v>840</v>
      </c>
    </row>
    <row r="119" spans="1:18" x14ac:dyDescent="0.25">
      <c r="A119" s="88">
        <v>24</v>
      </c>
      <c r="B119" s="83" t="s">
        <v>117</v>
      </c>
      <c r="C119" s="89">
        <v>12078</v>
      </c>
      <c r="D119" s="89">
        <v>4885</v>
      </c>
      <c r="E119" s="43">
        <f t="shared" si="37"/>
        <v>147.24667349027635</v>
      </c>
      <c r="F119" s="89">
        <v>12078</v>
      </c>
      <c r="G119" s="90">
        <v>4885</v>
      </c>
      <c r="H119" s="43">
        <f t="shared" si="38"/>
        <v>147.24667349027635</v>
      </c>
      <c r="I119" s="89">
        <v>4356</v>
      </c>
      <c r="J119" s="89">
        <v>13504</v>
      </c>
      <c r="K119" s="43">
        <f t="shared" si="39"/>
        <v>-67.742890995260666</v>
      </c>
      <c r="L119" s="93">
        <v>0</v>
      </c>
      <c r="M119" s="89">
        <v>0</v>
      </c>
      <c r="N119" s="43">
        <v>0</v>
      </c>
      <c r="O119" s="90">
        <v>48</v>
      </c>
      <c r="P119" s="90">
        <v>58</v>
      </c>
      <c r="Q119" s="90">
        <v>50</v>
      </c>
      <c r="R119" s="44">
        <f t="shared" si="41"/>
        <v>2784</v>
      </c>
    </row>
    <row r="120" spans="1:18" x14ac:dyDescent="0.25">
      <c r="A120" s="88">
        <v>25</v>
      </c>
      <c r="B120" s="83" t="s">
        <v>118</v>
      </c>
      <c r="C120" s="89">
        <v>1536</v>
      </c>
      <c r="D120" s="89">
        <v>991</v>
      </c>
      <c r="E120" s="43">
        <f t="shared" si="37"/>
        <v>54.994954591321886</v>
      </c>
      <c r="F120" s="89">
        <v>1536</v>
      </c>
      <c r="G120" s="89">
        <v>991</v>
      </c>
      <c r="H120" s="43">
        <f t="shared" si="38"/>
        <v>54.994954591321886</v>
      </c>
      <c r="I120" s="89">
        <v>1441</v>
      </c>
      <c r="J120" s="89">
        <v>991</v>
      </c>
      <c r="K120" s="43">
        <f t="shared" si="39"/>
        <v>45.408678102926359</v>
      </c>
      <c r="L120" s="89">
        <v>0</v>
      </c>
      <c r="M120" s="89">
        <v>0</v>
      </c>
      <c r="N120" s="43">
        <v>0</v>
      </c>
      <c r="O120" s="90">
        <v>23</v>
      </c>
      <c r="P120" s="90">
        <v>55</v>
      </c>
      <c r="Q120" s="90">
        <v>23</v>
      </c>
      <c r="R120" s="44">
        <f t="shared" si="41"/>
        <v>1265</v>
      </c>
    </row>
    <row r="121" spans="1:18" x14ac:dyDescent="0.25">
      <c r="A121" s="88">
        <v>27</v>
      </c>
      <c r="B121" s="182" t="s">
        <v>238</v>
      </c>
      <c r="C121" s="89">
        <v>4494</v>
      </c>
      <c r="D121" s="89">
        <v>1833</v>
      </c>
      <c r="E121" s="43">
        <f t="shared" si="37"/>
        <v>145.17184942716858</v>
      </c>
      <c r="F121" s="89">
        <v>4494</v>
      </c>
      <c r="G121" s="89">
        <v>1833</v>
      </c>
      <c r="H121" s="43">
        <f t="shared" si="38"/>
        <v>145.17184942716858</v>
      </c>
      <c r="I121" s="89">
        <v>4494</v>
      </c>
      <c r="J121" s="89">
        <v>1833</v>
      </c>
      <c r="K121" s="43">
        <f t="shared" si="39"/>
        <v>145.17184942716858</v>
      </c>
      <c r="L121" s="89">
        <v>0</v>
      </c>
      <c r="M121" s="89">
        <v>0</v>
      </c>
      <c r="N121" s="43">
        <v>0</v>
      </c>
      <c r="O121" s="90">
        <v>34</v>
      </c>
      <c r="P121" s="90"/>
      <c r="Q121" s="90"/>
      <c r="R121" s="44"/>
    </row>
    <row r="122" spans="1:18" x14ac:dyDescent="0.25">
      <c r="A122" s="893" t="s">
        <v>119</v>
      </c>
      <c r="B122" s="894" t="s">
        <v>119</v>
      </c>
      <c r="C122" s="56">
        <f>SUM(C96:C120)</f>
        <v>305815</v>
      </c>
      <c r="D122" s="56">
        <f>SUM(D96:D120)</f>
        <v>180190</v>
      </c>
      <c r="E122" s="57">
        <f t="shared" si="37"/>
        <v>69.718075364892599</v>
      </c>
      <c r="F122" s="56">
        <f>SUM(F96:F120)</f>
        <v>305815</v>
      </c>
      <c r="G122" s="56">
        <f>SUM(G96:G120)</f>
        <v>180190</v>
      </c>
      <c r="H122" s="57">
        <f t="shared" si="38"/>
        <v>69.718075364892599</v>
      </c>
      <c r="I122" s="56">
        <f>SUM(I96:I120)</f>
        <v>284960</v>
      </c>
      <c r="J122" s="56">
        <f>SUM(J96:J120)</f>
        <v>132461</v>
      </c>
      <c r="K122" s="57">
        <f t="shared" si="39"/>
        <v>115.12747148217213</v>
      </c>
      <c r="L122" s="56">
        <f>SUM(L96:L120)</f>
        <v>226864</v>
      </c>
      <c r="M122" s="56">
        <f>SUM(M96:M120)</f>
        <v>96429</v>
      </c>
      <c r="N122" s="57">
        <f t="shared" si="40"/>
        <v>135.26532474670483</v>
      </c>
      <c r="O122" s="56">
        <f>SUM(O96:O120)</f>
        <v>858</v>
      </c>
      <c r="P122" s="58">
        <f>R122/O122</f>
        <v>89.257575757575751</v>
      </c>
      <c r="Q122" s="56">
        <f>SUM(Q96:Q120)</f>
        <v>1092</v>
      </c>
      <c r="R122" s="70">
        <f>SUM(R96:R120)</f>
        <v>76583</v>
      </c>
    </row>
    <row r="123" spans="1:18" x14ac:dyDescent="0.25">
      <c r="A123" s="94"/>
      <c r="B123" s="94"/>
      <c r="C123" s="95"/>
      <c r="D123" s="95"/>
      <c r="E123" s="96"/>
      <c r="F123" s="95"/>
      <c r="G123" s="95"/>
      <c r="H123" s="96"/>
      <c r="I123" s="95"/>
      <c r="J123" s="95"/>
      <c r="K123" s="96"/>
      <c r="L123" s="95"/>
      <c r="M123" s="95"/>
      <c r="N123" s="96"/>
      <c r="O123" s="95"/>
      <c r="P123" s="96"/>
      <c r="Q123" s="95"/>
      <c r="R123" s="44">
        <f t="shared" ref="R123:R131" si="43">O123*P123</f>
        <v>0</v>
      </c>
    </row>
    <row r="124" spans="1:18" x14ac:dyDescent="0.25">
      <c r="A124" s="37"/>
      <c r="B124" s="37" t="s">
        <v>120</v>
      </c>
      <c r="C124" s="37">
        <v>3</v>
      </c>
      <c r="D124" s="37">
        <v>4</v>
      </c>
      <c r="E124" s="38">
        <v>5</v>
      </c>
      <c r="F124" s="37">
        <v>6</v>
      </c>
      <c r="G124" s="37">
        <v>7</v>
      </c>
      <c r="H124" s="37">
        <v>8</v>
      </c>
      <c r="I124" s="37">
        <v>9</v>
      </c>
      <c r="J124" s="37">
        <v>10</v>
      </c>
      <c r="K124" s="37">
        <v>11</v>
      </c>
      <c r="L124" s="37">
        <v>12</v>
      </c>
      <c r="M124" s="37">
        <v>13</v>
      </c>
      <c r="N124" s="37">
        <v>14</v>
      </c>
      <c r="O124" s="37">
        <v>15</v>
      </c>
      <c r="P124" s="38">
        <v>16</v>
      </c>
      <c r="Q124" s="37">
        <v>17</v>
      </c>
      <c r="R124" s="44">
        <f t="shared" si="43"/>
        <v>240</v>
      </c>
    </row>
    <row r="125" spans="1:18" x14ac:dyDescent="0.25">
      <c r="A125" s="50"/>
      <c r="B125" s="97"/>
      <c r="C125" s="42"/>
      <c r="D125" s="42"/>
      <c r="E125" s="43"/>
      <c r="F125" s="42"/>
      <c r="G125" s="42"/>
      <c r="H125" s="43"/>
      <c r="I125" s="42"/>
      <c r="J125" s="42"/>
      <c r="K125" s="43"/>
      <c r="L125" s="42"/>
      <c r="M125" s="42"/>
      <c r="N125" s="43"/>
      <c r="O125" s="45"/>
      <c r="P125" s="46"/>
      <c r="Q125" s="45"/>
      <c r="R125" s="44">
        <f t="shared" si="43"/>
        <v>0</v>
      </c>
    </row>
    <row r="126" spans="1:18" x14ac:dyDescent="0.25">
      <c r="A126" s="50">
        <v>1</v>
      </c>
      <c r="B126" s="97" t="s">
        <v>121</v>
      </c>
      <c r="C126" s="45">
        <v>9321</v>
      </c>
      <c r="D126" s="45">
        <v>1705</v>
      </c>
      <c r="E126" s="43">
        <f t="shared" ref="E126:E132" si="44">C126/D126*100-100</f>
        <v>446.6862170087976</v>
      </c>
      <c r="F126" s="45">
        <v>9321</v>
      </c>
      <c r="G126" s="45">
        <v>1705</v>
      </c>
      <c r="H126" s="43">
        <f t="shared" ref="H126:H132" si="45">F126/G126*100-100</f>
        <v>446.6862170087976</v>
      </c>
      <c r="I126" s="45">
        <v>94</v>
      </c>
      <c r="J126" s="45">
        <v>5420</v>
      </c>
      <c r="K126" s="43">
        <f t="shared" ref="K126:K132" si="46">I126/J126*100-100</f>
        <v>-98.26568265682657</v>
      </c>
      <c r="L126" s="45">
        <v>0</v>
      </c>
      <c r="M126" s="45">
        <v>0</v>
      </c>
      <c r="N126" s="34">
        <v>0</v>
      </c>
      <c r="O126" s="60">
        <v>74</v>
      </c>
      <c r="P126" s="46">
        <v>80</v>
      </c>
      <c r="Q126" s="60">
        <v>74</v>
      </c>
      <c r="R126" s="44">
        <f t="shared" si="43"/>
        <v>5920</v>
      </c>
    </row>
    <row r="127" spans="1:18" x14ac:dyDescent="0.25">
      <c r="A127" s="50">
        <v>2</v>
      </c>
      <c r="B127" s="97" t="s">
        <v>122</v>
      </c>
      <c r="C127" s="42">
        <v>0</v>
      </c>
      <c r="D127" s="42">
        <v>0</v>
      </c>
      <c r="E127" s="43">
        <v>0</v>
      </c>
      <c r="F127" s="42">
        <v>0</v>
      </c>
      <c r="G127" s="42">
        <v>0</v>
      </c>
      <c r="H127" s="43">
        <v>0</v>
      </c>
      <c r="I127" s="42">
        <v>0</v>
      </c>
      <c r="J127" s="42">
        <v>0</v>
      </c>
      <c r="K127" s="43">
        <v>0</v>
      </c>
      <c r="L127" s="42">
        <v>0</v>
      </c>
      <c r="M127" s="42">
        <v>0</v>
      </c>
      <c r="N127" s="43">
        <v>0</v>
      </c>
      <c r="O127" s="45"/>
      <c r="P127" s="46">
        <v>0</v>
      </c>
      <c r="Q127" s="45"/>
      <c r="R127" s="44">
        <f t="shared" si="43"/>
        <v>0</v>
      </c>
    </row>
    <row r="128" spans="1:18" x14ac:dyDescent="0.25">
      <c r="A128" s="50">
        <v>3</v>
      </c>
      <c r="B128" s="97" t="s">
        <v>123</v>
      </c>
      <c r="C128" s="42">
        <v>0</v>
      </c>
      <c r="D128" s="42">
        <v>0</v>
      </c>
      <c r="E128" s="43">
        <v>0</v>
      </c>
      <c r="F128" s="42">
        <v>0</v>
      </c>
      <c r="G128" s="42">
        <v>0</v>
      </c>
      <c r="H128" s="43">
        <v>0</v>
      </c>
      <c r="I128" s="42">
        <v>0</v>
      </c>
      <c r="J128" s="42">
        <v>0</v>
      </c>
      <c r="K128" s="43">
        <v>0</v>
      </c>
      <c r="L128" s="42">
        <v>0</v>
      </c>
      <c r="M128" s="42">
        <v>0</v>
      </c>
      <c r="N128" s="43">
        <v>0</v>
      </c>
      <c r="O128" s="45"/>
      <c r="P128" s="46">
        <v>0</v>
      </c>
      <c r="Q128" s="45"/>
      <c r="R128" s="44">
        <f t="shared" si="43"/>
        <v>0</v>
      </c>
    </row>
    <row r="129" spans="1:18" x14ac:dyDescent="0.25">
      <c r="A129" s="50">
        <v>4</v>
      </c>
      <c r="B129" s="98" t="s">
        <v>124</v>
      </c>
      <c r="C129" s="90">
        <v>0</v>
      </c>
      <c r="D129" s="90">
        <v>0</v>
      </c>
      <c r="E129" s="43">
        <v>0</v>
      </c>
      <c r="F129" s="90">
        <v>0</v>
      </c>
      <c r="G129" s="90">
        <v>0</v>
      </c>
      <c r="H129" s="43">
        <v>0</v>
      </c>
      <c r="I129" s="90">
        <v>441</v>
      </c>
      <c r="J129" s="90">
        <v>0</v>
      </c>
      <c r="K129" s="43">
        <v>0</v>
      </c>
      <c r="L129" s="90">
        <v>0</v>
      </c>
      <c r="M129" s="90">
        <v>0</v>
      </c>
      <c r="N129" s="90">
        <v>0</v>
      </c>
      <c r="O129" s="60">
        <v>8</v>
      </c>
      <c r="P129" s="99">
        <v>70</v>
      </c>
      <c r="Q129" s="60">
        <v>8</v>
      </c>
      <c r="R129" s="44">
        <f t="shared" si="43"/>
        <v>560</v>
      </c>
    </row>
    <row r="130" spans="1:18" x14ac:dyDescent="0.25">
      <c r="A130" s="50">
        <v>5</v>
      </c>
      <c r="B130" s="98" t="s">
        <v>125</v>
      </c>
      <c r="C130" s="42">
        <v>0</v>
      </c>
      <c r="D130" s="42">
        <v>0</v>
      </c>
      <c r="E130" s="43">
        <v>0</v>
      </c>
      <c r="F130" s="42">
        <v>0</v>
      </c>
      <c r="G130" s="42">
        <v>0</v>
      </c>
      <c r="H130" s="43">
        <v>0</v>
      </c>
      <c r="I130" s="42">
        <v>0</v>
      </c>
      <c r="J130" s="42">
        <v>0</v>
      </c>
      <c r="K130" s="43">
        <v>0</v>
      </c>
      <c r="L130" s="42">
        <v>0</v>
      </c>
      <c r="M130" s="42">
        <v>0</v>
      </c>
      <c r="N130" s="43">
        <v>0</v>
      </c>
      <c r="O130" s="45"/>
      <c r="P130" s="46">
        <v>0</v>
      </c>
      <c r="Q130" s="45"/>
      <c r="R130" s="44">
        <f t="shared" si="43"/>
        <v>0</v>
      </c>
    </row>
    <row r="131" spans="1:18" x14ac:dyDescent="0.25">
      <c r="A131" s="50">
        <v>6</v>
      </c>
      <c r="B131" s="97" t="s">
        <v>126</v>
      </c>
      <c r="C131" s="49">
        <v>0</v>
      </c>
      <c r="D131" s="49">
        <v>0</v>
      </c>
      <c r="E131" s="43" t="e">
        <f t="shared" si="44"/>
        <v>#DIV/0!</v>
      </c>
      <c r="F131" s="49">
        <v>0</v>
      </c>
      <c r="G131" s="49">
        <v>0</v>
      </c>
      <c r="H131" s="43" t="e">
        <f t="shared" si="45"/>
        <v>#DIV/0!</v>
      </c>
      <c r="I131" s="49">
        <v>0</v>
      </c>
      <c r="J131" s="49">
        <v>0</v>
      </c>
      <c r="K131" s="43" t="e">
        <f t="shared" si="46"/>
        <v>#DIV/0!</v>
      </c>
      <c r="L131" s="49">
        <v>0</v>
      </c>
      <c r="M131" s="49">
        <v>0</v>
      </c>
      <c r="N131" s="34">
        <v>0</v>
      </c>
      <c r="O131" s="60"/>
      <c r="P131" s="89">
        <v>100</v>
      </c>
      <c r="Q131" s="60">
        <v>20</v>
      </c>
      <c r="R131" s="44">
        <f t="shared" si="43"/>
        <v>0</v>
      </c>
    </row>
    <row r="132" spans="1:18" x14ac:dyDescent="0.25">
      <c r="A132" s="893" t="s">
        <v>127</v>
      </c>
      <c r="B132" s="894" t="s">
        <v>127</v>
      </c>
      <c r="C132" s="56">
        <f>SUM(C125:C131)</f>
        <v>9321</v>
      </c>
      <c r="D132" s="56">
        <f>SUM(D125:D131)</f>
        <v>1705</v>
      </c>
      <c r="E132" s="57">
        <f t="shared" si="44"/>
        <v>446.6862170087976</v>
      </c>
      <c r="F132" s="56">
        <f>SUM(F125:F131)</f>
        <v>9321</v>
      </c>
      <c r="G132" s="56">
        <f>SUM(G125:G131)</f>
        <v>1705</v>
      </c>
      <c r="H132" s="57">
        <f t="shared" si="45"/>
        <v>446.6862170087976</v>
      </c>
      <c r="I132" s="56">
        <f>SUM(I125:I131)</f>
        <v>535</v>
      </c>
      <c r="J132" s="56">
        <f>SUM(J125:J131)</f>
        <v>5420</v>
      </c>
      <c r="K132" s="57">
        <f t="shared" si="46"/>
        <v>-90.129151291512912</v>
      </c>
      <c r="L132" s="56">
        <f>SUM(L125:L131)</f>
        <v>0</v>
      </c>
      <c r="M132" s="56">
        <f>SUM(M125:M131)</f>
        <v>0</v>
      </c>
      <c r="N132" s="87">
        <v>0</v>
      </c>
      <c r="O132" s="56">
        <f>SUM(O125:O131)</f>
        <v>82</v>
      </c>
      <c r="P132" s="87">
        <f>R132/O132</f>
        <v>79.024390243902445</v>
      </c>
      <c r="Q132" s="56">
        <f>SUM(Q125:Q131)</f>
        <v>102</v>
      </c>
      <c r="R132" s="70">
        <f>SUM(R125:R131)</f>
        <v>6480</v>
      </c>
    </row>
    <row r="133" spans="1:1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34"/>
      <c r="L133" s="45"/>
      <c r="M133" s="45"/>
      <c r="N133" s="45"/>
      <c r="O133" s="45"/>
      <c r="P133" s="60"/>
      <c r="Q133" s="45"/>
      <c r="R133" s="39"/>
    </row>
    <row r="134" spans="1:18" x14ac:dyDescent="0.25">
      <c r="A134" s="903" t="s">
        <v>128</v>
      </c>
      <c r="B134" s="904"/>
      <c r="C134" s="37">
        <v>3</v>
      </c>
      <c r="D134" s="37">
        <v>4</v>
      </c>
      <c r="E134" s="38">
        <v>5</v>
      </c>
      <c r="F134" s="37">
        <v>6</v>
      </c>
      <c r="G134" s="37">
        <v>7</v>
      </c>
      <c r="H134" s="37">
        <v>8</v>
      </c>
      <c r="I134" s="37">
        <v>9</v>
      </c>
      <c r="J134" s="37">
        <v>10</v>
      </c>
      <c r="K134" s="37">
        <v>11</v>
      </c>
      <c r="L134" s="37">
        <v>12</v>
      </c>
      <c r="M134" s="37">
        <v>13</v>
      </c>
      <c r="N134" s="37">
        <v>14</v>
      </c>
      <c r="O134" s="37">
        <v>15</v>
      </c>
      <c r="P134" s="38">
        <v>16</v>
      </c>
      <c r="Q134" s="37">
        <v>17</v>
      </c>
      <c r="R134" s="31"/>
    </row>
    <row r="135" spans="1:18" x14ac:dyDescent="0.25">
      <c r="A135" s="100">
        <v>1</v>
      </c>
      <c r="B135" s="81" t="s">
        <v>129</v>
      </c>
      <c r="C135" s="60">
        <v>9774396</v>
      </c>
      <c r="D135" s="60">
        <v>11013327</v>
      </c>
      <c r="E135" s="43">
        <f t="shared" ref="E135:E140" si="47">C135/D135*100-100</f>
        <v>-11.249379955757249</v>
      </c>
      <c r="F135" s="60">
        <v>9774396</v>
      </c>
      <c r="G135" s="60">
        <v>11013327</v>
      </c>
      <c r="H135" s="43">
        <f t="shared" ref="H135:H140" si="48">F135/G135*100-100</f>
        <v>-11.249379955757249</v>
      </c>
      <c r="I135" s="100">
        <v>9339423</v>
      </c>
      <c r="J135" s="100">
        <v>11541286</v>
      </c>
      <c r="K135" s="43">
        <f t="shared" ref="K135:K140" si="49">I135/J135*100-100</f>
        <v>-19.078142591735443</v>
      </c>
      <c r="L135" s="100">
        <v>5279528</v>
      </c>
      <c r="M135" s="100">
        <v>6289038</v>
      </c>
      <c r="N135" s="43">
        <f t="shared" ref="N135:N140" si="50">L135/M135*100-100</f>
        <v>-16.05189855745823</v>
      </c>
      <c r="O135" s="45">
        <v>2974</v>
      </c>
      <c r="P135" s="60">
        <v>145</v>
      </c>
      <c r="Q135" s="45">
        <v>2974</v>
      </c>
      <c r="R135" s="44">
        <f>O135*P135</f>
        <v>431230</v>
      </c>
    </row>
    <row r="136" spans="1:18" x14ac:dyDescent="0.25">
      <c r="A136" s="100">
        <v>2</v>
      </c>
      <c r="B136" s="81" t="s">
        <v>130</v>
      </c>
      <c r="C136" s="60">
        <v>2197021</v>
      </c>
      <c r="D136" s="60">
        <v>1934348</v>
      </c>
      <c r="E136" s="43">
        <f t="shared" si="47"/>
        <v>13.579407635027408</v>
      </c>
      <c r="F136" s="60">
        <v>2197021</v>
      </c>
      <c r="G136" s="60">
        <v>1934348</v>
      </c>
      <c r="H136" s="43">
        <f t="shared" si="48"/>
        <v>13.579407635027408</v>
      </c>
      <c r="I136" s="100">
        <v>1954513</v>
      </c>
      <c r="J136" s="100">
        <v>1197575</v>
      </c>
      <c r="K136" s="43">
        <f t="shared" si="49"/>
        <v>63.205895246644275</v>
      </c>
      <c r="L136" s="100">
        <v>1954513</v>
      </c>
      <c r="M136" s="100">
        <v>1197575</v>
      </c>
      <c r="N136" s="43">
        <f t="shared" si="50"/>
        <v>63.205895246644275</v>
      </c>
      <c r="O136" s="45">
        <v>1006</v>
      </c>
      <c r="P136" s="60">
        <v>120</v>
      </c>
      <c r="Q136" s="45">
        <v>1006</v>
      </c>
      <c r="R136" s="44">
        <f>O136*P136</f>
        <v>120720</v>
      </c>
    </row>
    <row r="137" spans="1:18" ht="24" x14ac:dyDescent="0.25">
      <c r="A137" s="100">
        <v>3</v>
      </c>
      <c r="B137" s="124" t="s">
        <v>131</v>
      </c>
      <c r="C137" s="54">
        <v>1537212</v>
      </c>
      <c r="D137" s="54">
        <v>2094237</v>
      </c>
      <c r="E137" s="43">
        <f t="shared" si="47"/>
        <v>-26.597992490821241</v>
      </c>
      <c r="F137" s="54">
        <v>1537212</v>
      </c>
      <c r="G137" s="54">
        <v>2094237</v>
      </c>
      <c r="H137" s="43">
        <f t="shared" si="48"/>
        <v>-26.597992490821241</v>
      </c>
      <c r="I137" s="48">
        <v>179135</v>
      </c>
      <c r="J137" s="48">
        <v>0</v>
      </c>
      <c r="K137" s="43" t="e">
        <f t="shared" si="49"/>
        <v>#DIV/0!</v>
      </c>
      <c r="L137" s="48">
        <v>179135</v>
      </c>
      <c r="M137" s="48">
        <v>0</v>
      </c>
      <c r="N137" s="43" t="e">
        <f t="shared" si="50"/>
        <v>#DIV/0!</v>
      </c>
      <c r="O137" s="42">
        <v>1085</v>
      </c>
      <c r="P137" s="62">
        <v>306</v>
      </c>
      <c r="Q137" s="42">
        <v>1085</v>
      </c>
      <c r="R137" s="44">
        <f>O137*P137</f>
        <v>332010</v>
      </c>
    </row>
    <row r="138" spans="1:18" x14ac:dyDescent="0.25">
      <c r="A138" s="100">
        <v>4</v>
      </c>
      <c r="B138" s="81" t="s">
        <v>132</v>
      </c>
      <c r="C138" s="75">
        <v>615315</v>
      </c>
      <c r="D138" s="75">
        <v>365886</v>
      </c>
      <c r="E138" s="43">
        <f t="shared" si="47"/>
        <v>68.171233662944189</v>
      </c>
      <c r="F138" s="45">
        <v>615315</v>
      </c>
      <c r="G138" s="45">
        <v>365886</v>
      </c>
      <c r="H138" s="43">
        <f t="shared" si="48"/>
        <v>68.171233662944189</v>
      </c>
      <c r="I138" s="45">
        <v>584376</v>
      </c>
      <c r="J138" s="45">
        <v>193688</v>
      </c>
      <c r="K138" s="43">
        <f t="shared" si="49"/>
        <v>201.70996654413284</v>
      </c>
      <c r="L138" s="45">
        <v>584376</v>
      </c>
      <c r="M138" s="45">
        <v>193688</v>
      </c>
      <c r="N138" s="43">
        <v>0</v>
      </c>
      <c r="O138" s="45">
        <v>533</v>
      </c>
      <c r="P138" s="60">
        <v>170</v>
      </c>
      <c r="Q138" s="45">
        <v>525</v>
      </c>
      <c r="R138" s="44">
        <f>O138*P138</f>
        <v>90610</v>
      </c>
    </row>
    <row r="139" spans="1:18" x14ac:dyDescent="0.25">
      <c r="A139" s="100">
        <v>5</v>
      </c>
      <c r="B139" s="81" t="s">
        <v>133</v>
      </c>
      <c r="C139" s="45">
        <v>0</v>
      </c>
      <c r="D139" s="45">
        <v>0</v>
      </c>
      <c r="E139" s="43" t="e">
        <f t="shared" si="47"/>
        <v>#DIV/0!</v>
      </c>
      <c r="F139" s="45">
        <v>0</v>
      </c>
      <c r="G139" s="45">
        <v>0</v>
      </c>
      <c r="H139" s="43" t="e">
        <f t="shared" si="48"/>
        <v>#DIV/0!</v>
      </c>
      <c r="I139" s="45">
        <v>0</v>
      </c>
      <c r="J139" s="45">
        <v>0</v>
      </c>
      <c r="K139" s="43" t="e">
        <f t="shared" si="49"/>
        <v>#DIV/0!</v>
      </c>
      <c r="L139" s="45">
        <v>0</v>
      </c>
      <c r="M139" s="45">
        <v>0</v>
      </c>
      <c r="N139" s="43" t="e">
        <f t="shared" si="50"/>
        <v>#DIV/0!</v>
      </c>
      <c r="O139" s="45">
        <v>402</v>
      </c>
      <c r="P139" s="46">
        <v>189</v>
      </c>
      <c r="Q139" s="45">
        <v>402</v>
      </c>
      <c r="R139" s="44">
        <f>O139*P139</f>
        <v>75978</v>
      </c>
    </row>
    <row r="140" spans="1:18" x14ac:dyDescent="0.25">
      <c r="A140" s="893" t="s">
        <v>134</v>
      </c>
      <c r="B140" s="894" t="s">
        <v>135</v>
      </c>
      <c r="C140" s="87">
        <f>SUM(C135:C139)</f>
        <v>14123944</v>
      </c>
      <c r="D140" s="87">
        <f>SUM(D135:D139)</f>
        <v>15407798</v>
      </c>
      <c r="E140" s="57">
        <f t="shared" si="47"/>
        <v>-8.3324950132394093</v>
      </c>
      <c r="F140" s="87">
        <f t="shared" ref="F140:G140" si="51">SUM(F135:F139)</f>
        <v>14123944</v>
      </c>
      <c r="G140" s="87">
        <f t="shared" si="51"/>
        <v>15407798</v>
      </c>
      <c r="H140" s="57">
        <f t="shared" si="48"/>
        <v>-8.3324950132394093</v>
      </c>
      <c r="I140" s="87">
        <f t="shared" ref="I140:J140" si="52">SUM(I135:I139)</f>
        <v>12057447</v>
      </c>
      <c r="J140" s="87">
        <f t="shared" si="52"/>
        <v>12932549</v>
      </c>
      <c r="K140" s="57">
        <f t="shared" si="49"/>
        <v>-6.7666629370590385</v>
      </c>
      <c r="L140" s="87">
        <f t="shared" ref="L140:M140" si="53">SUM(L135:L139)</f>
        <v>7997552</v>
      </c>
      <c r="M140" s="87">
        <f t="shared" si="53"/>
        <v>7680301</v>
      </c>
      <c r="N140" s="57">
        <f t="shared" si="50"/>
        <v>4.1307105021014081</v>
      </c>
      <c r="O140" s="87">
        <f t="shared" ref="O140:R140" si="54">SUM(O135:O139)</f>
        <v>6000</v>
      </c>
      <c r="P140" s="87">
        <f>R140/O140</f>
        <v>175.09133333333332</v>
      </c>
      <c r="Q140" s="87">
        <f t="shared" si="54"/>
        <v>5992</v>
      </c>
      <c r="R140" s="87">
        <f t="shared" si="54"/>
        <v>1050548</v>
      </c>
    </row>
    <row r="141" spans="1:18" x14ac:dyDescent="0.25">
      <c r="A141" s="101"/>
      <c r="B141" s="101"/>
      <c r="C141" s="102"/>
      <c r="D141" s="102"/>
      <c r="E141" s="103"/>
      <c r="F141" s="104"/>
      <c r="G141" s="104"/>
      <c r="H141" s="103"/>
      <c r="I141" s="104"/>
      <c r="J141" s="104"/>
      <c r="K141" s="103"/>
      <c r="L141" s="104"/>
      <c r="M141" s="104"/>
      <c r="N141" s="103"/>
      <c r="O141" s="104"/>
      <c r="P141" s="102"/>
      <c r="Q141" s="104"/>
      <c r="R141" s="105"/>
    </row>
    <row r="142" spans="1:18" x14ac:dyDescent="0.25">
      <c r="A142" s="101"/>
      <c r="B142" s="101" t="s">
        <v>136</v>
      </c>
      <c r="C142" s="37">
        <v>3</v>
      </c>
      <c r="D142" s="37">
        <v>4</v>
      </c>
      <c r="E142" s="38">
        <v>5</v>
      </c>
      <c r="F142" s="37">
        <v>6</v>
      </c>
      <c r="G142" s="37">
        <v>7</v>
      </c>
      <c r="H142" s="37">
        <v>8</v>
      </c>
      <c r="I142" s="37">
        <v>9</v>
      </c>
      <c r="J142" s="37">
        <v>10</v>
      </c>
      <c r="K142" s="37">
        <v>11</v>
      </c>
      <c r="L142" s="37">
        <v>12</v>
      </c>
      <c r="M142" s="37">
        <v>13</v>
      </c>
      <c r="N142" s="37">
        <v>14</v>
      </c>
      <c r="O142" s="37">
        <v>15</v>
      </c>
      <c r="P142" s="38">
        <v>16</v>
      </c>
      <c r="Q142" s="37">
        <v>17</v>
      </c>
      <c r="R142" s="105"/>
    </row>
    <row r="143" spans="1:18" x14ac:dyDescent="0.25">
      <c r="A143" s="100">
        <v>1</v>
      </c>
      <c r="B143" s="81" t="s">
        <v>137</v>
      </c>
      <c r="C143" s="60">
        <v>1605846</v>
      </c>
      <c r="D143" s="60">
        <v>1803579</v>
      </c>
      <c r="E143" s="43">
        <f t="shared" ref="E143:E152" si="55">C143/D143*100-100</f>
        <v>-10.963367836950866</v>
      </c>
      <c r="F143" s="60">
        <v>1605846</v>
      </c>
      <c r="G143" s="60">
        <v>1803579</v>
      </c>
      <c r="H143" s="43">
        <f t="shared" ref="H143:H152" si="56">F143/G143*100-100</f>
        <v>-10.963367836950866</v>
      </c>
      <c r="I143" s="100">
        <v>1633287</v>
      </c>
      <c r="J143" s="100">
        <v>1858276</v>
      </c>
      <c r="K143" s="43">
        <f t="shared" ref="K143:K152" si="57">I143/J143*100-100</f>
        <v>-12.107404928008535</v>
      </c>
      <c r="L143" s="100">
        <v>1633287</v>
      </c>
      <c r="M143" s="100">
        <v>1858276</v>
      </c>
      <c r="N143" s="43">
        <f t="shared" ref="N143:N152" si="58">L143/M143*100-100</f>
        <v>-12.107404928008535</v>
      </c>
      <c r="O143" s="45">
        <v>498</v>
      </c>
      <c r="P143" s="75">
        <v>150</v>
      </c>
      <c r="Q143" s="45">
        <v>498</v>
      </c>
      <c r="R143" s="44">
        <f t="shared" ref="R143:R148" si="59">O143*P143</f>
        <v>74700</v>
      </c>
    </row>
    <row r="144" spans="1:18" x14ac:dyDescent="0.25">
      <c r="A144" s="100">
        <v>2</v>
      </c>
      <c r="B144" s="81" t="s">
        <v>138</v>
      </c>
      <c r="C144" s="60">
        <v>3072023</v>
      </c>
      <c r="D144" s="60">
        <v>4203028</v>
      </c>
      <c r="E144" s="43">
        <f t="shared" si="55"/>
        <v>-26.909290159380333</v>
      </c>
      <c r="F144" s="75">
        <v>3072023</v>
      </c>
      <c r="G144" s="75">
        <v>4203028</v>
      </c>
      <c r="H144" s="43">
        <f t="shared" si="56"/>
        <v>-26.909290159380333</v>
      </c>
      <c r="I144" s="45">
        <v>3110539</v>
      </c>
      <c r="J144" s="45">
        <v>5029617</v>
      </c>
      <c r="K144" s="43">
        <f t="shared" si="57"/>
        <v>-38.155549418574019</v>
      </c>
      <c r="L144" s="45">
        <v>3108480</v>
      </c>
      <c r="M144" s="45">
        <v>5026847</v>
      </c>
      <c r="N144" s="43">
        <f t="shared" si="58"/>
        <v>-38.162430644895295</v>
      </c>
      <c r="O144" s="45">
        <v>680</v>
      </c>
      <c r="P144" s="60">
        <v>165</v>
      </c>
      <c r="Q144" s="45">
        <v>660</v>
      </c>
      <c r="R144" s="44">
        <f t="shared" si="59"/>
        <v>112200</v>
      </c>
    </row>
    <row r="145" spans="1:18" x14ac:dyDescent="0.25">
      <c r="A145" s="100">
        <v>3</v>
      </c>
      <c r="B145" s="81" t="s">
        <v>139</v>
      </c>
      <c r="C145" s="60">
        <v>2340086</v>
      </c>
      <c r="D145" s="60">
        <v>2654340</v>
      </c>
      <c r="E145" s="43">
        <f t="shared" si="55"/>
        <v>-11.839251942102365</v>
      </c>
      <c r="F145" s="45">
        <v>2340086</v>
      </c>
      <c r="G145" s="45">
        <v>2654340</v>
      </c>
      <c r="H145" s="43">
        <f t="shared" si="56"/>
        <v>-11.839251942102365</v>
      </c>
      <c r="I145" s="45">
        <v>2387101</v>
      </c>
      <c r="J145" s="45">
        <v>2702780</v>
      </c>
      <c r="K145" s="43">
        <f t="shared" si="57"/>
        <v>-11.6797889580358</v>
      </c>
      <c r="L145" s="45">
        <v>2387101</v>
      </c>
      <c r="M145" s="45">
        <v>2702780</v>
      </c>
      <c r="N145" s="43">
        <f t="shared" si="58"/>
        <v>-11.6797889580358</v>
      </c>
      <c r="O145" s="45">
        <v>560</v>
      </c>
      <c r="P145" s="60">
        <v>180</v>
      </c>
      <c r="Q145" s="45">
        <v>560</v>
      </c>
      <c r="R145" s="44">
        <f t="shared" si="59"/>
        <v>100800</v>
      </c>
    </row>
    <row r="146" spans="1:18" x14ac:dyDescent="0.25">
      <c r="A146" s="100">
        <v>4</v>
      </c>
      <c r="B146" s="81" t="s">
        <v>140</v>
      </c>
      <c r="C146" s="75">
        <v>461172</v>
      </c>
      <c r="D146" s="75">
        <v>334125</v>
      </c>
      <c r="E146" s="43">
        <f t="shared" si="55"/>
        <v>38.023793490460179</v>
      </c>
      <c r="F146" s="100">
        <v>461172</v>
      </c>
      <c r="G146" s="100">
        <v>334125</v>
      </c>
      <c r="H146" s="43">
        <f t="shared" si="56"/>
        <v>38.023793490460179</v>
      </c>
      <c r="I146" s="100">
        <v>314896</v>
      </c>
      <c r="J146" s="100">
        <v>484636</v>
      </c>
      <c r="K146" s="43">
        <f t="shared" si="57"/>
        <v>-35.024224366328539</v>
      </c>
      <c r="L146" s="100">
        <v>0</v>
      </c>
      <c r="M146" s="100">
        <v>0</v>
      </c>
      <c r="N146" s="43">
        <v>0</v>
      </c>
      <c r="O146" s="45">
        <v>358</v>
      </c>
      <c r="P146" s="75">
        <v>58</v>
      </c>
      <c r="Q146" s="45">
        <v>358</v>
      </c>
      <c r="R146" s="44">
        <f t="shared" si="59"/>
        <v>20764</v>
      </c>
    </row>
    <row r="147" spans="1:18" x14ac:dyDescent="0.25">
      <c r="A147" s="100">
        <v>5</v>
      </c>
      <c r="B147" s="81" t="s">
        <v>141</v>
      </c>
      <c r="C147" s="75">
        <v>1949005</v>
      </c>
      <c r="D147" s="75">
        <v>2551256</v>
      </c>
      <c r="E147" s="43">
        <f t="shared" si="55"/>
        <v>-23.606059133226935</v>
      </c>
      <c r="F147" s="75">
        <v>1949005</v>
      </c>
      <c r="G147" s="75">
        <v>2551256</v>
      </c>
      <c r="H147" s="43">
        <f t="shared" si="56"/>
        <v>-23.606059133226935</v>
      </c>
      <c r="I147" s="45">
        <v>1135755</v>
      </c>
      <c r="J147" s="45">
        <v>2179209</v>
      </c>
      <c r="K147" s="43">
        <f t="shared" si="57"/>
        <v>-47.882236169178817</v>
      </c>
      <c r="L147" s="45">
        <v>1135755</v>
      </c>
      <c r="M147" s="45">
        <v>2179209</v>
      </c>
      <c r="N147" s="43">
        <f t="shared" si="58"/>
        <v>-47.882236169178817</v>
      </c>
      <c r="O147" s="45">
        <v>985</v>
      </c>
      <c r="P147" s="60">
        <v>100</v>
      </c>
      <c r="Q147" s="45">
        <v>985</v>
      </c>
      <c r="R147" s="44">
        <f t="shared" si="59"/>
        <v>98500</v>
      </c>
    </row>
    <row r="148" spans="1:18" x14ac:dyDescent="0.25">
      <c r="A148" s="100">
        <v>6</v>
      </c>
      <c r="B148" s="81" t="s">
        <v>142</v>
      </c>
      <c r="C148" s="60">
        <v>2728679</v>
      </c>
      <c r="D148" s="60">
        <v>3034471</v>
      </c>
      <c r="E148" s="43">
        <f t="shared" si="55"/>
        <v>-10.077275413078596</v>
      </c>
      <c r="F148" s="60">
        <v>2728679</v>
      </c>
      <c r="G148" s="60">
        <v>3034471</v>
      </c>
      <c r="H148" s="43">
        <f t="shared" si="56"/>
        <v>-10.077275413078596</v>
      </c>
      <c r="I148" s="45">
        <v>3228511</v>
      </c>
      <c r="J148" s="60">
        <v>2591093</v>
      </c>
      <c r="K148" s="43">
        <f t="shared" si="57"/>
        <v>24.600352052203462</v>
      </c>
      <c r="L148" s="45">
        <f>18241+3207009</f>
        <v>3225250</v>
      </c>
      <c r="M148" s="45">
        <v>2589573</v>
      </c>
      <c r="N148" s="43">
        <f t="shared" si="58"/>
        <v>24.547560543765329</v>
      </c>
      <c r="O148" s="45">
        <v>638</v>
      </c>
      <c r="P148" s="60">
        <v>130</v>
      </c>
      <c r="Q148" s="45">
        <v>641</v>
      </c>
      <c r="R148" s="44">
        <f t="shared" si="59"/>
        <v>82940</v>
      </c>
    </row>
    <row r="149" spans="1:18" x14ac:dyDescent="0.25">
      <c r="A149" s="100">
        <v>7</v>
      </c>
      <c r="B149" s="81" t="s">
        <v>143</v>
      </c>
      <c r="C149" s="60">
        <v>257726</v>
      </c>
      <c r="D149" s="60">
        <v>296097</v>
      </c>
      <c r="E149" s="43">
        <f t="shared" si="55"/>
        <v>-12.958928999618365</v>
      </c>
      <c r="F149" s="60">
        <v>257726</v>
      </c>
      <c r="G149" s="60">
        <v>296097</v>
      </c>
      <c r="H149" s="43">
        <f t="shared" si="56"/>
        <v>-12.958928999618365</v>
      </c>
      <c r="I149" s="45">
        <v>101576</v>
      </c>
      <c r="J149" s="60">
        <v>138582</v>
      </c>
      <c r="K149" s="43">
        <f t="shared" si="57"/>
        <v>-26.703323663967907</v>
      </c>
      <c r="L149" s="45">
        <v>0</v>
      </c>
      <c r="M149" s="45">
        <v>0</v>
      </c>
      <c r="N149" s="43">
        <v>0</v>
      </c>
      <c r="O149" s="45">
        <v>37</v>
      </c>
      <c r="P149" s="60"/>
      <c r="Q149" s="45">
        <v>35</v>
      </c>
      <c r="R149" s="44"/>
    </row>
    <row r="150" spans="1:18" x14ac:dyDescent="0.25">
      <c r="A150" s="100">
        <v>8</v>
      </c>
      <c r="B150" s="81" t="s">
        <v>144</v>
      </c>
      <c r="C150" s="42">
        <v>0</v>
      </c>
      <c r="D150" s="42">
        <v>0</v>
      </c>
      <c r="E150" s="43">
        <v>0</v>
      </c>
      <c r="F150" s="42">
        <v>0</v>
      </c>
      <c r="G150" s="42">
        <v>0</v>
      </c>
      <c r="H150" s="43">
        <v>0</v>
      </c>
      <c r="I150" s="42">
        <v>0</v>
      </c>
      <c r="J150" s="42">
        <v>0</v>
      </c>
      <c r="K150" s="43">
        <v>0</v>
      </c>
      <c r="L150" s="42">
        <v>0</v>
      </c>
      <c r="M150" s="42">
        <v>0</v>
      </c>
      <c r="N150" s="43">
        <v>0</v>
      </c>
      <c r="O150" s="45">
        <v>0</v>
      </c>
      <c r="P150" s="46">
        <v>0</v>
      </c>
      <c r="Q150" s="45">
        <v>0</v>
      </c>
      <c r="R150" s="44">
        <v>0</v>
      </c>
    </row>
    <row r="151" spans="1:18" x14ac:dyDescent="0.25">
      <c r="A151" s="893" t="s">
        <v>145</v>
      </c>
      <c r="B151" s="894" t="s">
        <v>135</v>
      </c>
      <c r="C151" s="87">
        <f>SUM(C143:C150)</f>
        <v>12414537</v>
      </c>
      <c r="D151" s="87">
        <f>SUM(D143:D150)</f>
        <v>14876896</v>
      </c>
      <c r="E151" s="57">
        <f t="shared" si="55"/>
        <v>-16.551564251037306</v>
      </c>
      <c r="F151" s="87">
        <f>SUM(F143:F150)</f>
        <v>12414537</v>
      </c>
      <c r="G151" s="87">
        <f>SUM(G143:G150)</f>
        <v>14876896</v>
      </c>
      <c r="H151" s="57">
        <f t="shared" si="56"/>
        <v>-16.551564251037306</v>
      </c>
      <c r="I151" s="87">
        <f>SUM(I143:I150)</f>
        <v>11911665</v>
      </c>
      <c r="J151" s="87">
        <f>SUM(J143:J150)</f>
        <v>14984193</v>
      </c>
      <c r="K151" s="57">
        <f t="shared" si="57"/>
        <v>-20.505128304206977</v>
      </c>
      <c r="L151" s="87">
        <f>SUM(L143:L150)</f>
        <v>11489873</v>
      </c>
      <c r="M151" s="87">
        <f>SUM(M143:M150)</f>
        <v>14356685</v>
      </c>
      <c r="N151" s="57">
        <f t="shared" si="58"/>
        <v>-19.968481581925076</v>
      </c>
      <c r="O151" s="56">
        <f>SUM(O143:O150)</f>
        <v>3756</v>
      </c>
      <c r="P151" s="87">
        <f>R151/O151</f>
        <v>130.43237486687966</v>
      </c>
      <c r="Q151" s="56">
        <f>SUM(Q143:Q150)</f>
        <v>3737</v>
      </c>
      <c r="R151" s="70">
        <f>SUM(R143:R150)</f>
        <v>489904</v>
      </c>
    </row>
    <row r="152" spans="1:18" x14ac:dyDescent="0.25">
      <c r="A152" s="913" t="s">
        <v>146</v>
      </c>
      <c r="B152" s="914" t="s">
        <v>78</v>
      </c>
      <c r="C152" s="106">
        <f>C140+C151</f>
        <v>26538481</v>
      </c>
      <c r="D152" s="106">
        <f>D140+D151</f>
        <v>30284694</v>
      </c>
      <c r="E152" s="16">
        <f t="shared" si="55"/>
        <v>-12.369987954971577</v>
      </c>
      <c r="F152" s="106">
        <f>F140+F151</f>
        <v>26538481</v>
      </c>
      <c r="G152" s="106">
        <f>G140+G151</f>
        <v>30284694</v>
      </c>
      <c r="H152" s="16">
        <f t="shared" si="56"/>
        <v>-12.369987954971577</v>
      </c>
      <c r="I152" s="106">
        <f>I140+I151</f>
        <v>23969112</v>
      </c>
      <c r="J152" s="106">
        <f>J140+J151</f>
        <v>27916742</v>
      </c>
      <c r="K152" s="16">
        <f t="shared" si="57"/>
        <v>-14.140726020249787</v>
      </c>
      <c r="L152" s="106">
        <f>L140+L151</f>
        <v>19487425</v>
      </c>
      <c r="M152" s="106">
        <f>M140+M151</f>
        <v>22036986</v>
      </c>
      <c r="N152" s="16">
        <f t="shared" si="58"/>
        <v>-11.569463265076266</v>
      </c>
      <c r="O152" s="106">
        <f>O140+O151</f>
        <v>9756</v>
      </c>
      <c r="P152" s="107">
        <f>R152/O152</f>
        <v>157.89790897908978</v>
      </c>
      <c r="Q152" s="106">
        <f>Q140+Q151</f>
        <v>9729</v>
      </c>
      <c r="R152" s="106">
        <f>R140+R151</f>
        <v>1540452</v>
      </c>
    </row>
    <row r="153" spans="1:18" s="111" customFormat="1" x14ac:dyDescent="0.25">
      <c r="A153" s="108"/>
      <c r="B153" s="108"/>
      <c r="C153" s="102"/>
      <c r="D153" s="102"/>
      <c r="E153" s="109"/>
      <c r="F153" s="102"/>
      <c r="G153" s="102"/>
      <c r="H153" s="109"/>
      <c r="I153" s="102"/>
      <c r="J153" s="102"/>
      <c r="K153" s="109"/>
      <c r="L153" s="102"/>
      <c r="M153" s="102"/>
      <c r="N153" s="109"/>
      <c r="O153" s="102"/>
      <c r="P153" s="103"/>
      <c r="Q153" s="102"/>
      <c r="R153" s="110"/>
    </row>
    <row r="154" spans="1:18" x14ac:dyDescent="0.25">
      <c r="A154" s="101"/>
      <c r="B154" s="101"/>
      <c r="C154" s="102"/>
      <c r="D154" s="102"/>
      <c r="E154" s="103"/>
      <c r="F154" s="104"/>
      <c r="G154" s="104"/>
      <c r="H154" s="103"/>
      <c r="I154" s="104"/>
      <c r="J154" s="104"/>
      <c r="K154" s="103"/>
      <c r="L154" s="104"/>
      <c r="M154" s="104"/>
      <c r="N154" s="103"/>
      <c r="O154" s="104"/>
      <c r="P154" s="102"/>
      <c r="Q154" s="104"/>
      <c r="R154" s="105"/>
    </row>
    <row r="155" spans="1:18" x14ac:dyDescent="0.25">
      <c r="A155" s="24"/>
      <c r="B155" s="112" t="s">
        <v>147</v>
      </c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31"/>
    </row>
    <row r="156" spans="1:18" x14ac:dyDescent="0.25">
      <c r="A156" s="112"/>
      <c r="B156" s="112"/>
      <c r="C156" s="37">
        <v>3</v>
      </c>
      <c r="D156" s="37">
        <v>4</v>
      </c>
      <c r="E156" s="38">
        <v>5</v>
      </c>
      <c r="F156" s="37">
        <v>6</v>
      </c>
      <c r="G156" s="37">
        <v>7</v>
      </c>
      <c r="H156" s="37">
        <v>8</v>
      </c>
      <c r="I156" s="37">
        <v>9</v>
      </c>
      <c r="J156" s="37">
        <v>10</v>
      </c>
      <c r="K156" s="37">
        <v>11</v>
      </c>
      <c r="L156" s="37">
        <v>12</v>
      </c>
      <c r="M156" s="37">
        <v>13</v>
      </c>
      <c r="N156" s="37">
        <v>14</v>
      </c>
      <c r="O156" s="37">
        <v>15</v>
      </c>
      <c r="P156" s="38">
        <v>16</v>
      </c>
      <c r="Q156" s="37">
        <v>17</v>
      </c>
      <c r="R156" s="113"/>
    </row>
    <row r="157" spans="1:18" x14ac:dyDescent="0.25">
      <c r="A157" s="100">
        <v>1</v>
      </c>
      <c r="B157" s="114" t="s">
        <v>148</v>
      </c>
      <c r="C157" s="100">
        <v>0</v>
      </c>
      <c r="D157" s="100">
        <v>412</v>
      </c>
      <c r="E157" s="43">
        <f t="shared" ref="E157:E163" si="60">C157/D157*100-100</f>
        <v>-100</v>
      </c>
      <c r="F157" s="34">
        <v>0</v>
      </c>
      <c r="G157" s="100">
        <v>412</v>
      </c>
      <c r="H157" s="43">
        <f t="shared" ref="H157:H163" si="61">F157/G157*100-100</f>
        <v>-100</v>
      </c>
      <c r="I157" s="100">
        <v>0</v>
      </c>
      <c r="J157" s="100">
        <v>412</v>
      </c>
      <c r="K157" s="43">
        <f t="shared" ref="K157:K163" si="62">I157/J157*100-100</f>
        <v>-100</v>
      </c>
      <c r="L157" s="100">
        <v>0</v>
      </c>
      <c r="M157" s="100">
        <v>0</v>
      </c>
      <c r="N157" s="43">
        <v>0</v>
      </c>
      <c r="O157" s="100">
        <v>31</v>
      </c>
      <c r="P157" s="75">
        <v>74</v>
      </c>
      <c r="Q157" s="100">
        <v>31</v>
      </c>
      <c r="R157" s="44">
        <f>O157*P157</f>
        <v>2294</v>
      </c>
    </row>
    <row r="158" spans="1:18" x14ac:dyDescent="0.25">
      <c r="A158" s="100">
        <v>2</v>
      </c>
      <c r="B158" s="114" t="s">
        <v>149</v>
      </c>
      <c r="C158" s="49">
        <v>744894</v>
      </c>
      <c r="D158" s="49">
        <v>820457</v>
      </c>
      <c r="E158" s="43">
        <f t="shared" si="60"/>
        <v>-9.2098671837768364</v>
      </c>
      <c r="F158" s="49">
        <v>744894</v>
      </c>
      <c r="G158" s="49">
        <v>820457</v>
      </c>
      <c r="H158" s="43">
        <f t="shared" si="61"/>
        <v>-9.2098671837768364</v>
      </c>
      <c r="I158" s="49">
        <v>631661</v>
      </c>
      <c r="J158" s="49">
        <v>420317</v>
      </c>
      <c r="K158" s="43">
        <f t="shared" si="62"/>
        <v>50.282049024902619</v>
      </c>
      <c r="L158" s="49">
        <v>267483</v>
      </c>
      <c r="M158" s="49">
        <v>188708</v>
      </c>
      <c r="N158" s="43">
        <f t="shared" ref="N158:N163" si="63">L158/M158*100-100</f>
        <v>41.744388155245161</v>
      </c>
      <c r="O158" s="100">
        <v>595</v>
      </c>
      <c r="P158" s="75">
        <v>110</v>
      </c>
      <c r="Q158" s="100">
        <v>595</v>
      </c>
      <c r="R158" s="44">
        <f>O158*P158</f>
        <v>65450</v>
      </c>
    </row>
    <row r="159" spans="1:18" x14ac:dyDescent="0.25">
      <c r="A159" s="100">
        <v>3</v>
      </c>
      <c r="B159" s="114" t="s">
        <v>150</v>
      </c>
      <c r="C159" s="42">
        <v>0</v>
      </c>
      <c r="D159" s="42">
        <v>0</v>
      </c>
      <c r="E159" s="43">
        <v>0</v>
      </c>
      <c r="F159" s="42">
        <v>0</v>
      </c>
      <c r="G159" s="42">
        <v>0</v>
      </c>
      <c r="H159" s="43">
        <v>0</v>
      </c>
      <c r="I159" s="42">
        <v>0</v>
      </c>
      <c r="J159" s="42">
        <v>0</v>
      </c>
      <c r="K159" s="43">
        <v>0</v>
      </c>
      <c r="L159" s="42">
        <v>0</v>
      </c>
      <c r="M159" s="42">
        <v>0</v>
      </c>
      <c r="N159" s="43">
        <v>0</v>
      </c>
      <c r="O159" s="45">
        <v>0</v>
      </c>
      <c r="P159" s="46">
        <v>0</v>
      </c>
      <c r="Q159" s="45">
        <v>0</v>
      </c>
      <c r="R159" s="44">
        <v>0</v>
      </c>
    </row>
    <row r="160" spans="1:18" x14ac:dyDescent="0.25">
      <c r="A160" s="100">
        <v>4</v>
      </c>
      <c r="B160" s="114" t="s">
        <v>151</v>
      </c>
      <c r="C160" s="100">
        <v>146433</v>
      </c>
      <c r="D160" s="100">
        <v>179162</v>
      </c>
      <c r="E160" s="43">
        <f t="shared" si="60"/>
        <v>-18.267824650316484</v>
      </c>
      <c r="F160" s="100">
        <v>146433</v>
      </c>
      <c r="G160" s="115">
        <v>179162</v>
      </c>
      <c r="H160" s="43">
        <f t="shared" si="61"/>
        <v>-18.267824650316484</v>
      </c>
      <c r="I160" s="115">
        <v>153127</v>
      </c>
      <c r="J160" s="115">
        <v>177510</v>
      </c>
      <c r="K160" s="43">
        <f t="shared" si="62"/>
        <v>-13.736127542110296</v>
      </c>
      <c r="L160" s="115">
        <v>132161</v>
      </c>
      <c r="M160" s="115">
        <v>142601</v>
      </c>
      <c r="N160" s="43">
        <f t="shared" si="63"/>
        <v>-7.3211267803171154</v>
      </c>
      <c r="O160" s="100">
        <v>291</v>
      </c>
      <c r="P160" s="75">
        <v>100</v>
      </c>
      <c r="Q160" s="100">
        <v>291</v>
      </c>
      <c r="R160" s="44">
        <f>O160*P160</f>
        <v>29100</v>
      </c>
    </row>
    <row r="161" spans="1:41" x14ac:dyDescent="0.25">
      <c r="A161" s="100">
        <v>5</v>
      </c>
      <c r="B161" s="83" t="s">
        <v>152</v>
      </c>
      <c r="C161" s="49">
        <v>89200</v>
      </c>
      <c r="D161" s="49">
        <v>82042</v>
      </c>
      <c r="E161" s="43">
        <f t="shared" si="60"/>
        <v>8.7247994929426511</v>
      </c>
      <c r="F161" s="49">
        <v>89200</v>
      </c>
      <c r="G161" s="49">
        <v>82042</v>
      </c>
      <c r="H161" s="43">
        <f t="shared" si="61"/>
        <v>8.7247994929426511</v>
      </c>
      <c r="I161" s="49">
        <v>87752</v>
      </c>
      <c r="J161" s="49">
        <v>86066</v>
      </c>
      <c r="K161" s="43">
        <f t="shared" si="62"/>
        <v>1.9589617270466846</v>
      </c>
      <c r="L161" s="45">
        <v>1324</v>
      </c>
      <c r="M161" s="49">
        <v>0</v>
      </c>
      <c r="N161" s="43">
        <v>0</v>
      </c>
      <c r="O161" s="45">
        <v>127</v>
      </c>
      <c r="P161" s="49">
        <v>145</v>
      </c>
      <c r="Q161" s="45">
        <v>127</v>
      </c>
      <c r="R161" s="44">
        <f>O161*P161</f>
        <v>18415</v>
      </c>
    </row>
    <row r="162" spans="1:41" x14ac:dyDescent="0.25">
      <c r="A162" s="100">
        <v>6</v>
      </c>
      <c r="B162" s="114" t="s">
        <v>153</v>
      </c>
      <c r="C162" s="42">
        <v>0</v>
      </c>
      <c r="D162" s="42">
        <v>0</v>
      </c>
      <c r="E162" s="43" t="e">
        <f t="shared" si="60"/>
        <v>#DIV/0!</v>
      </c>
      <c r="F162" s="42">
        <v>0</v>
      </c>
      <c r="G162" s="42">
        <v>0</v>
      </c>
      <c r="H162" s="43">
        <v>0</v>
      </c>
      <c r="I162" s="42">
        <v>49979</v>
      </c>
      <c r="J162" s="42">
        <v>0</v>
      </c>
      <c r="K162" s="43">
        <v>0</v>
      </c>
      <c r="L162" s="42">
        <v>0</v>
      </c>
      <c r="M162" s="42">
        <v>0</v>
      </c>
      <c r="N162" s="43">
        <v>0</v>
      </c>
      <c r="O162" s="45">
        <v>381</v>
      </c>
      <c r="P162" s="46">
        <v>65</v>
      </c>
      <c r="Q162" s="45">
        <v>381</v>
      </c>
      <c r="R162" s="44">
        <f>O162*P162</f>
        <v>24765</v>
      </c>
    </row>
    <row r="163" spans="1:41" x14ac:dyDescent="0.25">
      <c r="A163" s="893" t="s">
        <v>154</v>
      </c>
      <c r="B163" s="894" t="s">
        <v>155</v>
      </c>
      <c r="C163" s="56">
        <f>SUM(C157:C162)</f>
        <v>980527</v>
      </c>
      <c r="D163" s="56">
        <f>SUM(D157:D162)</f>
        <v>1082073</v>
      </c>
      <c r="E163" s="57">
        <f t="shared" si="60"/>
        <v>-9.3843945833599065</v>
      </c>
      <c r="F163" s="56">
        <f>SUM(F157:F162)</f>
        <v>980527</v>
      </c>
      <c r="G163" s="56">
        <f>SUM(G157:G162)</f>
        <v>1082073</v>
      </c>
      <c r="H163" s="57">
        <f t="shared" si="61"/>
        <v>-9.3843945833599065</v>
      </c>
      <c r="I163" s="56">
        <f>SUM(I157:I162)</f>
        <v>922519</v>
      </c>
      <c r="J163" s="56">
        <f>SUM(J157:J162)</f>
        <v>684305</v>
      </c>
      <c r="K163" s="57">
        <f t="shared" si="62"/>
        <v>34.811085700089876</v>
      </c>
      <c r="L163" s="56">
        <f>SUM(L157:L162)</f>
        <v>400968</v>
      </c>
      <c r="M163" s="56">
        <f>SUM(M157:M162)</f>
        <v>331309</v>
      </c>
      <c r="N163" s="57">
        <f t="shared" si="63"/>
        <v>21.025387176321814</v>
      </c>
      <c r="O163" s="56">
        <f>SUM(O157:O162)</f>
        <v>1425</v>
      </c>
      <c r="P163" s="58">
        <f>R163/O163</f>
        <v>98.262456140350878</v>
      </c>
      <c r="Q163" s="56">
        <f>SUM(Q157:Q162)</f>
        <v>1425</v>
      </c>
      <c r="R163" s="70">
        <f>SUM(R157:R162)</f>
        <v>140024</v>
      </c>
    </row>
    <row r="164" spans="1:41" x14ac:dyDescent="0.25">
      <c r="A164" s="116"/>
      <c r="B164" s="95"/>
      <c r="C164" s="117"/>
      <c r="D164" s="117"/>
      <c r="E164" s="118"/>
      <c r="F164" s="117"/>
      <c r="G164" s="117"/>
      <c r="H164" s="118"/>
      <c r="I164" s="117"/>
      <c r="J164" s="117"/>
      <c r="K164" s="118"/>
      <c r="L164" s="117"/>
      <c r="M164" s="119"/>
      <c r="N164" s="120"/>
      <c r="O164" s="119"/>
      <c r="P164" s="117"/>
      <c r="Q164" s="119"/>
      <c r="R164" s="121"/>
    </row>
    <row r="165" spans="1:41" x14ac:dyDescent="0.25">
      <c r="A165" s="116"/>
      <c r="B165" s="915" t="s">
        <v>156</v>
      </c>
      <c r="C165" s="916"/>
      <c r="D165" s="117"/>
      <c r="E165" s="118"/>
      <c r="F165" s="117"/>
      <c r="G165" s="117"/>
      <c r="H165" s="118"/>
      <c r="I165" s="117"/>
      <c r="J165" s="117"/>
      <c r="K165" s="118"/>
      <c r="L165" s="117"/>
      <c r="M165" s="119"/>
      <c r="N165" s="120"/>
      <c r="O165" s="119"/>
      <c r="P165" s="117"/>
      <c r="Q165" s="119"/>
      <c r="R165" s="121"/>
    </row>
    <row r="166" spans="1:41" x14ac:dyDescent="0.25">
      <c r="A166" s="917" t="s">
        <v>157</v>
      </c>
      <c r="B166" s="918"/>
      <c r="C166" s="37">
        <v>3</v>
      </c>
      <c r="D166" s="37">
        <v>4</v>
      </c>
      <c r="E166" s="38">
        <v>5</v>
      </c>
      <c r="F166" s="37">
        <v>6</v>
      </c>
      <c r="G166" s="37">
        <v>7</v>
      </c>
      <c r="H166" s="37">
        <v>8</v>
      </c>
      <c r="I166" s="37">
        <v>9</v>
      </c>
      <c r="J166" s="37">
        <v>10</v>
      </c>
      <c r="K166" s="37">
        <v>11</v>
      </c>
      <c r="L166" s="37">
        <v>12</v>
      </c>
      <c r="M166" s="37">
        <v>13</v>
      </c>
      <c r="N166" s="37">
        <v>14</v>
      </c>
      <c r="O166" s="37">
        <v>15</v>
      </c>
      <c r="P166" s="38">
        <v>16</v>
      </c>
      <c r="Q166" s="37">
        <v>17</v>
      </c>
      <c r="R166" s="44"/>
    </row>
    <row r="167" spans="1:41" x14ac:dyDescent="0.25">
      <c r="A167" s="122">
        <v>1</v>
      </c>
      <c r="B167" s="81" t="s">
        <v>158</v>
      </c>
      <c r="C167" s="45">
        <v>1039063</v>
      </c>
      <c r="D167" s="45">
        <v>1673936</v>
      </c>
      <c r="E167" s="43">
        <f t="shared" ref="E167:E203" si="64">C167/D167*100-100</f>
        <v>-37.926957780942637</v>
      </c>
      <c r="F167" s="45">
        <v>1039063</v>
      </c>
      <c r="G167" s="45">
        <v>1673936</v>
      </c>
      <c r="H167" s="43">
        <f>F167/G167*100-100</f>
        <v>-37.926957780942637</v>
      </c>
      <c r="I167" s="45">
        <v>836617</v>
      </c>
      <c r="J167" s="45">
        <v>1291295</v>
      </c>
      <c r="K167" s="43">
        <f t="shared" ref="K167:K203" si="65">I167/J167*100-100</f>
        <v>-35.211009103264558</v>
      </c>
      <c r="L167" s="45">
        <f>621329+36957</f>
        <v>658286</v>
      </c>
      <c r="M167" s="45">
        <f>1086794+59854</f>
        <v>1146648</v>
      </c>
      <c r="N167" s="43">
        <f t="shared" ref="N167:N184" si="66">L167/M167*100-100</f>
        <v>-42.590402634461491</v>
      </c>
      <c r="O167" s="45">
        <v>342</v>
      </c>
      <c r="P167" s="45">
        <v>190</v>
      </c>
      <c r="Q167" s="45">
        <v>342</v>
      </c>
      <c r="R167" s="44">
        <f>O167*P167</f>
        <v>64980</v>
      </c>
    </row>
    <row r="168" spans="1:41" x14ac:dyDescent="0.25">
      <c r="A168" s="122">
        <v>2</v>
      </c>
      <c r="B168" s="81" t="s">
        <v>159</v>
      </c>
      <c r="C168" s="45">
        <v>142989</v>
      </c>
      <c r="D168" s="45">
        <v>350171</v>
      </c>
      <c r="E168" s="43">
        <f t="shared" si="64"/>
        <v>-59.165950349971865</v>
      </c>
      <c r="F168" s="45">
        <v>142989</v>
      </c>
      <c r="G168" s="45">
        <v>350171</v>
      </c>
      <c r="H168" s="54">
        <f t="shared" ref="H168:H203" si="67">F168/G168*100-100</f>
        <v>-59.165950349971865</v>
      </c>
      <c r="I168" s="45">
        <v>132220</v>
      </c>
      <c r="J168" s="45">
        <v>347047</v>
      </c>
      <c r="K168" s="43">
        <f t="shared" si="65"/>
        <v>-61.901413929525397</v>
      </c>
      <c r="L168" s="45">
        <f>70501+15096</f>
        <v>85597</v>
      </c>
      <c r="M168" s="45">
        <v>310803</v>
      </c>
      <c r="N168" s="54">
        <f t="shared" si="66"/>
        <v>-72.459403545010829</v>
      </c>
      <c r="O168" s="45">
        <v>116</v>
      </c>
      <c r="P168" s="45">
        <v>110</v>
      </c>
      <c r="Q168" s="45">
        <v>117</v>
      </c>
      <c r="R168" s="44">
        <f t="shared" ref="R168:R182" si="68">O168*P168</f>
        <v>12760</v>
      </c>
    </row>
    <row r="169" spans="1:41" x14ac:dyDescent="0.25">
      <c r="A169" s="122">
        <v>3</v>
      </c>
      <c r="B169" s="81" t="s">
        <v>160</v>
      </c>
      <c r="C169" s="45"/>
      <c r="D169" s="45"/>
      <c r="E169" s="43">
        <v>0</v>
      </c>
      <c r="F169" s="45"/>
      <c r="G169" s="45"/>
      <c r="H169" s="54">
        <v>0</v>
      </c>
      <c r="I169" s="45"/>
      <c r="J169" s="45"/>
      <c r="K169" s="54">
        <v>0</v>
      </c>
      <c r="L169" s="45"/>
      <c r="M169" s="45"/>
      <c r="N169" s="54">
        <v>0</v>
      </c>
      <c r="O169" s="45"/>
      <c r="P169" s="45"/>
      <c r="Q169" s="45"/>
      <c r="R169" s="44">
        <f t="shared" si="68"/>
        <v>0</v>
      </c>
    </row>
    <row r="170" spans="1:41" x14ac:dyDescent="0.25">
      <c r="A170" s="122">
        <v>4</v>
      </c>
      <c r="B170" s="81" t="s">
        <v>161</v>
      </c>
      <c r="C170" s="49">
        <v>122740</v>
      </c>
      <c r="D170" s="49">
        <v>74397</v>
      </c>
      <c r="E170" s="43">
        <f t="shared" si="64"/>
        <v>64.979770689678361</v>
      </c>
      <c r="F170" s="49">
        <v>122740</v>
      </c>
      <c r="G170" s="49">
        <v>74397</v>
      </c>
      <c r="H170" s="43">
        <f t="shared" si="67"/>
        <v>64.979770689678361</v>
      </c>
      <c r="I170" s="49">
        <v>122740</v>
      </c>
      <c r="J170" s="49">
        <v>74397</v>
      </c>
      <c r="K170" s="43">
        <f t="shared" si="65"/>
        <v>64.979770689678361</v>
      </c>
      <c r="L170" s="49">
        <v>98272</v>
      </c>
      <c r="M170" s="49">
        <v>43883</v>
      </c>
      <c r="N170" s="54">
        <f t="shared" si="66"/>
        <v>123.94093384681995</v>
      </c>
      <c r="O170" s="89">
        <v>190</v>
      </c>
      <c r="P170" s="45">
        <v>128</v>
      </c>
      <c r="Q170" s="89">
        <v>201</v>
      </c>
      <c r="R170" s="44">
        <f t="shared" si="68"/>
        <v>24320</v>
      </c>
    </row>
    <row r="171" spans="1:41" ht="24" x14ac:dyDescent="0.25">
      <c r="A171" s="123">
        <v>5</v>
      </c>
      <c r="B171" s="124" t="s">
        <v>162</v>
      </c>
      <c r="C171" s="47">
        <v>491479</v>
      </c>
      <c r="D171" s="47">
        <v>274288</v>
      </c>
      <c r="E171" s="43">
        <f t="shared" si="64"/>
        <v>79.183558887009269</v>
      </c>
      <c r="F171" s="47">
        <v>491479</v>
      </c>
      <c r="G171" s="47">
        <v>274288</v>
      </c>
      <c r="H171" s="43">
        <f t="shared" si="67"/>
        <v>79.183558887009269</v>
      </c>
      <c r="I171" s="47">
        <v>380360</v>
      </c>
      <c r="J171" s="47">
        <v>83135</v>
      </c>
      <c r="K171" s="43">
        <f t="shared" si="65"/>
        <v>357.52089974138448</v>
      </c>
      <c r="L171" s="47">
        <v>364746</v>
      </c>
      <c r="M171" s="47">
        <v>53319</v>
      </c>
      <c r="N171" s="54">
        <f t="shared" si="66"/>
        <v>584.08259719799696</v>
      </c>
      <c r="O171" s="125"/>
      <c r="P171" s="42"/>
      <c r="Q171" s="125">
        <v>274</v>
      </c>
      <c r="R171" s="44">
        <f t="shared" si="68"/>
        <v>0</v>
      </c>
    </row>
    <row r="172" spans="1:41" s="126" customFormat="1" x14ac:dyDescent="0.25">
      <c r="A172" s="123">
        <v>6</v>
      </c>
      <c r="B172" s="124" t="s">
        <v>163</v>
      </c>
      <c r="C172" s="47">
        <v>558847</v>
      </c>
      <c r="D172" s="47">
        <v>396768</v>
      </c>
      <c r="E172" s="43">
        <f t="shared" si="64"/>
        <v>40.849816517461079</v>
      </c>
      <c r="F172" s="47">
        <v>558847</v>
      </c>
      <c r="G172" s="47">
        <v>396768</v>
      </c>
      <c r="H172" s="43">
        <f t="shared" si="67"/>
        <v>40.849816517461079</v>
      </c>
      <c r="I172" s="47">
        <v>558847</v>
      </c>
      <c r="J172" s="47">
        <v>396768</v>
      </c>
      <c r="K172" s="43">
        <f t="shared" si="65"/>
        <v>40.849816517461079</v>
      </c>
      <c r="L172" s="47">
        <f>226791+156891</f>
        <v>383682</v>
      </c>
      <c r="M172" s="47">
        <f>228444+52787</f>
        <v>281231</v>
      </c>
      <c r="N172" s="43">
        <f t="shared" si="66"/>
        <v>36.429483236200866</v>
      </c>
      <c r="O172" s="125">
        <v>256</v>
      </c>
      <c r="P172" s="42">
        <v>101</v>
      </c>
      <c r="Q172" s="125">
        <v>253</v>
      </c>
      <c r="R172" s="44">
        <f t="shared" si="68"/>
        <v>25856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s="126" customFormat="1" x14ac:dyDescent="0.25">
      <c r="A173" s="123">
        <v>7</v>
      </c>
      <c r="B173" s="81" t="s">
        <v>164</v>
      </c>
      <c r="C173" s="47">
        <v>514743</v>
      </c>
      <c r="D173" s="47">
        <v>0</v>
      </c>
      <c r="E173" s="43" t="e">
        <f t="shared" si="64"/>
        <v>#DIV/0!</v>
      </c>
      <c r="F173" s="47">
        <v>514743</v>
      </c>
      <c r="G173" s="47">
        <v>0</v>
      </c>
      <c r="H173" s="43" t="e">
        <f t="shared" si="67"/>
        <v>#DIV/0!</v>
      </c>
      <c r="I173" s="47">
        <v>520365</v>
      </c>
      <c r="J173" s="47">
        <v>0</v>
      </c>
      <c r="K173" s="43" t="e">
        <f t="shared" si="65"/>
        <v>#DIV/0!</v>
      </c>
      <c r="L173" s="47">
        <v>366735</v>
      </c>
      <c r="M173" s="47">
        <v>0</v>
      </c>
      <c r="N173" s="43" t="e">
        <f t="shared" si="66"/>
        <v>#DIV/0!</v>
      </c>
      <c r="O173" s="125"/>
      <c r="P173" s="42">
        <v>93</v>
      </c>
      <c r="Q173" s="125">
        <v>123</v>
      </c>
      <c r="R173" s="44">
        <f t="shared" si="68"/>
        <v>0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s="126" customFormat="1" x14ac:dyDescent="0.25">
      <c r="A174" s="123">
        <v>8</v>
      </c>
      <c r="B174" s="81" t="s">
        <v>165</v>
      </c>
      <c r="C174" s="47">
        <v>0</v>
      </c>
      <c r="D174" s="47">
        <v>0</v>
      </c>
      <c r="E174" s="43" t="e">
        <f t="shared" si="64"/>
        <v>#DIV/0!</v>
      </c>
      <c r="F174" s="47">
        <v>0</v>
      </c>
      <c r="G174" s="47">
        <v>0</v>
      </c>
      <c r="H174" s="43" t="e">
        <f t="shared" si="67"/>
        <v>#DIV/0!</v>
      </c>
      <c r="I174" s="47">
        <v>0</v>
      </c>
      <c r="J174" s="47">
        <v>0</v>
      </c>
      <c r="K174" s="43" t="e">
        <f t="shared" si="65"/>
        <v>#DIV/0!</v>
      </c>
      <c r="L174" s="47">
        <v>0</v>
      </c>
      <c r="M174" s="47">
        <v>0</v>
      </c>
      <c r="N174" s="43" t="e">
        <f t="shared" si="66"/>
        <v>#DIV/0!</v>
      </c>
      <c r="O174" s="125"/>
      <c r="P174" s="42">
        <v>80</v>
      </c>
      <c r="Q174" s="125">
        <v>12</v>
      </c>
      <c r="R174" s="44">
        <f t="shared" si="68"/>
        <v>0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s="130" customFormat="1" x14ac:dyDescent="0.25">
      <c r="A175" s="60">
        <v>9</v>
      </c>
      <c r="B175" s="128" t="s">
        <v>166</v>
      </c>
      <c r="C175" s="60">
        <v>127701</v>
      </c>
      <c r="D175" s="60">
        <v>39032</v>
      </c>
      <c r="E175" s="43">
        <f t="shared" si="64"/>
        <v>227.17001434720225</v>
      </c>
      <c r="F175" s="60">
        <v>127701</v>
      </c>
      <c r="G175" s="60">
        <v>39032</v>
      </c>
      <c r="H175" s="43">
        <f t="shared" si="67"/>
        <v>227.17001434720225</v>
      </c>
      <c r="I175" s="60">
        <v>127563</v>
      </c>
      <c r="J175" s="60">
        <v>31780</v>
      </c>
      <c r="K175" s="54">
        <f t="shared" si="65"/>
        <v>301.39395846444302</v>
      </c>
      <c r="L175" s="60">
        <v>0</v>
      </c>
      <c r="M175" s="60">
        <v>0</v>
      </c>
      <c r="N175" s="129" t="e">
        <f t="shared" si="66"/>
        <v>#DIV/0!</v>
      </c>
      <c r="O175" s="60">
        <v>160</v>
      </c>
      <c r="P175" s="60">
        <v>77</v>
      </c>
      <c r="Q175" s="60">
        <v>264</v>
      </c>
      <c r="R175" s="44">
        <f t="shared" si="68"/>
        <v>12320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s="130" customFormat="1" x14ac:dyDescent="0.25">
      <c r="A176" s="60">
        <v>10</v>
      </c>
      <c r="B176" s="128" t="s">
        <v>167</v>
      </c>
      <c r="C176" s="60">
        <v>218752</v>
      </c>
      <c r="D176" s="60">
        <v>434585</v>
      </c>
      <c r="E176" s="43">
        <f t="shared" si="64"/>
        <v>-49.664162361793437</v>
      </c>
      <c r="F176" s="60">
        <v>218752</v>
      </c>
      <c r="G176" s="60">
        <v>434585</v>
      </c>
      <c r="H176" s="43">
        <f t="shared" si="67"/>
        <v>-49.664162361793437</v>
      </c>
      <c r="I176" s="60">
        <v>218752</v>
      </c>
      <c r="J176" s="60">
        <v>434585</v>
      </c>
      <c r="K176" s="54">
        <f t="shared" si="65"/>
        <v>-49.664162361793437</v>
      </c>
      <c r="L176" s="60">
        <v>218752</v>
      </c>
      <c r="M176" s="60">
        <f>433883+702</f>
        <v>434585</v>
      </c>
      <c r="N176" s="129">
        <f t="shared" si="66"/>
        <v>-49.664162361793437</v>
      </c>
      <c r="O176" s="60">
        <v>82</v>
      </c>
      <c r="P176" s="60">
        <v>235</v>
      </c>
      <c r="Q176" s="60">
        <v>66</v>
      </c>
      <c r="R176" s="44">
        <f t="shared" si="68"/>
        <v>19270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s="130" customFormat="1" x14ac:dyDescent="0.25">
      <c r="A177" s="60">
        <v>11</v>
      </c>
      <c r="B177" s="128" t="s">
        <v>219</v>
      </c>
      <c r="C177" s="60">
        <v>3468</v>
      </c>
      <c r="D177" s="60">
        <v>2450</v>
      </c>
      <c r="E177" s="43">
        <f t="shared" si="64"/>
        <v>41.551020408163282</v>
      </c>
      <c r="F177" s="60">
        <v>3468</v>
      </c>
      <c r="G177" s="60">
        <v>2450</v>
      </c>
      <c r="H177" s="43">
        <f t="shared" si="67"/>
        <v>41.551020408163282</v>
      </c>
      <c r="I177" s="60">
        <v>3468</v>
      </c>
      <c r="J177" s="60">
        <v>2450</v>
      </c>
      <c r="K177" s="54">
        <f t="shared" si="65"/>
        <v>41.551020408163282</v>
      </c>
      <c r="L177" s="60">
        <v>0</v>
      </c>
      <c r="M177" s="60">
        <v>0</v>
      </c>
      <c r="N177" s="129" t="e">
        <f t="shared" si="66"/>
        <v>#DIV/0!</v>
      </c>
      <c r="O177" s="60">
        <v>10</v>
      </c>
      <c r="P177" s="60"/>
      <c r="Q177" s="60"/>
      <c r="R177" s="44">
        <f t="shared" si="68"/>
        <v>0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s="130" customFormat="1" x14ac:dyDescent="0.25">
      <c r="A178" s="60">
        <v>12</v>
      </c>
      <c r="B178" s="128" t="s">
        <v>220</v>
      </c>
      <c r="C178" s="60">
        <v>155417</v>
      </c>
      <c r="D178" s="60">
        <v>115589</v>
      </c>
      <c r="E178" s="43">
        <f t="shared" si="64"/>
        <v>34.45656593620501</v>
      </c>
      <c r="F178" s="60">
        <v>155417</v>
      </c>
      <c r="G178" s="60">
        <v>115589</v>
      </c>
      <c r="H178" s="43">
        <f t="shared" si="67"/>
        <v>34.45656593620501</v>
      </c>
      <c r="I178" s="60">
        <v>158474</v>
      </c>
      <c r="J178" s="60">
        <v>122063</v>
      </c>
      <c r="K178" s="54">
        <f t="shared" si="65"/>
        <v>29.829678117037929</v>
      </c>
      <c r="L178" s="60">
        <v>22936</v>
      </c>
      <c r="M178" s="60">
        <f>41224+253</f>
        <v>41477</v>
      </c>
      <c r="N178" s="129">
        <f t="shared" si="66"/>
        <v>-44.701882971285286</v>
      </c>
      <c r="O178" s="60"/>
      <c r="P178" s="60"/>
      <c r="Q178" s="60"/>
      <c r="R178" s="44">
        <f t="shared" si="68"/>
        <v>0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s="130" customFormat="1" x14ac:dyDescent="0.25">
      <c r="A179" s="60">
        <v>13</v>
      </c>
      <c r="B179" s="128" t="s">
        <v>221</v>
      </c>
      <c r="C179" s="60">
        <v>82710</v>
      </c>
      <c r="D179" s="60">
        <v>58546</v>
      </c>
      <c r="E179" s="43">
        <f t="shared" si="64"/>
        <v>41.273528507498384</v>
      </c>
      <c r="F179" s="60">
        <v>82710</v>
      </c>
      <c r="G179" s="60">
        <v>58546</v>
      </c>
      <c r="H179" s="43">
        <f t="shared" si="67"/>
        <v>41.273528507498384</v>
      </c>
      <c r="I179" s="60">
        <v>92701</v>
      </c>
      <c r="J179" s="60">
        <v>80125</v>
      </c>
      <c r="K179" s="54">
        <f t="shared" si="65"/>
        <v>15.695475819032765</v>
      </c>
      <c r="L179" s="60">
        <v>69656</v>
      </c>
      <c r="M179" s="60">
        <f>49736+296</f>
        <v>50032</v>
      </c>
      <c r="N179" s="129">
        <f t="shared" si="66"/>
        <v>39.222897345698755</v>
      </c>
      <c r="O179" s="60"/>
      <c r="P179" s="60"/>
      <c r="Q179" s="60"/>
      <c r="R179" s="44">
        <f t="shared" si="68"/>
        <v>0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s="130" customFormat="1" x14ac:dyDescent="0.25">
      <c r="A180" s="60">
        <v>14</v>
      </c>
      <c r="B180" s="181" t="s">
        <v>237</v>
      </c>
      <c r="C180" s="60">
        <v>323113</v>
      </c>
      <c r="D180" s="60">
        <v>49822</v>
      </c>
      <c r="E180" s="43">
        <f t="shared" si="64"/>
        <v>548.53478383043637</v>
      </c>
      <c r="F180" s="60">
        <v>323113</v>
      </c>
      <c r="G180" s="60">
        <v>49822</v>
      </c>
      <c r="H180" s="43">
        <f t="shared" si="67"/>
        <v>548.53478383043637</v>
      </c>
      <c r="I180" s="60">
        <v>323113</v>
      </c>
      <c r="J180" s="60">
        <v>49822</v>
      </c>
      <c r="K180" s="54">
        <f t="shared" si="65"/>
        <v>548.53478383043637</v>
      </c>
      <c r="L180" s="60">
        <v>320942</v>
      </c>
      <c r="M180" s="60">
        <v>40015</v>
      </c>
      <c r="N180" s="129">
        <f t="shared" si="66"/>
        <v>702.05422966387607</v>
      </c>
      <c r="O180" s="60">
        <v>33</v>
      </c>
      <c r="P180" s="60">
        <v>110</v>
      </c>
      <c r="Q180" s="60"/>
      <c r="R180" s="44">
        <f t="shared" si="68"/>
        <v>3630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s="130" customFormat="1" x14ac:dyDescent="0.25">
      <c r="A181" s="60">
        <v>15</v>
      </c>
      <c r="B181" s="128" t="s">
        <v>222</v>
      </c>
      <c r="C181" s="60">
        <v>418</v>
      </c>
      <c r="D181" s="60">
        <v>0</v>
      </c>
      <c r="E181" s="43" t="e">
        <f t="shared" si="64"/>
        <v>#DIV/0!</v>
      </c>
      <c r="F181" s="60">
        <v>418</v>
      </c>
      <c r="G181" s="60">
        <v>0</v>
      </c>
      <c r="H181" s="43" t="e">
        <f t="shared" si="67"/>
        <v>#DIV/0!</v>
      </c>
      <c r="I181" s="60">
        <v>418</v>
      </c>
      <c r="J181" s="60">
        <v>0</v>
      </c>
      <c r="K181" s="54" t="e">
        <f t="shared" si="65"/>
        <v>#DIV/0!</v>
      </c>
      <c r="L181" s="60">
        <v>0</v>
      </c>
      <c r="M181" s="60">
        <v>0</v>
      </c>
      <c r="N181" s="129" t="e">
        <f t="shared" si="66"/>
        <v>#DIV/0!</v>
      </c>
      <c r="O181" s="60"/>
      <c r="P181" s="60"/>
      <c r="Q181" s="60"/>
      <c r="R181" s="44">
        <f t="shared" si="68"/>
        <v>0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 s="45">
        <v>16</v>
      </c>
      <c r="B182" s="81" t="s">
        <v>168</v>
      </c>
      <c r="C182" s="45">
        <v>47504</v>
      </c>
      <c r="D182" s="45">
        <v>21444</v>
      </c>
      <c r="E182" s="43">
        <f t="shared" si="64"/>
        <v>121.52583473232608</v>
      </c>
      <c r="F182" s="45">
        <v>47504</v>
      </c>
      <c r="G182" s="45">
        <v>21444</v>
      </c>
      <c r="H182" s="43">
        <f t="shared" si="67"/>
        <v>121.52583473232608</v>
      </c>
      <c r="I182" s="45">
        <v>83048</v>
      </c>
      <c r="J182" s="45">
        <v>71138</v>
      </c>
      <c r="K182" s="43">
        <f t="shared" si="65"/>
        <v>16.742106890831906</v>
      </c>
      <c r="L182" s="45">
        <v>0</v>
      </c>
      <c r="M182" s="45">
        <v>0</v>
      </c>
      <c r="N182" s="43" t="e">
        <f t="shared" si="66"/>
        <v>#DIV/0!</v>
      </c>
      <c r="O182" s="45">
        <v>45</v>
      </c>
      <c r="P182" s="45">
        <v>85</v>
      </c>
      <c r="Q182" s="45">
        <v>36</v>
      </c>
      <c r="R182" s="44">
        <f t="shared" si="68"/>
        <v>3825</v>
      </c>
      <c r="T182" s="39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</row>
    <row r="183" spans="1:41" ht="27" x14ac:dyDescent="0.25">
      <c r="A183" s="42">
        <v>17</v>
      </c>
      <c r="B183" s="184" t="s">
        <v>239</v>
      </c>
      <c r="C183" s="42">
        <v>280264</v>
      </c>
      <c r="D183" s="42">
        <v>25148</v>
      </c>
      <c r="E183" s="43">
        <f t="shared" si="64"/>
        <v>1014.4584062350884</v>
      </c>
      <c r="F183" s="42">
        <v>147947</v>
      </c>
      <c r="G183" s="42">
        <v>11718</v>
      </c>
      <c r="H183" s="43">
        <f t="shared" si="67"/>
        <v>1162.5618706263867</v>
      </c>
      <c r="I183" s="42">
        <v>362821</v>
      </c>
      <c r="J183" s="42">
        <v>79990</v>
      </c>
      <c r="K183" s="43">
        <f t="shared" si="65"/>
        <v>353.58294786848353</v>
      </c>
      <c r="L183" s="42">
        <f>20600+2472</f>
        <v>23072</v>
      </c>
      <c r="M183" s="42">
        <v>11835</v>
      </c>
      <c r="N183" s="43">
        <f t="shared" si="66"/>
        <v>94.947190536544156</v>
      </c>
      <c r="O183" s="42"/>
      <c r="P183" s="42"/>
      <c r="Q183" s="42"/>
      <c r="R183" s="44"/>
      <c r="T183" s="39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</row>
    <row r="184" spans="1:41" x14ac:dyDescent="0.25">
      <c r="A184" s="893" t="s">
        <v>169</v>
      </c>
      <c r="B184" s="894" t="s">
        <v>119</v>
      </c>
      <c r="C184" s="67">
        <f>SUM(C167:C182)</f>
        <v>3828944</v>
      </c>
      <c r="D184" s="67">
        <f>SUM(D167:D182)</f>
        <v>3491028</v>
      </c>
      <c r="E184" s="57">
        <f t="shared" si="64"/>
        <v>9.6795557068004143</v>
      </c>
      <c r="F184" s="67">
        <f>SUM(F167:F182)</f>
        <v>3828944</v>
      </c>
      <c r="G184" s="67">
        <f>SUM(G167:G182)</f>
        <v>3491028</v>
      </c>
      <c r="H184" s="57">
        <f t="shared" si="67"/>
        <v>9.6795557068004143</v>
      </c>
      <c r="I184" s="67">
        <f>SUM(I167:I182)</f>
        <v>3558686</v>
      </c>
      <c r="J184" s="67">
        <f>SUM(J167:J182)</f>
        <v>2984605</v>
      </c>
      <c r="K184" s="57">
        <f t="shared" si="65"/>
        <v>19.234739605408421</v>
      </c>
      <c r="L184" s="67">
        <f>SUM(L167:L182)</f>
        <v>2589604</v>
      </c>
      <c r="M184" s="67">
        <f>SUM(M167:M182)</f>
        <v>2401993</v>
      </c>
      <c r="N184" s="57">
        <f t="shared" si="66"/>
        <v>7.8106389152674467</v>
      </c>
      <c r="O184" s="67">
        <f>SUM(O167:O182)</f>
        <v>1234</v>
      </c>
      <c r="P184" s="68">
        <f>R184/O184</f>
        <v>135.30064829821717</v>
      </c>
      <c r="Q184" s="67">
        <f>SUM(Q167:Q182)</f>
        <v>1688</v>
      </c>
      <c r="R184" s="67">
        <f>SUM(R167:R182)</f>
        <v>166961</v>
      </c>
      <c r="T184" s="73"/>
    </row>
    <row r="185" spans="1:41" x14ac:dyDescent="0.25">
      <c r="A185" s="45"/>
      <c r="B185" s="132"/>
      <c r="C185" s="45"/>
      <c r="D185" s="45"/>
      <c r="E185" s="43"/>
      <c r="F185" s="45"/>
      <c r="G185" s="45"/>
      <c r="H185" s="43"/>
      <c r="I185" s="45"/>
      <c r="J185" s="45"/>
      <c r="K185" s="43"/>
      <c r="L185" s="45"/>
      <c r="M185" s="45"/>
      <c r="N185" s="43"/>
      <c r="O185" s="45"/>
      <c r="P185" s="45"/>
      <c r="Q185" s="45"/>
      <c r="R185" s="44"/>
      <c r="T185" s="131"/>
    </row>
    <row r="186" spans="1:41" x14ac:dyDescent="0.25">
      <c r="A186" s="45"/>
      <c r="B186" s="133" t="s">
        <v>170</v>
      </c>
      <c r="C186" s="45"/>
      <c r="D186" s="45"/>
      <c r="E186" s="43"/>
      <c r="F186" s="45"/>
      <c r="G186" s="45"/>
      <c r="H186" s="43"/>
      <c r="I186" s="45"/>
      <c r="J186" s="45"/>
      <c r="K186" s="43"/>
      <c r="L186" s="45"/>
      <c r="M186" s="45"/>
      <c r="N186" s="43"/>
      <c r="O186" s="45"/>
      <c r="P186" s="45"/>
      <c r="Q186" s="45"/>
      <c r="R186" s="44"/>
    </row>
    <row r="187" spans="1:41" x14ac:dyDescent="0.25">
      <c r="A187" s="45">
        <v>1</v>
      </c>
      <c r="B187" s="81" t="s">
        <v>171</v>
      </c>
      <c r="C187" s="45">
        <v>0</v>
      </c>
      <c r="D187" s="45">
        <v>4703</v>
      </c>
      <c r="E187" s="43">
        <f t="shared" si="64"/>
        <v>-100</v>
      </c>
      <c r="F187" s="45">
        <v>0</v>
      </c>
      <c r="G187" s="45">
        <v>4703</v>
      </c>
      <c r="H187" s="43">
        <f t="shared" si="67"/>
        <v>-100</v>
      </c>
      <c r="I187" s="45">
        <v>12689</v>
      </c>
      <c r="J187" s="45">
        <v>10422</v>
      </c>
      <c r="K187" s="43">
        <f t="shared" si="65"/>
        <v>21.752062943772785</v>
      </c>
      <c r="L187" s="45">
        <v>12387</v>
      </c>
      <c r="M187" s="45">
        <v>9672</v>
      </c>
      <c r="N187" s="43">
        <f t="shared" ref="N187:N192" si="69">L187/M187*100-100</f>
        <v>28.070719602977675</v>
      </c>
      <c r="O187" s="45">
        <v>18</v>
      </c>
      <c r="P187" s="45">
        <v>91</v>
      </c>
      <c r="Q187" s="45">
        <v>33</v>
      </c>
      <c r="R187" s="44">
        <f>O187*P187</f>
        <v>1638</v>
      </c>
    </row>
    <row r="188" spans="1:41" x14ac:dyDescent="0.25">
      <c r="A188" s="45">
        <v>2</v>
      </c>
      <c r="B188" s="81" t="s">
        <v>172</v>
      </c>
      <c r="C188" s="45">
        <v>71686</v>
      </c>
      <c r="D188" s="45">
        <v>106731</v>
      </c>
      <c r="E188" s="54">
        <f t="shared" si="64"/>
        <v>-32.834883960611265</v>
      </c>
      <c r="F188" s="45">
        <v>71686</v>
      </c>
      <c r="G188" s="45">
        <v>106731</v>
      </c>
      <c r="H188" s="43">
        <f t="shared" si="67"/>
        <v>-32.834883960611265</v>
      </c>
      <c r="I188" s="45">
        <v>106297</v>
      </c>
      <c r="J188" s="45">
        <v>70137</v>
      </c>
      <c r="K188" s="43">
        <f t="shared" si="65"/>
        <v>51.556239930421896</v>
      </c>
      <c r="L188" s="45">
        <v>63136</v>
      </c>
      <c r="M188" s="45">
        <v>10204</v>
      </c>
      <c r="N188" s="43">
        <f t="shared" si="69"/>
        <v>518.73774990199922</v>
      </c>
      <c r="O188" s="45"/>
      <c r="P188" s="45">
        <v>71</v>
      </c>
      <c r="Q188" s="45"/>
      <c r="R188" s="44">
        <f t="shared" ref="R188:R201" si="70">O188*P188</f>
        <v>0</v>
      </c>
    </row>
    <row r="189" spans="1:41" x14ac:dyDescent="0.25">
      <c r="A189" s="45">
        <v>3</v>
      </c>
      <c r="B189" s="81" t="s">
        <v>173</v>
      </c>
      <c r="C189" s="45">
        <v>43146</v>
      </c>
      <c r="D189" s="45">
        <v>0</v>
      </c>
      <c r="E189" s="54" t="e">
        <f t="shared" si="64"/>
        <v>#DIV/0!</v>
      </c>
      <c r="F189" s="45">
        <v>43146</v>
      </c>
      <c r="G189" s="45">
        <v>0</v>
      </c>
      <c r="H189" s="43" t="e">
        <f t="shared" si="67"/>
        <v>#DIV/0!</v>
      </c>
      <c r="I189" s="45">
        <v>58261</v>
      </c>
      <c r="J189" s="45">
        <v>6572</v>
      </c>
      <c r="K189" s="43">
        <f t="shared" si="65"/>
        <v>786.50334753499692</v>
      </c>
      <c r="L189" s="45">
        <v>43824</v>
      </c>
      <c r="M189" s="45">
        <v>0</v>
      </c>
      <c r="N189" s="43" t="e">
        <f t="shared" si="69"/>
        <v>#DIV/0!</v>
      </c>
      <c r="O189" s="45">
        <v>81</v>
      </c>
      <c r="P189" s="45">
        <v>85</v>
      </c>
      <c r="Q189" s="45">
        <v>85</v>
      </c>
      <c r="R189" s="44">
        <f t="shared" si="70"/>
        <v>6885</v>
      </c>
    </row>
    <row r="190" spans="1:41" x14ac:dyDescent="0.25">
      <c r="A190" s="45">
        <v>4</v>
      </c>
      <c r="B190" s="81" t="s">
        <v>174</v>
      </c>
      <c r="C190" s="45">
        <v>101938</v>
      </c>
      <c r="D190" s="45">
        <v>322521</v>
      </c>
      <c r="E190" s="54">
        <f t="shared" si="64"/>
        <v>-68.393375935210429</v>
      </c>
      <c r="F190" s="45">
        <v>101938</v>
      </c>
      <c r="G190" s="45">
        <v>322521</v>
      </c>
      <c r="H190" s="43">
        <f t="shared" si="67"/>
        <v>-68.393375935210429</v>
      </c>
      <c r="I190" s="45">
        <v>116385</v>
      </c>
      <c r="J190" s="45">
        <v>275440</v>
      </c>
      <c r="K190" s="43">
        <f t="shared" si="65"/>
        <v>-57.745788556491433</v>
      </c>
      <c r="L190" s="45">
        <v>70029</v>
      </c>
      <c r="M190" s="45">
        <f>202642+31510</f>
        <v>234152</v>
      </c>
      <c r="N190" s="43">
        <f t="shared" si="69"/>
        <v>-70.092504014486309</v>
      </c>
      <c r="O190" s="45">
        <v>210</v>
      </c>
      <c r="P190" s="45">
        <v>200</v>
      </c>
      <c r="Q190" s="45">
        <v>240</v>
      </c>
      <c r="R190" s="44">
        <f t="shared" si="70"/>
        <v>42000</v>
      </c>
    </row>
    <row r="191" spans="1:41" x14ac:dyDescent="0.25">
      <c r="A191" s="45">
        <v>5</v>
      </c>
      <c r="B191" s="81" t="s">
        <v>175</v>
      </c>
      <c r="C191" s="45">
        <v>3104794</v>
      </c>
      <c r="D191" s="45">
        <v>7592870</v>
      </c>
      <c r="E191" s="43">
        <f t="shared" si="64"/>
        <v>-59.109085233910236</v>
      </c>
      <c r="F191" s="45">
        <v>3104794</v>
      </c>
      <c r="G191" s="45">
        <v>7592870</v>
      </c>
      <c r="H191" s="43">
        <f t="shared" si="67"/>
        <v>-59.109085233910236</v>
      </c>
      <c r="I191" s="45">
        <v>1864032</v>
      </c>
      <c r="J191" s="45">
        <v>3430868</v>
      </c>
      <c r="K191" s="43">
        <f t="shared" si="65"/>
        <v>-45.668792853586901</v>
      </c>
      <c r="L191" s="45">
        <v>0</v>
      </c>
      <c r="M191" s="45">
        <v>148688</v>
      </c>
      <c r="N191" s="43">
        <f t="shared" si="69"/>
        <v>-100</v>
      </c>
      <c r="O191" s="45"/>
      <c r="P191" s="45">
        <v>47</v>
      </c>
      <c r="Q191" s="45">
        <v>778</v>
      </c>
      <c r="R191" s="44">
        <f t="shared" si="70"/>
        <v>0</v>
      </c>
    </row>
    <row r="192" spans="1:41" x14ac:dyDescent="0.25">
      <c r="A192" s="45">
        <v>6</v>
      </c>
      <c r="B192" s="81" t="s">
        <v>176</v>
      </c>
      <c r="C192" s="45">
        <v>185234</v>
      </c>
      <c r="D192" s="45">
        <v>205590</v>
      </c>
      <c r="E192" s="43">
        <f t="shared" si="64"/>
        <v>-9.9012597889002336</v>
      </c>
      <c r="F192" s="45">
        <v>185234</v>
      </c>
      <c r="G192" s="45">
        <v>205590</v>
      </c>
      <c r="H192" s="43">
        <f t="shared" si="67"/>
        <v>-9.9012597889002336</v>
      </c>
      <c r="I192" s="45">
        <v>173089</v>
      </c>
      <c r="J192" s="45">
        <v>279411</v>
      </c>
      <c r="K192" s="43">
        <f t="shared" si="65"/>
        <v>-38.052188353357593</v>
      </c>
      <c r="L192" s="45">
        <v>0</v>
      </c>
      <c r="M192" s="45">
        <v>0</v>
      </c>
      <c r="N192" s="43" t="e">
        <f t="shared" si="69"/>
        <v>#DIV/0!</v>
      </c>
      <c r="O192" s="45">
        <v>459</v>
      </c>
      <c r="P192" s="45">
        <v>151</v>
      </c>
      <c r="Q192" s="45">
        <v>471</v>
      </c>
      <c r="R192" s="44">
        <f t="shared" si="70"/>
        <v>69309</v>
      </c>
    </row>
    <row r="193" spans="1:18" x14ac:dyDescent="0.25">
      <c r="A193" s="45">
        <v>7</v>
      </c>
      <c r="B193" s="81" t="s">
        <v>177</v>
      </c>
      <c r="C193" s="45">
        <v>78947</v>
      </c>
      <c r="D193" s="45">
        <v>71909</v>
      </c>
      <c r="E193" s="43">
        <f t="shared" si="64"/>
        <v>9.7873701483819815</v>
      </c>
      <c r="F193" s="45">
        <v>78947</v>
      </c>
      <c r="G193" s="45">
        <v>71909</v>
      </c>
      <c r="H193" s="43">
        <f t="shared" si="67"/>
        <v>9.7873701483819815</v>
      </c>
      <c r="I193" s="45">
        <v>95568</v>
      </c>
      <c r="J193" s="45">
        <v>70414</v>
      </c>
      <c r="K193" s="43">
        <f t="shared" si="65"/>
        <v>35.723009628766988</v>
      </c>
      <c r="L193" s="45">
        <v>26780</v>
      </c>
      <c r="M193" s="45">
        <v>0</v>
      </c>
      <c r="N193" s="43">
        <v>0</v>
      </c>
      <c r="O193" s="45">
        <v>168</v>
      </c>
      <c r="P193" s="45">
        <v>104</v>
      </c>
      <c r="Q193" s="45">
        <v>168</v>
      </c>
      <c r="R193" s="44">
        <f t="shared" si="70"/>
        <v>17472</v>
      </c>
    </row>
    <row r="194" spans="1:18" x14ac:dyDescent="0.25">
      <c r="A194" s="45">
        <v>8</v>
      </c>
      <c r="B194" s="81" t="s">
        <v>178</v>
      </c>
      <c r="C194" s="45">
        <v>33485</v>
      </c>
      <c r="D194" s="45">
        <v>44484</v>
      </c>
      <c r="E194" s="43">
        <f t="shared" si="64"/>
        <v>-24.725744087761896</v>
      </c>
      <c r="F194" s="45">
        <v>33485</v>
      </c>
      <c r="G194" s="45">
        <v>44484</v>
      </c>
      <c r="H194" s="43">
        <f t="shared" si="67"/>
        <v>-24.725744087761896</v>
      </c>
      <c r="I194" s="45">
        <v>50509</v>
      </c>
      <c r="J194" s="45">
        <v>48742</v>
      </c>
      <c r="K194" s="43">
        <f t="shared" si="65"/>
        <v>3.6252102909195401</v>
      </c>
      <c r="L194" s="45">
        <v>44352</v>
      </c>
      <c r="M194" s="45">
        <v>46619</v>
      </c>
      <c r="N194" s="43">
        <f t="shared" ref="N194:N200" si="71">L194/M194*100-100</f>
        <v>-4.8628241704026181</v>
      </c>
      <c r="O194" s="45">
        <v>30</v>
      </c>
      <c r="P194" s="45">
        <v>80</v>
      </c>
      <c r="Q194" s="45">
        <v>32</v>
      </c>
      <c r="R194" s="44">
        <f t="shared" si="70"/>
        <v>2400</v>
      </c>
    </row>
    <row r="195" spans="1:18" x14ac:dyDescent="0.25">
      <c r="A195" s="45">
        <v>9</v>
      </c>
      <c r="B195" s="81" t="s">
        <v>179</v>
      </c>
      <c r="C195" s="45">
        <v>118199</v>
      </c>
      <c r="D195" s="45">
        <v>122008</v>
      </c>
      <c r="E195" s="43">
        <f t="shared" si="64"/>
        <v>-3.1219264310536943</v>
      </c>
      <c r="F195" s="45">
        <v>118199</v>
      </c>
      <c r="G195" s="45">
        <v>122008</v>
      </c>
      <c r="H195" s="43">
        <f t="shared" si="67"/>
        <v>-3.1219264310536943</v>
      </c>
      <c r="I195" s="45">
        <v>115749</v>
      </c>
      <c r="J195" s="45">
        <v>80084</v>
      </c>
      <c r="K195" s="43">
        <f t="shared" si="65"/>
        <v>44.534488786773892</v>
      </c>
      <c r="L195" s="45">
        <v>0</v>
      </c>
      <c r="M195" s="45">
        <v>0</v>
      </c>
      <c r="N195" s="43" t="e">
        <f t="shared" si="71"/>
        <v>#DIV/0!</v>
      </c>
      <c r="O195" s="45">
        <v>160</v>
      </c>
      <c r="P195" s="45">
        <v>120</v>
      </c>
      <c r="Q195" s="45">
        <v>166</v>
      </c>
      <c r="R195" s="44">
        <f t="shared" si="70"/>
        <v>19200</v>
      </c>
    </row>
    <row r="196" spans="1:18" x14ac:dyDescent="0.25">
      <c r="A196" s="45">
        <v>10</v>
      </c>
      <c r="B196" s="128" t="s">
        <v>180</v>
      </c>
      <c r="C196" s="60">
        <v>55438</v>
      </c>
      <c r="D196" s="60">
        <v>29485</v>
      </c>
      <c r="E196" s="43">
        <f t="shared" si="64"/>
        <v>88.021027641173475</v>
      </c>
      <c r="F196" s="60">
        <v>55438</v>
      </c>
      <c r="G196" s="60">
        <v>29485</v>
      </c>
      <c r="H196" s="43">
        <f t="shared" si="67"/>
        <v>88.021027641173475</v>
      </c>
      <c r="I196" s="60">
        <v>55438</v>
      </c>
      <c r="J196" s="60">
        <v>29485</v>
      </c>
      <c r="K196" s="54">
        <f t="shared" si="65"/>
        <v>88.021027641173475</v>
      </c>
      <c r="L196" s="60">
        <f>27446+7368</f>
        <v>34814</v>
      </c>
      <c r="M196" s="60">
        <f>29463+22</f>
        <v>29485</v>
      </c>
      <c r="N196" s="43">
        <f t="shared" si="71"/>
        <v>18.073596744107178</v>
      </c>
      <c r="O196" s="134"/>
      <c r="P196" s="134"/>
      <c r="Q196" s="134">
        <v>76</v>
      </c>
      <c r="R196" s="44">
        <f t="shared" si="70"/>
        <v>0</v>
      </c>
    </row>
    <row r="197" spans="1:18" x14ac:dyDescent="0.25">
      <c r="A197" s="45">
        <v>11</v>
      </c>
      <c r="B197" s="128" t="s">
        <v>181</v>
      </c>
      <c r="C197" s="60">
        <v>21323</v>
      </c>
      <c r="D197" s="60">
        <v>5950</v>
      </c>
      <c r="E197" s="43">
        <f t="shared" si="64"/>
        <v>258.36974789915968</v>
      </c>
      <c r="F197" s="60">
        <v>21323</v>
      </c>
      <c r="G197" s="60">
        <v>5950</v>
      </c>
      <c r="H197" s="43">
        <f t="shared" si="67"/>
        <v>258.36974789915968</v>
      </c>
      <c r="I197" s="60">
        <v>21323</v>
      </c>
      <c r="J197" s="60">
        <v>5950</v>
      </c>
      <c r="K197" s="54">
        <f t="shared" si="65"/>
        <v>258.36974789915968</v>
      </c>
      <c r="L197" s="60">
        <v>0</v>
      </c>
      <c r="M197" s="60">
        <v>0</v>
      </c>
      <c r="N197" s="43" t="e">
        <f t="shared" si="71"/>
        <v>#DIV/0!</v>
      </c>
      <c r="O197" s="134">
        <v>17</v>
      </c>
      <c r="P197" s="134"/>
      <c r="Q197" s="134">
        <v>17</v>
      </c>
      <c r="R197" s="44">
        <f t="shared" si="70"/>
        <v>0</v>
      </c>
    </row>
    <row r="198" spans="1:18" x14ac:dyDescent="0.25">
      <c r="A198" s="45">
        <v>12</v>
      </c>
      <c r="B198" s="81" t="s">
        <v>182</v>
      </c>
      <c r="C198" s="45">
        <v>43001</v>
      </c>
      <c r="D198" s="45">
        <v>21206</v>
      </c>
      <c r="E198" s="43">
        <f t="shared" si="64"/>
        <v>102.77751579741584</v>
      </c>
      <c r="F198" s="45">
        <v>43001</v>
      </c>
      <c r="G198" s="45">
        <v>21206</v>
      </c>
      <c r="H198" s="43">
        <f t="shared" si="67"/>
        <v>102.77751579741584</v>
      </c>
      <c r="I198" s="45">
        <v>42251</v>
      </c>
      <c r="J198" s="45">
        <v>21384</v>
      </c>
      <c r="K198" s="43">
        <f t="shared" si="65"/>
        <v>97.58230452674897</v>
      </c>
      <c r="L198" s="45">
        <v>1501</v>
      </c>
      <c r="M198" s="45">
        <v>0</v>
      </c>
      <c r="N198" s="43" t="e">
        <f t="shared" si="71"/>
        <v>#DIV/0!</v>
      </c>
      <c r="O198" s="45">
        <v>102</v>
      </c>
      <c r="P198" s="45">
        <v>95</v>
      </c>
      <c r="Q198" s="45">
        <v>102</v>
      </c>
      <c r="R198" s="44">
        <f t="shared" si="70"/>
        <v>9690</v>
      </c>
    </row>
    <row r="199" spans="1:18" x14ac:dyDescent="0.25">
      <c r="A199" s="45">
        <v>13</v>
      </c>
      <c r="B199" s="81" t="s">
        <v>223</v>
      </c>
      <c r="C199" s="45">
        <v>113576</v>
      </c>
      <c r="D199" s="45">
        <v>68355</v>
      </c>
      <c r="E199" s="43">
        <f t="shared" si="64"/>
        <v>66.156096847341104</v>
      </c>
      <c r="F199" s="45">
        <v>113576</v>
      </c>
      <c r="G199" s="45">
        <v>68355</v>
      </c>
      <c r="H199" s="43">
        <f t="shared" si="67"/>
        <v>66.156096847341104</v>
      </c>
      <c r="I199" s="45">
        <v>113576</v>
      </c>
      <c r="J199" s="45">
        <v>68355</v>
      </c>
      <c r="K199" s="43">
        <f t="shared" si="65"/>
        <v>66.156096847341104</v>
      </c>
      <c r="L199" s="45">
        <v>18464</v>
      </c>
      <c r="M199" s="45">
        <v>6949</v>
      </c>
      <c r="N199" s="43">
        <f t="shared" si="71"/>
        <v>165.70729601381493</v>
      </c>
      <c r="O199" s="45">
        <v>156</v>
      </c>
      <c r="P199" s="45"/>
      <c r="Q199" s="45"/>
      <c r="R199" s="44">
        <f t="shared" si="70"/>
        <v>0</v>
      </c>
    </row>
    <row r="200" spans="1:18" x14ac:dyDescent="0.25">
      <c r="A200" s="45">
        <v>14</v>
      </c>
      <c r="B200" s="81" t="s">
        <v>183</v>
      </c>
      <c r="C200" s="45"/>
      <c r="D200" s="45"/>
      <c r="E200" s="43" t="e">
        <f t="shared" si="64"/>
        <v>#DIV/0!</v>
      </c>
      <c r="F200" s="45"/>
      <c r="G200" s="45"/>
      <c r="H200" s="43" t="e">
        <f t="shared" si="67"/>
        <v>#DIV/0!</v>
      </c>
      <c r="I200" s="45"/>
      <c r="J200" s="45"/>
      <c r="K200" s="43" t="e">
        <f t="shared" si="65"/>
        <v>#DIV/0!</v>
      </c>
      <c r="L200" s="45"/>
      <c r="M200" s="45"/>
      <c r="N200" s="43" t="e">
        <f t="shared" si="71"/>
        <v>#DIV/0!</v>
      </c>
      <c r="O200" s="45"/>
      <c r="P200" s="45">
        <v>80</v>
      </c>
      <c r="Q200" s="45">
        <v>45</v>
      </c>
      <c r="R200" s="44">
        <f t="shared" si="70"/>
        <v>0</v>
      </c>
    </row>
    <row r="201" spans="1:18" x14ac:dyDescent="0.25">
      <c r="A201" s="45">
        <v>15</v>
      </c>
      <c r="B201" s="81" t="s">
        <v>184</v>
      </c>
      <c r="C201" s="45">
        <v>306670</v>
      </c>
      <c r="D201" s="45">
        <v>453150</v>
      </c>
      <c r="E201" s="43">
        <f t="shared" si="64"/>
        <v>-32.324837250358598</v>
      </c>
      <c r="F201" s="45">
        <v>306670</v>
      </c>
      <c r="G201" s="45">
        <v>453150</v>
      </c>
      <c r="H201" s="43">
        <f t="shared" si="67"/>
        <v>-32.324837250358598</v>
      </c>
      <c r="I201" s="45">
        <v>114651</v>
      </c>
      <c r="J201" s="45">
        <v>166658</v>
      </c>
      <c r="K201" s="43">
        <f t="shared" si="65"/>
        <v>-31.205822702780537</v>
      </c>
      <c r="L201" s="45">
        <v>0</v>
      </c>
      <c r="M201" s="45">
        <v>0</v>
      </c>
      <c r="N201" s="43">
        <v>0</v>
      </c>
      <c r="O201" s="45"/>
      <c r="P201" s="45">
        <v>100</v>
      </c>
      <c r="Q201" s="45">
        <v>466</v>
      </c>
      <c r="R201" s="44">
        <f t="shared" si="70"/>
        <v>0</v>
      </c>
    </row>
    <row r="202" spans="1:18" x14ac:dyDescent="0.25">
      <c r="A202" s="893" t="s">
        <v>185</v>
      </c>
      <c r="B202" s="894" t="s">
        <v>119</v>
      </c>
      <c r="C202" s="56">
        <f>SUM(C187:C201)</f>
        <v>4277437</v>
      </c>
      <c r="D202" s="56">
        <f>SUM(D187:D201)</f>
        <v>9048962</v>
      </c>
      <c r="E202" s="57">
        <f t="shared" si="64"/>
        <v>-52.73008108554329</v>
      </c>
      <c r="F202" s="56">
        <f>SUM(F187:F201)</f>
        <v>4277437</v>
      </c>
      <c r="G202" s="56">
        <f>SUM(G187:G201)</f>
        <v>9048962</v>
      </c>
      <c r="H202" s="57">
        <f t="shared" si="67"/>
        <v>-52.73008108554329</v>
      </c>
      <c r="I202" s="56">
        <f>SUM(I187:I201)</f>
        <v>2939818</v>
      </c>
      <c r="J202" s="56">
        <f>SUM(J187:J201)</f>
        <v>4563922</v>
      </c>
      <c r="K202" s="57">
        <f t="shared" si="65"/>
        <v>-35.585708958216202</v>
      </c>
      <c r="L202" s="56">
        <f>SUM(L187:L201)</f>
        <v>315287</v>
      </c>
      <c r="M202" s="56">
        <f>SUM(M187:M201)</f>
        <v>485769</v>
      </c>
      <c r="N202" s="57">
        <f t="shared" ref="N202:N203" si="72">L202/M202*100-100</f>
        <v>-35.095281913831471</v>
      </c>
      <c r="O202" s="56">
        <f>SUM(O175:O201)</f>
        <v>2965</v>
      </c>
      <c r="P202" s="87">
        <f>R202/O202</f>
        <v>126.34064080944351</v>
      </c>
      <c r="Q202" s="56">
        <f>SUM(Q175:Q201)</f>
        <v>4733</v>
      </c>
      <c r="R202" s="70">
        <f>SUM(R175:R201)</f>
        <v>374600</v>
      </c>
    </row>
    <row r="203" spans="1:18" x14ac:dyDescent="0.25">
      <c r="A203" s="135"/>
      <c r="B203" s="135" t="s">
        <v>186</v>
      </c>
      <c r="C203" s="136">
        <f>C184+C202</f>
        <v>8106381</v>
      </c>
      <c r="D203" s="136">
        <f>D184+D202</f>
        <v>12539990</v>
      </c>
      <c r="E203" s="16">
        <f t="shared" si="64"/>
        <v>-35.355761846700034</v>
      </c>
      <c r="F203" s="136">
        <f>F184+F202</f>
        <v>8106381</v>
      </c>
      <c r="G203" s="136">
        <f>G184+G202</f>
        <v>12539990</v>
      </c>
      <c r="H203" s="16">
        <f t="shared" si="67"/>
        <v>-35.355761846700034</v>
      </c>
      <c r="I203" s="136">
        <f>I184+I202</f>
        <v>6498504</v>
      </c>
      <c r="J203" s="136">
        <f>J184+J202</f>
        <v>7548527</v>
      </c>
      <c r="K203" s="16">
        <f t="shared" si="65"/>
        <v>-13.910303294934238</v>
      </c>
      <c r="L203" s="136">
        <f>L184+L202</f>
        <v>2904891</v>
      </c>
      <c r="M203" s="136">
        <f>M184+M202</f>
        <v>2887762</v>
      </c>
      <c r="N203" s="16">
        <f t="shared" si="72"/>
        <v>0.59315830044167228</v>
      </c>
      <c r="O203" s="136">
        <f>O184+O202</f>
        <v>4199</v>
      </c>
      <c r="P203" s="107">
        <f>R203/O203</f>
        <v>128.97380328649677</v>
      </c>
      <c r="Q203" s="136">
        <f>Q184+Q202</f>
        <v>6421</v>
      </c>
      <c r="R203" s="136">
        <f>R184+R202</f>
        <v>541561</v>
      </c>
    </row>
    <row r="204" spans="1:18" x14ac:dyDescent="0.25">
      <c r="A204" s="116"/>
      <c r="B204" s="95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21"/>
    </row>
    <row r="205" spans="1:18" x14ac:dyDescent="0.25">
      <c r="A205" s="137"/>
      <c r="B205" s="138" t="s">
        <v>187</v>
      </c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39"/>
      <c r="N205" s="139"/>
      <c r="O205" s="139"/>
      <c r="P205" s="117"/>
      <c r="Q205" s="139"/>
      <c r="R205" s="121"/>
    </row>
    <row r="206" spans="1:18" x14ac:dyDescent="0.25">
      <c r="A206" s="891" t="s">
        <v>188</v>
      </c>
      <c r="B206" s="892"/>
      <c r="C206" s="37">
        <v>3</v>
      </c>
      <c r="D206" s="37">
        <v>4</v>
      </c>
      <c r="E206" s="38">
        <v>5</v>
      </c>
      <c r="F206" s="37">
        <v>6</v>
      </c>
      <c r="G206" s="37">
        <v>7</v>
      </c>
      <c r="H206" s="37">
        <v>8</v>
      </c>
      <c r="I206" s="37">
        <v>9</v>
      </c>
      <c r="J206" s="37">
        <v>10</v>
      </c>
      <c r="K206" s="37">
        <v>11</v>
      </c>
      <c r="L206" s="37">
        <v>12</v>
      </c>
      <c r="M206" s="27">
        <v>13</v>
      </c>
      <c r="N206" s="27">
        <v>14</v>
      </c>
      <c r="O206" s="27">
        <v>15</v>
      </c>
      <c r="P206" s="38">
        <v>16</v>
      </c>
      <c r="Q206" s="27">
        <v>17</v>
      </c>
      <c r="R206" s="24"/>
    </row>
    <row r="207" spans="1:18" x14ac:dyDescent="0.25">
      <c r="A207" s="140">
        <v>1</v>
      </c>
      <c r="B207" s="141" t="s">
        <v>189</v>
      </c>
      <c r="C207" s="100">
        <v>23776</v>
      </c>
      <c r="D207" s="100">
        <v>22122</v>
      </c>
      <c r="E207" s="43">
        <f>C207/D207*100-100</f>
        <v>7.476720007232629</v>
      </c>
      <c r="F207" s="100">
        <v>23776</v>
      </c>
      <c r="G207" s="100">
        <v>22122</v>
      </c>
      <c r="H207" s="43">
        <f>F207/G207*100-100</f>
        <v>7.476720007232629</v>
      </c>
      <c r="I207" s="100">
        <v>23776</v>
      </c>
      <c r="J207" s="100">
        <v>192302</v>
      </c>
      <c r="K207" s="43">
        <f>I207/J207*100-100</f>
        <v>-87.636114028975257</v>
      </c>
      <c r="L207" s="100">
        <v>23776</v>
      </c>
      <c r="M207" s="100">
        <f>170180+22122</f>
        <v>192302</v>
      </c>
      <c r="N207" s="43">
        <f>L207/M207*100-100</f>
        <v>-87.636114028975257</v>
      </c>
      <c r="O207" s="100">
        <v>143</v>
      </c>
      <c r="P207" s="100">
        <v>130</v>
      </c>
      <c r="Q207" s="100">
        <v>140</v>
      </c>
      <c r="R207" s="44">
        <f t="shared" ref="R207:R213" si="73">O207*P207</f>
        <v>18590</v>
      </c>
    </row>
    <row r="208" spans="1:18" x14ac:dyDescent="0.25">
      <c r="A208" s="140">
        <v>2</v>
      </c>
      <c r="B208" s="141" t="s">
        <v>190</v>
      </c>
      <c r="C208" s="42">
        <v>0</v>
      </c>
      <c r="D208" s="42">
        <v>0</v>
      </c>
      <c r="E208" s="43">
        <v>0</v>
      </c>
      <c r="F208" s="42">
        <v>0</v>
      </c>
      <c r="G208" s="42">
        <v>0</v>
      </c>
      <c r="H208" s="43">
        <v>0</v>
      </c>
      <c r="I208" s="42">
        <v>0</v>
      </c>
      <c r="J208" s="42">
        <v>0</v>
      </c>
      <c r="K208" s="43">
        <v>0</v>
      </c>
      <c r="L208" s="42">
        <v>0</v>
      </c>
      <c r="M208" s="42">
        <v>0</v>
      </c>
      <c r="N208" s="43">
        <v>0</v>
      </c>
      <c r="O208" s="45"/>
      <c r="P208" s="46">
        <v>0</v>
      </c>
      <c r="Q208" s="45"/>
      <c r="R208" s="44">
        <f t="shared" si="73"/>
        <v>0</v>
      </c>
    </row>
    <row r="209" spans="1:18" x14ac:dyDescent="0.25">
      <c r="A209" s="140">
        <v>3</v>
      </c>
      <c r="B209" s="141" t="s">
        <v>191</v>
      </c>
      <c r="C209" s="100">
        <v>320628</v>
      </c>
      <c r="D209" s="100">
        <v>419064</v>
      </c>
      <c r="E209" s="100">
        <f>C209/D209*100-100</f>
        <v>-23.489490865357084</v>
      </c>
      <c r="F209" s="100">
        <v>320628</v>
      </c>
      <c r="G209" s="100">
        <v>419064</v>
      </c>
      <c r="H209" s="100">
        <f>F209/G209*100-100</f>
        <v>-23.489490865357084</v>
      </c>
      <c r="I209" s="100">
        <v>320628</v>
      </c>
      <c r="J209" s="100">
        <v>419064</v>
      </c>
      <c r="K209" s="100">
        <f>I209/J209*100-100</f>
        <v>-23.489490865357084</v>
      </c>
      <c r="L209" s="100">
        <v>320628</v>
      </c>
      <c r="M209" s="100">
        <v>419064</v>
      </c>
      <c r="N209" s="43">
        <f>L209/M209*100-100</f>
        <v>-23.489490865357084</v>
      </c>
      <c r="O209" s="100">
        <v>114</v>
      </c>
      <c r="P209" s="142">
        <v>157</v>
      </c>
      <c r="Q209" s="100">
        <v>114</v>
      </c>
      <c r="R209" s="44">
        <f t="shared" si="73"/>
        <v>17898</v>
      </c>
    </row>
    <row r="210" spans="1:18" x14ac:dyDescent="0.25">
      <c r="A210" s="140">
        <v>4</v>
      </c>
      <c r="B210" s="141" t="s">
        <v>192</v>
      </c>
      <c r="C210" s="100">
        <v>33217</v>
      </c>
      <c r="D210" s="100">
        <v>89797</v>
      </c>
      <c r="E210" s="43">
        <f>C210/D210*100-100</f>
        <v>-63.00878648507188</v>
      </c>
      <c r="F210" s="143">
        <v>33217</v>
      </c>
      <c r="G210" s="143">
        <v>89797</v>
      </c>
      <c r="H210" s="43">
        <f>F210/G210*100-100</f>
        <v>-63.00878648507188</v>
      </c>
      <c r="I210" s="100">
        <v>111022</v>
      </c>
      <c r="J210" s="100">
        <v>0</v>
      </c>
      <c r="K210" s="43" t="e">
        <f>I210/J210*100-100</f>
        <v>#DIV/0!</v>
      </c>
      <c r="L210" s="100">
        <v>111022</v>
      </c>
      <c r="M210" s="100">
        <v>0</v>
      </c>
      <c r="N210" s="43" t="e">
        <f>L210/M210*100-100</f>
        <v>#DIV/0!</v>
      </c>
      <c r="O210" s="100">
        <v>43</v>
      </c>
      <c r="P210" s="100">
        <v>58</v>
      </c>
      <c r="Q210" s="100">
        <v>40</v>
      </c>
      <c r="R210" s="44">
        <f t="shared" si="73"/>
        <v>2494</v>
      </c>
    </row>
    <row r="211" spans="1:18" x14ac:dyDescent="0.25">
      <c r="A211" s="140">
        <v>5</v>
      </c>
      <c r="B211" s="141" t="s">
        <v>193</v>
      </c>
      <c r="C211" s="100">
        <v>276141</v>
      </c>
      <c r="D211" s="100">
        <v>185298</v>
      </c>
      <c r="E211" s="43">
        <f>C211/D211*100-100</f>
        <v>49.025353754492784</v>
      </c>
      <c r="F211" s="100">
        <v>276141</v>
      </c>
      <c r="G211" s="100">
        <v>185298</v>
      </c>
      <c r="H211" s="43">
        <f>F211/G211*100-100</f>
        <v>49.025353754492784</v>
      </c>
      <c r="I211" s="100">
        <v>281139</v>
      </c>
      <c r="J211" s="100">
        <v>180196</v>
      </c>
      <c r="K211" s="43">
        <f>I211/J211*100-100</f>
        <v>56.018446580390247</v>
      </c>
      <c r="L211" s="100">
        <v>0</v>
      </c>
      <c r="M211" s="100">
        <v>0</v>
      </c>
      <c r="N211" s="43" t="e">
        <f>L211/M211*100-100</f>
        <v>#DIV/0!</v>
      </c>
      <c r="O211" s="100">
        <v>43</v>
      </c>
      <c r="P211" s="100">
        <v>110</v>
      </c>
      <c r="Q211" s="100">
        <v>46</v>
      </c>
      <c r="R211" s="44">
        <f t="shared" si="73"/>
        <v>4730</v>
      </c>
    </row>
    <row r="212" spans="1:18" x14ac:dyDescent="0.25">
      <c r="A212" s="140">
        <v>6</v>
      </c>
      <c r="B212" s="141" t="s">
        <v>194</v>
      </c>
      <c r="C212" s="100">
        <v>0</v>
      </c>
      <c r="D212" s="100">
        <v>0</v>
      </c>
      <c r="E212" s="100" t="e">
        <f>C212/D212*100-100</f>
        <v>#DIV/0!</v>
      </c>
      <c r="F212" s="100">
        <v>0</v>
      </c>
      <c r="G212" s="100">
        <v>0</v>
      </c>
      <c r="H212" s="100" t="e">
        <f>F212/G212*100-100</f>
        <v>#DIV/0!</v>
      </c>
      <c r="I212" s="100">
        <v>0</v>
      </c>
      <c r="J212" s="100">
        <v>0</v>
      </c>
      <c r="K212" s="100" t="e">
        <f>I212/J212*100-100</f>
        <v>#DIV/0!</v>
      </c>
      <c r="L212" s="100">
        <v>0</v>
      </c>
      <c r="M212" s="100">
        <v>0</v>
      </c>
      <c r="N212" s="100" t="e">
        <f>L212/M212*100-100</f>
        <v>#DIV/0!</v>
      </c>
      <c r="O212" s="100">
        <v>3</v>
      </c>
      <c r="P212" s="100">
        <v>143</v>
      </c>
      <c r="Q212" s="100">
        <v>3</v>
      </c>
      <c r="R212" s="44">
        <f t="shared" si="73"/>
        <v>429</v>
      </c>
    </row>
    <row r="213" spans="1:18" x14ac:dyDescent="0.25">
      <c r="A213" s="140">
        <v>7</v>
      </c>
      <c r="B213" s="141" t="s">
        <v>195</v>
      </c>
      <c r="C213" s="100">
        <v>0</v>
      </c>
      <c r="D213" s="75">
        <v>0</v>
      </c>
      <c r="E213" s="43">
        <v>0</v>
      </c>
      <c r="F213" s="100">
        <v>0</v>
      </c>
      <c r="G213" s="75">
        <v>0</v>
      </c>
      <c r="H213" s="43">
        <v>0</v>
      </c>
      <c r="I213" s="100">
        <v>0</v>
      </c>
      <c r="J213" s="75">
        <v>0</v>
      </c>
      <c r="K213" s="43">
        <v>0</v>
      </c>
      <c r="L213" s="100">
        <v>0</v>
      </c>
      <c r="M213" s="75">
        <v>0</v>
      </c>
      <c r="N213" s="43">
        <v>0</v>
      </c>
      <c r="O213" s="100"/>
      <c r="P213" s="100">
        <v>0</v>
      </c>
      <c r="Q213" s="100"/>
      <c r="R213" s="44">
        <f t="shared" si="73"/>
        <v>0</v>
      </c>
    </row>
    <row r="214" spans="1:18" x14ac:dyDescent="0.25">
      <c r="A214" s="893" t="s">
        <v>196</v>
      </c>
      <c r="B214" s="894" t="s">
        <v>155</v>
      </c>
      <c r="C214" s="87">
        <f>SUM(C207:C213)</f>
        <v>653762</v>
      </c>
      <c r="D214" s="87">
        <f>SUM(D207:D213)</f>
        <v>716281</v>
      </c>
      <c r="E214" s="57">
        <f t="shared" ref="E214" si="74">C214/D214*100-100</f>
        <v>-8.7282784270419</v>
      </c>
      <c r="F214" s="87">
        <f>SUM(F207:F213)</f>
        <v>653762</v>
      </c>
      <c r="G214" s="87">
        <f>SUM(G207:G213)</f>
        <v>716281</v>
      </c>
      <c r="H214" s="57">
        <f t="shared" ref="H214" si="75">F214/G214*100-100</f>
        <v>-8.7282784270419</v>
      </c>
      <c r="I214" s="87">
        <f>SUM(I207:I213)</f>
        <v>736565</v>
      </c>
      <c r="J214" s="87">
        <f>SUM(J207:J213)</f>
        <v>791562</v>
      </c>
      <c r="K214" s="57">
        <f t="shared" ref="K214" si="76">I214/J214*100-100</f>
        <v>-6.9479080602656467</v>
      </c>
      <c r="L214" s="87">
        <f>SUM(L207:L213)</f>
        <v>455426</v>
      </c>
      <c r="M214" s="56">
        <f>SUM(M207:M213)</f>
        <v>611366</v>
      </c>
      <c r="N214" s="57">
        <f t="shared" ref="N214" si="77">L214/M214*100-100</f>
        <v>-25.506815884429287</v>
      </c>
      <c r="O214" s="87">
        <f>SUM(O207:O213)</f>
        <v>346</v>
      </c>
      <c r="P214" s="58">
        <f>R214/O214</f>
        <v>127.57514450867052</v>
      </c>
      <c r="Q214" s="87">
        <f>SUM(Q207:Q213)</f>
        <v>343</v>
      </c>
      <c r="R214" s="70">
        <f>SUM(R207:R213)</f>
        <v>44141</v>
      </c>
    </row>
    <row r="215" spans="1:18" x14ac:dyDescent="0.25">
      <c r="A215" s="144"/>
      <c r="B215" s="141"/>
      <c r="C215" s="100"/>
      <c r="D215" s="75"/>
      <c r="E215" s="43"/>
      <c r="F215" s="100"/>
      <c r="G215" s="75"/>
      <c r="H215" s="43"/>
      <c r="I215" s="100"/>
      <c r="J215" s="75"/>
      <c r="K215" s="43"/>
      <c r="L215" s="100"/>
      <c r="M215" s="75"/>
      <c r="N215" s="43"/>
      <c r="O215" s="100"/>
      <c r="P215" s="100"/>
      <c r="Q215" s="100"/>
      <c r="R215" s="44"/>
    </row>
    <row r="216" spans="1:18" x14ac:dyDescent="0.25">
      <c r="A216" s="116"/>
      <c r="B216" s="145" t="s">
        <v>197</v>
      </c>
      <c r="C216" s="100"/>
      <c r="D216" s="100"/>
      <c r="E216" s="43"/>
      <c r="F216" s="100"/>
      <c r="G216" s="100"/>
      <c r="H216" s="43"/>
      <c r="I216" s="100"/>
      <c r="J216" s="100"/>
      <c r="K216" s="43"/>
      <c r="L216" s="100"/>
      <c r="M216" s="100"/>
      <c r="N216" s="43"/>
      <c r="O216" s="100"/>
      <c r="P216" s="100"/>
      <c r="Q216" s="100"/>
      <c r="R216" s="44"/>
    </row>
    <row r="217" spans="1:18" x14ac:dyDescent="0.25">
      <c r="A217" s="116">
        <v>1</v>
      </c>
      <c r="B217" s="146" t="s">
        <v>198</v>
      </c>
      <c r="C217" s="100">
        <v>129390</v>
      </c>
      <c r="D217" s="100">
        <v>80784</v>
      </c>
      <c r="E217" s="43">
        <f t="shared" ref="E217:E218" si="78">C217/D217*100-100</f>
        <v>60.167855020796196</v>
      </c>
      <c r="F217" s="100">
        <v>129390</v>
      </c>
      <c r="G217" s="100">
        <v>80784</v>
      </c>
      <c r="H217" s="43">
        <f t="shared" ref="H217:H218" si="79">F217/G217*100-100</f>
        <v>60.167855020796196</v>
      </c>
      <c r="I217" s="100">
        <v>85666</v>
      </c>
      <c r="J217" s="100">
        <v>80883</v>
      </c>
      <c r="K217" s="43">
        <f t="shared" ref="K217" si="80">I217/J217*100-100</f>
        <v>5.9134799648875571</v>
      </c>
      <c r="L217" s="100">
        <v>72367</v>
      </c>
      <c r="M217" s="100">
        <v>57257</v>
      </c>
      <c r="N217" s="100">
        <f t="shared" ref="N217" si="81">L217/M217*100-100</f>
        <v>26.389786401662676</v>
      </c>
      <c r="O217" s="100"/>
      <c r="P217" s="100">
        <v>171</v>
      </c>
      <c r="Q217" s="100">
        <v>137</v>
      </c>
      <c r="R217" s="44"/>
    </row>
    <row r="218" spans="1:18" x14ac:dyDescent="0.25">
      <c r="A218" s="116">
        <v>2</v>
      </c>
      <c r="B218" s="141" t="s">
        <v>199</v>
      </c>
      <c r="C218" s="100">
        <v>253</v>
      </c>
      <c r="D218" s="100">
        <v>173</v>
      </c>
      <c r="E218" s="43">
        <f t="shared" si="78"/>
        <v>46.242774566473997</v>
      </c>
      <c r="F218" s="100">
        <v>253</v>
      </c>
      <c r="G218" s="100">
        <v>173</v>
      </c>
      <c r="H218" s="43">
        <f t="shared" si="79"/>
        <v>46.242774566473997</v>
      </c>
      <c r="I218" s="100">
        <v>3438</v>
      </c>
      <c r="J218" s="100">
        <v>7409</v>
      </c>
      <c r="K218" s="43">
        <f>I218/J218*100-100</f>
        <v>-53.596976650020245</v>
      </c>
      <c r="L218" s="100">
        <v>0</v>
      </c>
      <c r="M218" s="100">
        <v>0</v>
      </c>
      <c r="N218" s="43">
        <v>0</v>
      </c>
      <c r="O218" s="100">
        <v>71</v>
      </c>
      <c r="P218" s="100">
        <v>127</v>
      </c>
      <c r="Q218" s="100">
        <v>71</v>
      </c>
      <c r="R218" s="44">
        <f>O218*P218</f>
        <v>9017</v>
      </c>
    </row>
    <row r="219" spans="1:18" x14ac:dyDescent="0.25">
      <c r="A219" s="147">
        <v>3</v>
      </c>
      <c r="B219" s="141" t="s">
        <v>200</v>
      </c>
      <c r="C219" s="42">
        <v>0</v>
      </c>
      <c r="D219" s="42">
        <v>0</v>
      </c>
      <c r="E219" s="43">
        <v>0</v>
      </c>
      <c r="F219" s="42">
        <v>0</v>
      </c>
      <c r="G219" s="42">
        <v>0</v>
      </c>
      <c r="H219" s="43">
        <v>0</v>
      </c>
      <c r="I219" s="42">
        <v>0</v>
      </c>
      <c r="J219" s="42">
        <v>0</v>
      </c>
      <c r="K219" s="43">
        <v>0</v>
      </c>
      <c r="L219" s="42">
        <v>0</v>
      </c>
      <c r="M219" s="42">
        <v>0</v>
      </c>
      <c r="N219" s="43">
        <v>0</v>
      </c>
      <c r="O219" s="45"/>
      <c r="P219" s="46">
        <v>0</v>
      </c>
      <c r="Q219" s="45"/>
      <c r="R219" s="44">
        <f>O219*P219</f>
        <v>0</v>
      </c>
    </row>
    <row r="220" spans="1:18" x14ac:dyDescent="0.25">
      <c r="A220" s="147">
        <v>4</v>
      </c>
      <c r="B220" s="141" t="s">
        <v>201</v>
      </c>
      <c r="C220" s="100">
        <v>0</v>
      </c>
      <c r="D220" s="100">
        <v>0</v>
      </c>
      <c r="E220" s="54" t="e">
        <f t="shared" ref="E220:E222" si="82">C220/D220*100-100</f>
        <v>#DIV/0!</v>
      </c>
      <c r="F220" s="100">
        <v>0</v>
      </c>
      <c r="G220" s="100">
        <v>0</v>
      </c>
      <c r="H220" s="54">
        <v>0</v>
      </c>
      <c r="I220" s="100">
        <v>0</v>
      </c>
      <c r="J220" s="100">
        <v>0</v>
      </c>
      <c r="K220" s="43" t="e">
        <f t="shared" ref="K220:K222" si="83">I220/J220*100-100</f>
        <v>#DIV/0!</v>
      </c>
      <c r="L220" s="100">
        <v>0</v>
      </c>
      <c r="M220" s="100">
        <v>0</v>
      </c>
      <c r="N220" s="100">
        <v>0</v>
      </c>
      <c r="O220" s="100"/>
      <c r="P220" s="100">
        <v>50</v>
      </c>
      <c r="Q220" s="100"/>
      <c r="R220" s="44">
        <f>O220*P220</f>
        <v>0</v>
      </c>
    </row>
    <row r="221" spans="1:18" x14ac:dyDescent="0.25">
      <c r="A221" s="893" t="s">
        <v>202</v>
      </c>
      <c r="B221" s="894" t="s">
        <v>155</v>
      </c>
      <c r="C221" s="87">
        <f>SUM(C216:C220)</f>
        <v>129643</v>
      </c>
      <c r="D221" s="87">
        <f>SUM(D216:D220)</f>
        <v>80957</v>
      </c>
      <c r="E221" s="57">
        <f t="shared" si="82"/>
        <v>60.138098002643375</v>
      </c>
      <c r="F221" s="87">
        <f>SUM(F216:F220)</f>
        <v>129643</v>
      </c>
      <c r="G221" s="87">
        <f>SUM(G216:G220)</f>
        <v>80957</v>
      </c>
      <c r="H221" s="57">
        <v>0</v>
      </c>
      <c r="I221" s="87">
        <f>SUM(I216:I220)</f>
        <v>89104</v>
      </c>
      <c r="J221" s="87">
        <f>SUM(J216:J220)</f>
        <v>88292</v>
      </c>
      <c r="K221" s="57">
        <f t="shared" si="83"/>
        <v>0.91967562180039408</v>
      </c>
      <c r="L221" s="87">
        <f>SUM(L216:L220)</f>
        <v>72367</v>
      </c>
      <c r="M221" s="56">
        <f>SUM(M216:M220)</f>
        <v>57257</v>
      </c>
      <c r="N221" s="57">
        <f t="shared" ref="N221:N222" si="84">L221/M221*100-100</f>
        <v>26.389786401662676</v>
      </c>
      <c r="O221" s="87">
        <f>SUM(O216:O220)</f>
        <v>71</v>
      </c>
      <c r="P221" s="58">
        <f>R221/O221</f>
        <v>127</v>
      </c>
      <c r="Q221" s="87">
        <f>SUM(Q216:Q220)</f>
        <v>208</v>
      </c>
      <c r="R221" s="70">
        <f>SUM(R216:R220)</f>
        <v>9017</v>
      </c>
    </row>
    <row r="222" spans="1:18" x14ac:dyDescent="0.25">
      <c r="A222" s="135"/>
      <c r="B222" s="135" t="s">
        <v>203</v>
      </c>
      <c r="C222" s="106">
        <f>C214+C221</f>
        <v>783405</v>
      </c>
      <c r="D222" s="106">
        <f>D214+D221</f>
        <v>797238</v>
      </c>
      <c r="E222" s="16">
        <f t="shared" si="82"/>
        <v>-1.7351154862161593</v>
      </c>
      <c r="F222" s="106">
        <f>F214+F221</f>
        <v>783405</v>
      </c>
      <c r="G222" s="106">
        <f>G214+G221</f>
        <v>797238</v>
      </c>
      <c r="H222" s="16">
        <f t="shared" ref="H222" si="85">F222/G222*100-100</f>
        <v>-1.7351154862161593</v>
      </c>
      <c r="I222" s="106">
        <f>I214+I221</f>
        <v>825669</v>
      </c>
      <c r="J222" s="106">
        <f>J214+J221</f>
        <v>879854</v>
      </c>
      <c r="K222" s="16">
        <f t="shared" si="83"/>
        <v>-6.1584080995256016</v>
      </c>
      <c r="L222" s="106">
        <f>L214+L221</f>
        <v>527793</v>
      </c>
      <c r="M222" s="106">
        <f>M214+M221</f>
        <v>668623</v>
      </c>
      <c r="N222" s="16">
        <f t="shared" si="84"/>
        <v>-21.062691531700224</v>
      </c>
      <c r="O222" s="106">
        <f>O214+O221</f>
        <v>417</v>
      </c>
      <c r="P222" s="107">
        <f>R222/O222</f>
        <v>127.47721822541966</v>
      </c>
      <c r="Q222" s="106">
        <f>Q214+Q221</f>
        <v>551</v>
      </c>
      <c r="R222" s="106">
        <f>R214+R221</f>
        <v>53158</v>
      </c>
    </row>
    <row r="223" spans="1:18" x14ac:dyDescent="0.25">
      <c r="A223" s="148"/>
      <c r="B223" s="149"/>
      <c r="C223" s="150"/>
      <c r="D223" s="150"/>
      <c r="E223" s="151"/>
      <c r="F223" s="152"/>
      <c r="G223" s="152"/>
      <c r="H223" s="151"/>
      <c r="I223" s="45"/>
      <c r="J223" s="45"/>
      <c r="K223" s="153"/>
      <c r="L223" s="45"/>
      <c r="M223" s="45"/>
      <c r="N223" s="45"/>
      <c r="O223" s="45"/>
      <c r="P223" s="60"/>
      <c r="Q223" s="45"/>
      <c r="R223" s="31"/>
    </row>
    <row r="224" spans="1:18" x14ac:dyDescent="0.25">
      <c r="A224" s="148"/>
      <c r="B224" s="911" t="s">
        <v>204</v>
      </c>
      <c r="C224" s="912"/>
      <c r="D224" s="150"/>
      <c r="E224" s="151"/>
      <c r="F224" s="152"/>
      <c r="G224" s="152"/>
      <c r="H224" s="151"/>
      <c r="I224" s="45"/>
      <c r="J224" s="45"/>
      <c r="K224" s="153"/>
      <c r="L224" s="45"/>
      <c r="M224" s="45"/>
      <c r="N224" s="45"/>
      <c r="O224" s="45"/>
      <c r="P224" s="60"/>
      <c r="Q224" s="45"/>
      <c r="R224" s="31"/>
    </row>
    <row r="225" spans="1:18" x14ac:dyDescent="0.25">
      <c r="A225" s="911"/>
      <c r="B225" s="912"/>
      <c r="C225" s="37">
        <v>3</v>
      </c>
      <c r="D225" s="37">
        <v>4</v>
      </c>
      <c r="E225" s="38">
        <v>5</v>
      </c>
      <c r="F225" s="37">
        <v>6</v>
      </c>
      <c r="G225" s="37">
        <v>7</v>
      </c>
      <c r="H225" s="37">
        <v>8</v>
      </c>
      <c r="I225" s="37">
        <v>9</v>
      </c>
      <c r="J225" s="37">
        <v>10</v>
      </c>
      <c r="K225" s="37">
        <v>11</v>
      </c>
      <c r="L225" s="37">
        <v>12</v>
      </c>
      <c r="M225" s="37">
        <v>13</v>
      </c>
      <c r="N225" s="37">
        <v>14</v>
      </c>
      <c r="O225" s="37">
        <v>15</v>
      </c>
      <c r="P225" s="38">
        <v>16</v>
      </c>
      <c r="Q225" s="37">
        <v>17</v>
      </c>
      <c r="R225" s="31"/>
    </row>
    <row r="226" spans="1:18" x14ac:dyDescent="0.25">
      <c r="A226" s="152">
        <v>1</v>
      </c>
      <c r="B226" s="154" t="s">
        <v>205</v>
      </c>
      <c r="C226" s="155">
        <v>42196.1</v>
      </c>
      <c r="D226" s="156">
        <v>42061.1</v>
      </c>
      <c r="E226" s="151">
        <f t="shared" ref="E226:E235" si="86">C226/D226*100-100</f>
        <v>0.32096164864923082</v>
      </c>
      <c r="F226" s="155">
        <v>42196.1</v>
      </c>
      <c r="G226" s="156">
        <v>42061.1</v>
      </c>
      <c r="H226" s="100">
        <f t="shared" ref="H226:H235" si="87">F226/G226*100-100</f>
        <v>0.32096164864923082</v>
      </c>
      <c r="I226" s="156">
        <v>19591</v>
      </c>
      <c r="J226" s="156">
        <v>8069.6</v>
      </c>
      <c r="K226" s="100">
        <f t="shared" ref="K226:K235" si="88">I226/J226*100-100</f>
        <v>142.77535441657579</v>
      </c>
      <c r="L226" s="155">
        <v>0</v>
      </c>
      <c r="M226" s="155">
        <v>0</v>
      </c>
      <c r="N226" s="100">
        <v>0</v>
      </c>
      <c r="O226" s="155">
        <v>261</v>
      </c>
      <c r="P226" s="156">
        <v>210.8</v>
      </c>
      <c r="Q226" s="155">
        <v>285</v>
      </c>
      <c r="R226" s="157">
        <f t="shared" ref="R226:R234" si="89">O226*P226</f>
        <v>55018.8</v>
      </c>
    </row>
    <row r="227" spans="1:18" x14ac:dyDescent="0.25">
      <c r="A227" s="152">
        <v>2</v>
      </c>
      <c r="B227" s="154" t="s">
        <v>206</v>
      </c>
      <c r="C227" s="100">
        <v>0</v>
      </c>
      <c r="D227" s="100">
        <v>0</v>
      </c>
      <c r="E227" s="151" t="e">
        <f t="shared" si="86"/>
        <v>#DIV/0!</v>
      </c>
      <c r="F227" s="100">
        <v>0</v>
      </c>
      <c r="G227" s="100">
        <v>0</v>
      </c>
      <c r="H227" s="100" t="e">
        <f t="shared" si="87"/>
        <v>#DIV/0!</v>
      </c>
      <c r="I227" s="100">
        <v>0</v>
      </c>
      <c r="J227" s="100">
        <v>0</v>
      </c>
      <c r="K227" s="100" t="e">
        <f t="shared" si="88"/>
        <v>#DIV/0!</v>
      </c>
      <c r="L227" s="100">
        <v>0</v>
      </c>
      <c r="M227" s="100">
        <v>0</v>
      </c>
      <c r="N227" s="100" t="e">
        <f t="shared" ref="N227" si="90">L227/M227*100-100</f>
        <v>#DIV/0!</v>
      </c>
      <c r="O227" s="100">
        <v>11</v>
      </c>
      <c r="P227" s="100">
        <v>71.2</v>
      </c>
      <c r="Q227" s="100">
        <v>8</v>
      </c>
      <c r="R227" s="157">
        <f t="shared" si="89"/>
        <v>783.2</v>
      </c>
    </row>
    <row r="228" spans="1:18" ht="24" x14ac:dyDescent="0.25">
      <c r="A228" s="158">
        <v>3</v>
      </c>
      <c r="B228" s="159" t="s">
        <v>207</v>
      </c>
      <c r="C228" s="100">
        <v>485</v>
      </c>
      <c r="D228" s="100">
        <v>793</v>
      </c>
      <c r="E228" s="151">
        <f t="shared" si="86"/>
        <v>-38.839848675914247</v>
      </c>
      <c r="F228" s="100">
        <v>485</v>
      </c>
      <c r="G228" s="100">
        <v>793</v>
      </c>
      <c r="H228" s="100">
        <f t="shared" si="87"/>
        <v>-38.839848675914247</v>
      </c>
      <c r="I228" s="100">
        <v>0</v>
      </c>
      <c r="J228" s="100">
        <v>0</v>
      </c>
      <c r="K228" s="100">
        <v>0</v>
      </c>
      <c r="L228" s="100">
        <v>0</v>
      </c>
      <c r="M228" s="100">
        <v>0</v>
      </c>
      <c r="N228" s="100">
        <v>0</v>
      </c>
      <c r="O228" s="100">
        <v>88</v>
      </c>
      <c r="P228" s="100">
        <v>99</v>
      </c>
      <c r="Q228" s="100">
        <v>88</v>
      </c>
      <c r="R228" s="160">
        <f t="shared" si="89"/>
        <v>8712</v>
      </c>
    </row>
    <row r="229" spans="1:18" x14ac:dyDescent="0.25">
      <c r="A229" s="152">
        <v>4</v>
      </c>
      <c r="B229" s="161" t="s">
        <v>208</v>
      </c>
      <c r="C229" s="100">
        <v>0</v>
      </c>
      <c r="D229" s="100">
        <v>125</v>
      </c>
      <c r="E229" s="151">
        <f t="shared" si="86"/>
        <v>-100</v>
      </c>
      <c r="F229" s="100">
        <v>0</v>
      </c>
      <c r="G229" s="100">
        <v>0</v>
      </c>
      <c r="H229" s="100">
        <v>0</v>
      </c>
      <c r="I229" s="100">
        <v>0</v>
      </c>
      <c r="J229" s="100">
        <v>125</v>
      </c>
      <c r="K229" s="100">
        <f t="shared" si="88"/>
        <v>-100</v>
      </c>
      <c r="L229" s="100">
        <v>0</v>
      </c>
      <c r="M229" s="100">
        <v>0</v>
      </c>
      <c r="N229" s="100">
        <v>0</v>
      </c>
      <c r="O229" s="100">
        <v>6</v>
      </c>
      <c r="P229" s="100">
        <v>49.5</v>
      </c>
      <c r="Q229" s="100">
        <v>30</v>
      </c>
      <c r="R229" s="162">
        <f t="shared" si="89"/>
        <v>297</v>
      </c>
    </row>
    <row r="230" spans="1:18" x14ac:dyDescent="0.25">
      <c r="A230" s="152">
        <v>5</v>
      </c>
      <c r="B230" s="163" t="s">
        <v>209</v>
      </c>
      <c r="C230" s="100">
        <v>0</v>
      </c>
      <c r="D230" s="100">
        <v>0</v>
      </c>
      <c r="E230" s="151" t="e">
        <f t="shared" si="86"/>
        <v>#DIV/0!</v>
      </c>
      <c r="F230" s="100">
        <v>0</v>
      </c>
      <c r="G230" s="100">
        <v>0</v>
      </c>
      <c r="H230" s="100" t="e">
        <f t="shared" si="87"/>
        <v>#DIV/0!</v>
      </c>
      <c r="I230" s="100">
        <v>0</v>
      </c>
      <c r="J230" s="100">
        <v>0</v>
      </c>
      <c r="K230" s="100" t="e">
        <f t="shared" si="88"/>
        <v>#DIV/0!</v>
      </c>
      <c r="L230" s="100">
        <v>0</v>
      </c>
      <c r="M230" s="100">
        <v>0</v>
      </c>
      <c r="N230" s="100">
        <v>0</v>
      </c>
      <c r="O230" s="100">
        <v>16</v>
      </c>
      <c r="P230" s="100">
        <v>59</v>
      </c>
      <c r="Q230" s="100">
        <v>16</v>
      </c>
      <c r="R230" s="162">
        <f t="shared" si="89"/>
        <v>944</v>
      </c>
    </row>
    <row r="231" spans="1:18" x14ac:dyDescent="0.25">
      <c r="A231" s="152">
        <v>6</v>
      </c>
      <c r="B231" s="154" t="s">
        <v>210</v>
      </c>
      <c r="C231" s="100">
        <v>945</v>
      </c>
      <c r="D231" s="100">
        <v>1245</v>
      </c>
      <c r="E231" s="151">
        <f t="shared" si="86"/>
        <v>-24.096385542168676</v>
      </c>
      <c r="F231" s="100">
        <v>945</v>
      </c>
      <c r="G231" s="100">
        <v>1245</v>
      </c>
      <c r="H231" s="100">
        <f t="shared" si="87"/>
        <v>-24.096385542168676</v>
      </c>
      <c r="I231" s="100">
        <v>0</v>
      </c>
      <c r="J231" s="100">
        <v>0</v>
      </c>
      <c r="K231" s="100">
        <v>0</v>
      </c>
      <c r="L231" s="100">
        <v>0</v>
      </c>
      <c r="M231" s="100">
        <v>0</v>
      </c>
      <c r="N231" s="100">
        <v>0</v>
      </c>
      <c r="O231" s="100">
        <v>11</v>
      </c>
      <c r="P231" s="100">
        <v>73.400000000000006</v>
      </c>
      <c r="Q231" s="100">
        <v>14</v>
      </c>
      <c r="R231" s="162">
        <f t="shared" si="89"/>
        <v>807.40000000000009</v>
      </c>
    </row>
    <row r="232" spans="1:18" x14ac:dyDescent="0.25">
      <c r="A232" s="152">
        <v>7</v>
      </c>
      <c r="B232" s="154" t="s">
        <v>211</v>
      </c>
      <c r="C232" s="100">
        <v>6200</v>
      </c>
      <c r="D232" s="100">
        <v>4800</v>
      </c>
      <c r="E232" s="151">
        <f t="shared" si="86"/>
        <v>29.166666666666686</v>
      </c>
      <c r="F232" s="100">
        <v>6200</v>
      </c>
      <c r="G232" s="100">
        <v>4800</v>
      </c>
      <c r="H232" s="100">
        <f t="shared" si="87"/>
        <v>29.166666666666686</v>
      </c>
      <c r="I232" s="100">
        <v>0</v>
      </c>
      <c r="J232" s="100">
        <v>0</v>
      </c>
      <c r="K232" s="100" t="e">
        <f t="shared" si="88"/>
        <v>#DIV/0!</v>
      </c>
      <c r="L232" s="100">
        <v>0</v>
      </c>
      <c r="M232" s="100">
        <v>0</v>
      </c>
      <c r="N232" s="100">
        <v>0</v>
      </c>
      <c r="O232" s="100">
        <v>24</v>
      </c>
      <c r="P232" s="100">
        <v>183</v>
      </c>
      <c r="Q232" s="100">
        <v>24</v>
      </c>
      <c r="R232" s="162">
        <f t="shared" si="89"/>
        <v>4392</v>
      </c>
    </row>
    <row r="233" spans="1:18" x14ac:dyDescent="0.25">
      <c r="A233" s="152">
        <v>8</v>
      </c>
      <c r="B233" s="154" t="s">
        <v>212</v>
      </c>
      <c r="C233" s="100">
        <v>1100</v>
      </c>
      <c r="D233" s="100">
        <v>1610</v>
      </c>
      <c r="E233" s="151">
        <f t="shared" si="86"/>
        <v>-31.677018633540371</v>
      </c>
      <c r="F233" s="100">
        <v>1110</v>
      </c>
      <c r="G233" s="100">
        <v>1610</v>
      </c>
      <c r="H233" s="100">
        <f t="shared" si="87"/>
        <v>-31.055900621118013</v>
      </c>
      <c r="I233" s="100">
        <v>1100</v>
      </c>
      <c r="J233" s="100">
        <v>1610</v>
      </c>
      <c r="K233" s="100">
        <f t="shared" si="88"/>
        <v>-31.677018633540371</v>
      </c>
      <c r="L233" s="100">
        <v>0</v>
      </c>
      <c r="M233" s="100">
        <v>0</v>
      </c>
      <c r="N233" s="100">
        <v>0</v>
      </c>
      <c r="O233" s="100">
        <v>9</v>
      </c>
      <c r="P233" s="100">
        <v>76.8</v>
      </c>
      <c r="Q233" s="100">
        <v>8</v>
      </c>
      <c r="R233" s="157">
        <f t="shared" si="89"/>
        <v>691.19999999999993</v>
      </c>
    </row>
    <row r="234" spans="1:18" x14ac:dyDescent="0.25">
      <c r="A234" s="152">
        <v>9</v>
      </c>
      <c r="B234" s="164" t="s">
        <v>213</v>
      </c>
      <c r="C234" s="100">
        <v>169</v>
      </c>
      <c r="D234" s="100">
        <v>501</v>
      </c>
      <c r="E234" s="151">
        <f t="shared" si="86"/>
        <v>-66.267465069860279</v>
      </c>
      <c r="F234" s="100">
        <v>169</v>
      </c>
      <c r="G234" s="100">
        <v>501</v>
      </c>
      <c r="H234" s="100">
        <f t="shared" si="87"/>
        <v>-66.267465069860279</v>
      </c>
      <c r="I234" s="100">
        <v>169</v>
      </c>
      <c r="J234" s="100">
        <v>501</v>
      </c>
      <c r="K234" s="100">
        <f t="shared" si="88"/>
        <v>-66.267465069860279</v>
      </c>
      <c r="L234" s="100">
        <v>0</v>
      </c>
      <c r="M234" s="100">
        <v>0</v>
      </c>
      <c r="N234" s="100">
        <v>0</v>
      </c>
      <c r="O234" s="100">
        <v>23</v>
      </c>
      <c r="P234" s="100">
        <v>66.3</v>
      </c>
      <c r="Q234" s="100">
        <v>24</v>
      </c>
      <c r="R234" s="162">
        <f t="shared" si="89"/>
        <v>1524.8999999999999</v>
      </c>
    </row>
    <row r="235" spans="1:18" x14ac:dyDescent="0.25">
      <c r="A235" s="56"/>
      <c r="B235" s="56" t="s">
        <v>214</v>
      </c>
      <c r="C235" s="56">
        <f>SUM(C226:C234)</f>
        <v>51095.1</v>
      </c>
      <c r="D235" s="56">
        <f>SUM(D226:D234)</f>
        <v>51135.1</v>
      </c>
      <c r="E235" s="58">
        <f t="shared" si="86"/>
        <v>-7.822415522801407E-2</v>
      </c>
      <c r="F235" s="56">
        <f>SUM(F226:F234)</f>
        <v>51105.1</v>
      </c>
      <c r="G235" s="56">
        <f>SUM(G226:G234)</f>
        <v>51010.1</v>
      </c>
      <c r="H235" s="56">
        <f t="shared" si="87"/>
        <v>0.18623762745025374</v>
      </c>
      <c r="I235" s="56">
        <f>SUM(I226:I234)</f>
        <v>20860</v>
      </c>
      <c r="J235" s="56">
        <f>SUM(J226:J234)</f>
        <v>10305.6</v>
      </c>
      <c r="K235" s="56">
        <f t="shared" si="88"/>
        <v>102.41422139419342</v>
      </c>
      <c r="L235" s="56">
        <f>SUM(L226:L234)</f>
        <v>0</v>
      </c>
      <c r="M235" s="56">
        <f>SUM(M226:M234)</f>
        <v>0</v>
      </c>
      <c r="N235" s="56" t="e">
        <f t="shared" ref="N235" si="91">L235/M235*100-100</f>
        <v>#DIV/0!</v>
      </c>
      <c r="O235" s="56">
        <f>SUM(O226:O234)</f>
        <v>449</v>
      </c>
      <c r="P235" s="56">
        <f>R235/O235</f>
        <v>162.96325167037858</v>
      </c>
      <c r="Q235" s="56">
        <f>SUM(Q226:Q234)</f>
        <v>497</v>
      </c>
      <c r="R235" s="70">
        <f>SUM(R226:R234)</f>
        <v>73170.499999999985</v>
      </c>
    </row>
    <row r="236" spans="1:18" x14ac:dyDescent="0.25">
      <c r="A236" s="165"/>
      <c r="B236" s="37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6"/>
    </row>
    <row r="237" spans="1:18" x14ac:dyDescent="0.25">
      <c r="A237" s="909" t="s">
        <v>215</v>
      </c>
      <c r="B237" s="910"/>
      <c r="C237" s="37">
        <v>3</v>
      </c>
      <c r="D237" s="37">
        <v>4</v>
      </c>
      <c r="E237" s="38">
        <v>5</v>
      </c>
      <c r="F237" s="37">
        <v>6</v>
      </c>
      <c r="G237" s="37">
        <v>7</v>
      </c>
      <c r="H237" s="37">
        <v>8</v>
      </c>
      <c r="I237" s="37">
        <v>9</v>
      </c>
      <c r="J237" s="37">
        <v>10</v>
      </c>
      <c r="K237" s="37">
        <v>11</v>
      </c>
      <c r="L237" s="37">
        <v>12</v>
      </c>
      <c r="M237" s="37">
        <v>13</v>
      </c>
      <c r="N237" s="37">
        <v>14</v>
      </c>
      <c r="O237" s="37">
        <v>15</v>
      </c>
      <c r="P237" s="38">
        <v>16</v>
      </c>
      <c r="Q237" s="37">
        <v>17</v>
      </c>
      <c r="R237" s="24"/>
    </row>
    <row r="238" spans="1:18" x14ac:dyDescent="0.25">
      <c r="A238" s="100">
        <v>1</v>
      </c>
      <c r="B238" s="167" t="s">
        <v>216</v>
      </c>
      <c r="C238" s="48">
        <v>1451</v>
      </c>
      <c r="D238" s="48">
        <v>3092</v>
      </c>
      <c r="E238" s="43">
        <v>0</v>
      </c>
      <c r="F238" s="48">
        <v>1451</v>
      </c>
      <c r="G238" s="48">
        <v>3092</v>
      </c>
      <c r="H238" s="43">
        <v>0</v>
      </c>
      <c r="I238" s="48">
        <v>1451</v>
      </c>
      <c r="J238" s="48">
        <v>3092</v>
      </c>
      <c r="K238" s="43">
        <v>0</v>
      </c>
      <c r="L238" s="48">
        <v>1451</v>
      </c>
      <c r="M238" s="48">
        <v>3092</v>
      </c>
      <c r="N238" s="43">
        <v>0</v>
      </c>
      <c r="O238" s="34">
        <v>42</v>
      </c>
      <c r="P238" s="100">
        <v>65</v>
      </c>
      <c r="Q238" s="34">
        <v>46</v>
      </c>
      <c r="R238" s="72">
        <f>O238*P238</f>
        <v>2730</v>
      </c>
    </row>
    <row r="239" spans="1:18" x14ac:dyDescent="0.25">
      <c r="A239" s="100">
        <v>2</v>
      </c>
      <c r="B239" s="167" t="s">
        <v>217</v>
      </c>
      <c r="C239" s="48">
        <v>0</v>
      </c>
      <c r="D239" s="48">
        <v>0</v>
      </c>
      <c r="E239" s="43" t="e">
        <f t="shared" ref="E239:E240" si="92">C239/D239*100-100</f>
        <v>#DIV/0!</v>
      </c>
      <c r="F239" s="48">
        <v>0</v>
      </c>
      <c r="G239" s="48">
        <v>0</v>
      </c>
      <c r="H239" s="43">
        <v>0</v>
      </c>
      <c r="I239" s="48">
        <v>0</v>
      </c>
      <c r="J239" s="48">
        <v>0</v>
      </c>
      <c r="K239" s="43" t="e">
        <f t="shared" ref="K239:K240" si="93">I239/J239*100-100</f>
        <v>#DIV/0!</v>
      </c>
      <c r="L239" s="48">
        <v>0</v>
      </c>
      <c r="M239" s="48">
        <v>0</v>
      </c>
      <c r="N239" s="43">
        <v>0</v>
      </c>
      <c r="O239" s="34">
        <v>166</v>
      </c>
      <c r="P239" s="100">
        <v>82</v>
      </c>
      <c r="Q239" s="34">
        <v>177</v>
      </c>
      <c r="R239" s="72">
        <f>O239*P239</f>
        <v>13612</v>
      </c>
    </row>
    <row r="240" spans="1:18" x14ac:dyDescent="0.25">
      <c r="A240" s="893" t="s">
        <v>202</v>
      </c>
      <c r="B240" s="894" t="s">
        <v>155</v>
      </c>
      <c r="C240" s="56">
        <f>SUM(C238:C239)</f>
        <v>1451</v>
      </c>
      <c r="D240" s="56">
        <f>SUM(D238:D239)</f>
        <v>3092</v>
      </c>
      <c r="E240" s="57">
        <f t="shared" si="92"/>
        <v>-53.072445019404917</v>
      </c>
      <c r="F240" s="56">
        <f>SUM(F238:F239)</f>
        <v>1451</v>
      </c>
      <c r="G240" s="56">
        <f>SUM(G238:G239)</f>
        <v>3092</v>
      </c>
      <c r="H240" s="57">
        <f t="shared" ref="H240" si="94">F240/G240*100-100</f>
        <v>-53.072445019404917</v>
      </c>
      <c r="I240" s="58">
        <f>SUM(I238:I239)</f>
        <v>1451</v>
      </c>
      <c r="J240" s="56">
        <f>SUM(J238:J239)</f>
        <v>3092</v>
      </c>
      <c r="K240" s="57">
        <f t="shared" si="93"/>
        <v>-53.072445019404917</v>
      </c>
      <c r="L240" s="87">
        <f>SUM(L238:L239)</f>
        <v>1451</v>
      </c>
      <c r="M240" s="56">
        <f>SUM(M238:M239)</f>
        <v>3092</v>
      </c>
      <c r="N240" s="168">
        <f t="shared" ref="N240" si="95">L240/M240*100-100</f>
        <v>-53.072445019404917</v>
      </c>
      <c r="O240" s="87">
        <f>SUM(O238:O239)</f>
        <v>208</v>
      </c>
      <c r="P240" s="87">
        <f>R240/O240</f>
        <v>78.567307692307693</v>
      </c>
      <c r="Q240" s="87">
        <f>SUM(Q238:Q239)</f>
        <v>223</v>
      </c>
      <c r="R240" s="70">
        <f>SUM(R238:R239)</f>
        <v>16342</v>
      </c>
    </row>
    <row r="241" spans="1:18" x14ac:dyDescent="0.25">
      <c r="A241" s="176"/>
      <c r="B241" s="177"/>
      <c r="C241" s="105"/>
      <c r="D241" s="105"/>
      <c r="E241" s="178"/>
      <c r="F241" s="105"/>
      <c r="G241" s="105"/>
      <c r="H241" s="178"/>
      <c r="I241" s="179"/>
      <c r="J241" s="105"/>
      <c r="K241" s="178"/>
      <c r="L241" s="110"/>
      <c r="M241" s="105"/>
      <c r="N241" s="180"/>
      <c r="O241" s="110"/>
      <c r="P241" s="110"/>
      <c r="Q241" s="110"/>
      <c r="R241" s="105"/>
    </row>
    <row r="242" spans="1:18" x14ac:dyDescent="0.25">
      <c r="A242" s="909" t="s">
        <v>224</v>
      </c>
      <c r="B242" s="910"/>
      <c r="C242" s="37">
        <v>3</v>
      </c>
      <c r="D242" s="37">
        <v>4</v>
      </c>
      <c r="E242" s="38">
        <v>5</v>
      </c>
      <c r="F242" s="37">
        <v>6</v>
      </c>
      <c r="G242" s="37">
        <v>7</v>
      </c>
      <c r="H242" s="37">
        <v>8</v>
      </c>
      <c r="I242" s="37">
        <v>9</v>
      </c>
      <c r="J242" s="37">
        <v>10</v>
      </c>
      <c r="K242" s="37">
        <v>11</v>
      </c>
      <c r="L242" s="37">
        <v>12</v>
      </c>
      <c r="M242" s="37">
        <v>13</v>
      </c>
      <c r="N242" s="37">
        <v>14</v>
      </c>
      <c r="O242" s="37">
        <v>15</v>
      </c>
      <c r="P242" s="38">
        <v>16</v>
      </c>
      <c r="Q242" s="37">
        <v>17</v>
      </c>
    </row>
    <row r="243" spans="1:18" x14ac:dyDescent="0.25">
      <c r="A243" s="100">
        <v>1</v>
      </c>
      <c r="B243" s="167" t="s">
        <v>225</v>
      </c>
      <c r="C243" s="48">
        <v>2032171</v>
      </c>
      <c r="D243" s="48">
        <v>836978</v>
      </c>
      <c r="E243" s="151">
        <f t="shared" ref="E243:E246" si="96">C243/D243*100-100</f>
        <v>142.79861597317969</v>
      </c>
      <c r="F243" s="48">
        <v>2032171</v>
      </c>
      <c r="G243" s="48">
        <v>836978</v>
      </c>
      <c r="H243" s="151">
        <f t="shared" ref="H243:H244" si="97">F243/G243*100-100</f>
        <v>142.79861597317969</v>
      </c>
      <c r="I243" s="48">
        <v>1600361</v>
      </c>
      <c r="J243" s="48">
        <v>713439</v>
      </c>
      <c r="K243" s="151">
        <f t="shared" ref="K243:K244" si="98">I243/J243*100-100</f>
        <v>124.31644471356344</v>
      </c>
      <c r="L243" s="48">
        <f>170955+933909</f>
        <v>1104864</v>
      </c>
      <c r="M243" s="48">
        <v>442355</v>
      </c>
      <c r="N243" s="151">
        <f t="shared" ref="N243:N244" si="99">L243/M243*100-100</f>
        <v>149.76862474709228</v>
      </c>
      <c r="O243" s="34">
        <v>760</v>
      </c>
      <c r="P243" s="100"/>
      <c r="Q243" s="34"/>
      <c r="R243" s="72">
        <f t="shared" ref="R243:R244" si="100">O243*P243</f>
        <v>0</v>
      </c>
    </row>
    <row r="244" spans="1:18" x14ac:dyDescent="0.25">
      <c r="A244" s="100">
        <v>2</v>
      </c>
      <c r="B244" s="167" t="s">
        <v>226</v>
      </c>
      <c r="C244" s="48">
        <v>731</v>
      </c>
      <c r="D244" s="48">
        <v>0</v>
      </c>
      <c r="E244" s="151" t="e">
        <f t="shared" si="96"/>
        <v>#DIV/0!</v>
      </c>
      <c r="F244" s="48">
        <v>731</v>
      </c>
      <c r="G244" s="48">
        <v>0</v>
      </c>
      <c r="H244" s="151" t="e">
        <f t="shared" si="97"/>
        <v>#DIV/0!</v>
      </c>
      <c r="I244" s="48">
        <v>263916</v>
      </c>
      <c r="J244" s="48">
        <v>251997</v>
      </c>
      <c r="K244" s="151">
        <f t="shared" si="98"/>
        <v>4.7298182121215717</v>
      </c>
      <c r="L244" s="48">
        <v>0</v>
      </c>
      <c r="M244" s="48">
        <v>0</v>
      </c>
      <c r="N244" s="151" t="e">
        <f t="shared" si="99"/>
        <v>#DIV/0!</v>
      </c>
      <c r="O244" s="34">
        <v>130</v>
      </c>
      <c r="P244" s="100"/>
      <c r="Q244" s="34"/>
      <c r="R244" s="72">
        <f t="shared" si="100"/>
        <v>0</v>
      </c>
    </row>
    <row r="245" spans="1:18" x14ac:dyDescent="0.25">
      <c r="A245" s="100">
        <v>3</v>
      </c>
      <c r="B245" s="193" t="s">
        <v>244</v>
      </c>
      <c r="C245" s="48">
        <v>0</v>
      </c>
      <c r="D245" s="48">
        <v>1678</v>
      </c>
      <c r="E245" s="151">
        <v>0</v>
      </c>
      <c r="F245" s="48">
        <v>0</v>
      </c>
      <c r="G245" s="48">
        <v>1678</v>
      </c>
      <c r="H245" s="151">
        <v>0</v>
      </c>
      <c r="I245" s="48">
        <v>0</v>
      </c>
      <c r="J245" s="48">
        <v>0</v>
      </c>
      <c r="K245" s="151">
        <v>0</v>
      </c>
      <c r="L245" s="48">
        <v>0</v>
      </c>
      <c r="M245" s="48">
        <v>0</v>
      </c>
      <c r="N245" s="151">
        <v>0</v>
      </c>
      <c r="O245" s="34">
        <v>77</v>
      </c>
      <c r="P245" s="100"/>
      <c r="Q245" s="34"/>
      <c r="R245" s="72">
        <f>O245*P245</f>
        <v>0</v>
      </c>
    </row>
    <row r="246" spans="1:18" x14ac:dyDescent="0.25">
      <c r="A246" s="893" t="s">
        <v>202</v>
      </c>
      <c r="B246" s="894" t="s">
        <v>155</v>
      </c>
      <c r="C246" s="56">
        <f>SUM(C243:C244)</f>
        <v>2032902</v>
      </c>
      <c r="D246" s="56">
        <f>SUM(D243:D244)</f>
        <v>836978</v>
      </c>
      <c r="E246" s="57">
        <f t="shared" si="96"/>
        <v>142.88595399162224</v>
      </c>
      <c r="F246" s="56">
        <f>SUM(F243:F244)</f>
        <v>2032902</v>
      </c>
      <c r="G246" s="56">
        <f>SUM(G243:G244)</f>
        <v>836978</v>
      </c>
      <c r="H246" s="57">
        <f t="shared" ref="H246" si="101">F246/G246*100-100</f>
        <v>142.88595399162224</v>
      </c>
      <c r="I246" s="58">
        <f>SUM(I243:I244)</f>
        <v>1864277</v>
      </c>
      <c r="J246" s="56">
        <f>SUM(J243:J244)</f>
        <v>965436</v>
      </c>
      <c r="K246" s="57">
        <f t="shared" ref="K246" si="102">I246/J246*100-100</f>
        <v>93.102080303614116</v>
      </c>
      <c r="L246" s="87">
        <f>SUM(L243:L244)</f>
        <v>1104864</v>
      </c>
      <c r="M246" s="56">
        <f>SUM(M243:M244)</f>
        <v>442355</v>
      </c>
      <c r="N246" s="168">
        <f t="shared" ref="N246" si="103">L246/M246*100-100</f>
        <v>149.76862474709228</v>
      </c>
      <c r="O246" s="87">
        <f>SUM(O243:O244)</f>
        <v>890</v>
      </c>
      <c r="P246" s="87">
        <f>R246/O246</f>
        <v>0</v>
      </c>
      <c r="Q246" s="87">
        <f>SUM(Q243:Q244)</f>
        <v>0</v>
      </c>
      <c r="R246" s="188">
        <f>SUM(R243:R245)</f>
        <v>0</v>
      </c>
    </row>
  </sheetData>
  <mergeCells count="59">
    <mergeCell ref="A1:Q2"/>
    <mergeCell ref="Q33:Q34"/>
    <mergeCell ref="P33:P34"/>
    <mergeCell ref="O33:O34"/>
    <mergeCell ref="A33:A34"/>
    <mergeCell ref="B33:B34"/>
    <mergeCell ref="C33:G33"/>
    <mergeCell ref="H33:K33"/>
    <mergeCell ref="C3:H3"/>
    <mergeCell ref="B3:B8"/>
    <mergeCell ref="A3:A8"/>
    <mergeCell ref="Q3:Q8"/>
    <mergeCell ref="P3:P8"/>
    <mergeCell ref="O3:O8"/>
    <mergeCell ref="L3:N3"/>
    <mergeCell ref="I3:K3"/>
    <mergeCell ref="A93:B93"/>
    <mergeCell ref="A95:B95"/>
    <mergeCell ref="A214:B214"/>
    <mergeCell ref="A132:B132"/>
    <mergeCell ref="A134:B134"/>
    <mergeCell ref="A140:B140"/>
    <mergeCell ref="A151:B151"/>
    <mergeCell ref="A152:B152"/>
    <mergeCell ref="A163:B163"/>
    <mergeCell ref="B165:C165"/>
    <mergeCell ref="A166:B166"/>
    <mergeCell ref="A184:B184"/>
    <mergeCell ref="A202:B202"/>
    <mergeCell ref="A206:B206"/>
    <mergeCell ref="A122:B122"/>
    <mergeCell ref="A242:B242"/>
    <mergeCell ref="A246:B246"/>
    <mergeCell ref="A221:B221"/>
    <mergeCell ref="B224:C224"/>
    <mergeCell ref="A225:B225"/>
    <mergeCell ref="A237:B237"/>
    <mergeCell ref="A240:B240"/>
    <mergeCell ref="A81:B81"/>
    <mergeCell ref="A79:B79"/>
    <mergeCell ref="A78:B78"/>
    <mergeCell ref="A69:B69"/>
    <mergeCell ref="A67:B67"/>
    <mergeCell ref="A57:B57"/>
    <mergeCell ref="A55:B55"/>
    <mergeCell ref="A36:B36"/>
    <mergeCell ref="N4:N8"/>
    <mergeCell ref="M4:M8"/>
    <mergeCell ref="L4:L8"/>
    <mergeCell ref="K4:K8"/>
    <mergeCell ref="J4:J8"/>
    <mergeCell ref="I4:I8"/>
    <mergeCell ref="H4:H8"/>
    <mergeCell ref="G4:G8"/>
    <mergeCell ref="F4:F8"/>
    <mergeCell ref="E4:E8"/>
    <mergeCell ref="D4:D8"/>
    <mergeCell ref="C4:C8"/>
    <mergeCell ref="A30:Q3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29" workbookViewId="0">
      <selection activeCell="J36" sqref="J36"/>
    </sheetView>
  </sheetViews>
  <sheetFormatPr defaultColWidth="11.28515625" defaultRowHeight="15" x14ac:dyDescent="0.25"/>
  <cols>
    <col min="1" max="1" width="6.85546875" style="126" customWidth="1"/>
    <col min="2" max="2" width="31.85546875" style="126" customWidth="1"/>
    <col min="3" max="3" width="11.7109375" style="126" customWidth="1"/>
    <col min="4" max="4" width="11.42578125" style="126" customWidth="1"/>
    <col min="5" max="5" width="12.7109375" style="126" customWidth="1"/>
    <col min="6" max="7" width="11.140625" style="126" customWidth="1"/>
    <col min="8" max="8" width="10.28515625" style="126" customWidth="1"/>
    <col min="9" max="9" width="12" style="126" customWidth="1"/>
    <col min="10" max="10" width="11.85546875" style="126" customWidth="1"/>
    <col min="11" max="11" width="8" style="126" customWidth="1"/>
    <col min="12" max="12" width="11.7109375" style="126" customWidth="1"/>
    <col min="13" max="13" width="12.28515625" style="126" customWidth="1"/>
    <col min="14" max="14" width="8.85546875" style="126" customWidth="1"/>
    <col min="15" max="16384" width="11.28515625" style="126"/>
  </cols>
  <sheetData>
    <row r="1" spans="1:14" s="556" customFormat="1" ht="16.5" x14ac:dyDescent="0.25">
      <c r="A1" s="1051" t="s">
        <v>769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</row>
    <row r="2" spans="1:14" s="556" customFormat="1" ht="21.75" customHeight="1" thickBot="1" x14ac:dyDescent="0.3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16.5" x14ac:dyDescent="0.25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</row>
    <row r="4" spans="1:14" s="556" customFormat="1" ht="16.5" customHeight="1" x14ac:dyDescent="0.25">
      <c r="A4" s="1021"/>
      <c r="B4" s="1013"/>
      <c r="C4" s="1064" t="s">
        <v>758</v>
      </c>
      <c r="D4" s="1064" t="s">
        <v>759</v>
      </c>
      <c r="E4" s="1067" t="s">
        <v>545</v>
      </c>
      <c r="F4" s="1064" t="s">
        <v>771</v>
      </c>
      <c r="G4" s="1064" t="s">
        <v>772</v>
      </c>
      <c r="H4" s="1067" t="s">
        <v>545</v>
      </c>
      <c r="I4" s="1064" t="s">
        <v>773</v>
      </c>
      <c r="J4" s="1064" t="s">
        <v>759</v>
      </c>
      <c r="K4" s="1067" t="s">
        <v>545</v>
      </c>
      <c r="L4" s="1064" t="s">
        <v>773</v>
      </c>
      <c r="M4" s="1064" t="s">
        <v>774</v>
      </c>
      <c r="N4" s="1067" t="s">
        <v>545</v>
      </c>
    </row>
    <row r="5" spans="1:14" s="556" customFormat="1" ht="16.5" x14ac:dyDescent="0.25">
      <c r="A5" s="1021"/>
      <c r="B5" s="1013"/>
      <c r="C5" s="1065"/>
      <c r="D5" s="1065"/>
      <c r="E5" s="1068"/>
      <c r="F5" s="1065"/>
      <c r="G5" s="1065"/>
      <c r="H5" s="1068"/>
      <c r="I5" s="1065"/>
      <c r="J5" s="1065"/>
      <c r="K5" s="1068"/>
      <c r="L5" s="1065"/>
      <c r="M5" s="1065"/>
      <c r="N5" s="1068"/>
    </row>
    <row r="6" spans="1:14" s="556" customFormat="1" ht="16.5" x14ac:dyDescent="0.25">
      <c r="A6" s="1021"/>
      <c r="B6" s="1013"/>
      <c r="C6" s="1065"/>
      <c r="D6" s="1065"/>
      <c r="E6" s="1068"/>
      <c r="F6" s="1065"/>
      <c r="G6" s="1065"/>
      <c r="H6" s="1068"/>
      <c r="I6" s="1065"/>
      <c r="J6" s="1065"/>
      <c r="K6" s="1068"/>
      <c r="L6" s="1065"/>
      <c r="M6" s="1065"/>
      <c r="N6" s="1068"/>
    </row>
    <row r="7" spans="1:14" s="556" customFormat="1" ht="9.75" customHeight="1" x14ac:dyDescent="0.25">
      <c r="A7" s="1021"/>
      <c r="B7" s="1013"/>
      <c r="C7" s="1065"/>
      <c r="D7" s="1065"/>
      <c r="E7" s="1068"/>
      <c r="F7" s="1065"/>
      <c r="G7" s="1065"/>
      <c r="H7" s="1068"/>
      <c r="I7" s="1065"/>
      <c r="J7" s="1065"/>
      <c r="K7" s="1068"/>
      <c r="L7" s="1065"/>
      <c r="M7" s="1065"/>
      <c r="N7" s="1068"/>
    </row>
    <row r="8" spans="1:14" s="556" customFormat="1" ht="17.25" thickBot="1" x14ac:dyDescent="0.3">
      <c r="A8" s="1022"/>
      <c r="B8" s="1014"/>
      <c r="C8" s="1066"/>
      <c r="D8" s="1066"/>
      <c r="E8" s="1069"/>
      <c r="F8" s="1066"/>
      <c r="G8" s="1066"/>
      <c r="H8" s="1069"/>
      <c r="I8" s="1066"/>
      <c r="J8" s="1066"/>
      <c r="K8" s="1069"/>
      <c r="L8" s="1066"/>
      <c r="M8" s="1066"/>
      <c r="N8" s="1069"/>
    </row>
    <row r="9" spans="1:14" s="556" customFormat="1" ht="17.25" thickBot="1" x14ac:dyDescent="0.3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</row>
    <row r="10" spans="1:14" s="557" customFormat="1" ht="34.5" x14ac:dyDescent="0.25">
      <c r="A10" s="456"/>
      <c r="B10" s="395" t="s">
        <v>348</v>
      </c>
      <c r="C10" s="396">
        <f>C11+C25</f>
        <v>475.21355310000001</v>
      </c>
      <c r="D10" s="396">
        <f>D11+D25</f>
        <v>440.63986430000011</v>
      </c>
      <c r="E10" s="397">
        <f>C10/D10*100</f>
        <v>107.84624624349945</v>
      </c>
      <c r="F10" s="396">
        <f>F11+F25</f>
        <v>54.468534599999991</v>
      </c>
      <c r="G10" s="396">
        <f>G11+G25</f>
        <v>51.063487899999998</v>
      </c>
      <c r="H10" s="397">
        <f>F10/G10*100</f>
        <v>106.66826110011962</v>
      </c>
      <c r="I10" s="396">
        <f>I11+I25</f>
        <v>463.25158619999996</v>
      </c>
      <c r="J10" s="396">
        <f>J11+J25</f>
        <v>418.29509109999992</v>
      </c>
      <c r="K10" s="397">
        <f>I10/J10*100</f>
        <v>110.74755502910085</v>
      </c>
      <c r="L10" s="396">
        <f>L11+L25</f>
        <v>293.05317200000002</v>
      </c>
      <c r="M10" s="396">
        <f>M11+M25</f>
        <v>281.27268200000003</v>
      </c>
      <c r="N10" s="397">
        <f>L10/M10*100</f>
        <v>104.18828089391205</v>
      </c>
    </row>
    <row r="11" spans="1:14" ht="34.5" x14ac:dyDescent="0.25">
      <c r="A11" s="222">
        <v>1</v>
      </c>
      <c r="B11" s="373" t="s">
        <v>730</v>
      </c>
      <c r="C11" s="374">
        <f>C12+C13</f>
        <v>475.21355310000001</v>
      </c>
      <c r="D11" s="374">
        <f>D12+D13</f>
        <v>440.63986430000011</v>
      </c>
      <c r="E11" s="374">
        <f>C11/D11*100</f>
        <v>107.84624624349945</v>
      </c>
      <c r="F11" s="374">
        <f>F12+F13</f>
        <v>54.468534599999991</v>
      </c>
      <c r="G11" s="374">
        <f>G12+G13</f>
        <v>51.063487899999998</v>
      </c>
      <c r="H11" s="374">
        <f>F11/G11*100</f>
        <v>106.66826110011962</v>
      </c>
      <c r="I11" s="374">
        <f>I12+I13</f>
        <v>463.25158619999996</v>
      </c>
      <c r="J11" s="374">
        <f>J12+J13</f>
        <v>418.29509109999992</v>
      </c>
      <c r="K11" s="374">
        <f>I11/J11*100</f>
        <v>110.74755502910085</v>
      </c>
      <c r="L11" s="374">
        <f>L12+L13</f>
        <v>293.05317200000002</v>
      </c>
      <c r="M11" s="374">
        <f>M12+M13</f>
        <v>281.27268200000003</v>
      </c>
      <c r="N11" s="374">
        <f>L11/M11*100</f>
        <v>104.18828089391205</v>
      </c>
    </row>
    <row r="12" spans="1:14" ht="45" customHeight="1" thickBot="1" x14ac:dyDescent="0.3">
      <c r="A12" s="476">
        <v>1.1000000000000001</v>
      </c>
      <c r="B12" s="400" t="s">
        <v>527</v>
      </c>
      <c r="C12" s="390">
        <f>C133/1000000</f>
        <v>133.13301100000001</v>
      </c>
      <c r="D12" s="390">
        <f>D133/1000000</f>
        <v>135.71808300000001</v>
      </c>
      <c r="E12" s="392">
        <f>E133</f>
        <v>98.095263399793225</v>
      </c>
      <c r="F12" s="390">
        <f>F133/1000000</f>
        <v>15.36614</v>
      </c>
      <c r="G12" s="390">
        <f>G133/1000000</f>
        <v>13.211964999999999</v>
      </c>
      <c r="H12" s="391">
        <f>H133</f>
        <v>116.30472832769388</v>
      </c>
      <c r="I12" s="390">
        <f>I133/1000000</f>
        <v>125.68833600000001</v>
      </c>
      <c r="J12" s="390">
        <f>J133/1000000</f>
        <v>124.75599699999999</v>
      </c>
      <c r="K12" s="391">
        <f>K133</f>
        <v>100.74733000610784</v>
      </c>
      <c r="L12" s="390">
        <f>L133/1000000</f>
        <v>83.543951000000007</v>
      </c>
      <c r="M12" s="390">
        <f>M133/1000000</f>
        <v>83.483459999999994</v>
      </c>
      <c r="N12" s="392">
        <f>N133</f>
        <v>100.07245866426715</v>
      </c>
    </row>
    <row r="13" spans="1:14" ht="49.5" x14ac:dyDescent="0.25">
      <c r="A13" s="353">
        <v>1.2</v>
      </c>
      <c r="B13" s="401" t="s">
        <v>350</v>
      </c>
      <c r="C13" s="379">
        <f>SUM(C14:C24)</f>
        <v>342.0805421</v>
      </c>
      <c r="D13" s="379">
        <f>SUM(D14:D24)</f>
        <v>304.92178130000008</v>
      </c>
      <c r="E13" s="380">
        <f t="shared" ref="E13" si="0">C13/D13*100</f>
        <v>112.1863255034054</v>
      </c>
      <c r="F13" s="379">
        <f>SUM(F14:F24)</f>
        <v>39.10239459999999</v>
      </c>
      <c r="G13" s="379">
        <f>SUM(G14:G24)</f>
        <v>37.851522899999999</v>
      </c>
      <c r="H13" s="380">
        <f t="shared" ref="H13" si="1">F13/G13*100</f>
        <v>103.30467998158137</v>
      </c>
      <c r="I13" s="379">
        <f>SUM(I14:I24)</f>
        <v>337.56325019999997</v>
      </c>
      <c r="J13" s="379">
        <f>SUM(J14:J24)</f>
        <v>293.53909409999994</v>
      </c>
      <c r="K13" s="380">
        <f t="shared" ref="K13" si="2">I13/J13*100</f>
        <v>114.99771477968869</v>
      </c>
      <c r="L13" s="379">
        <f>SUM(L14:L24)</f>
        <v>209.50922100000003</v>
      </c>
      <c r="M13" s="379">
        <f>SUM(M14:M24)</f>
        <v>197.78922200000002</v>
      </c>
      <c r="N13" s="380">
        <f t="shared" ref="N13" si="3">L13/M13*100</f>
        <v>105.92549931765241</v>
      </c>
    </row>
    <row r="14" spans="1:14" ht="17.25" x14ac:dyDescent="0.25">
      <c r="A14" s="483" t="s">
        <v>528</v>
      </c>
      <c r="B14" s="535" t="s">
        <v>351</v>
      </c>
      <c r="C14" s="520">
        <f>C143/1000000</f>
        <v>124.780491</v>
      </c>
      <c r="D14" s="520">
        <f>D143/1000000</f>
        <v>121.18109699999999</v>
      </c>
      <c r="E14" s="521">
        <f>E143</f>
        <v>102.970260287378</v>
      </c>
      <c r="F14" s="520">
        <f>F143/1000000</f>
        <v>14.542801000000001</v>
      </c>
      <c r="G14" s="520">
        <f>G143/1000000</f>
        <v>13.381773000000001</v>
      </c>
      <c r="H14" s="521">
        <f>H143</f>
        <v>108.67618962001522</v>
      </c>
      <c r="I14" s="520">
        <f>I143/1000000</f>
        <v>125.85405</v>
      </c>
      <c r="J14" s="520">
        <f>J143/1000000</f>
        <v>116.76339</v>
      </c>
      <c r="K14" s="521">
        <f>K143</f>
        <v>107.7855396284743</v>
      </c>
      <c r="L14" s="520">
        <f>L143/1000000</f>
        <v>115.560992</v>
      </c>
      <c r="M14" s="520">
        <f>M143/1000000</f>
        <v>110.408856</v>
      </c>
      <c r="N14" s="521">
        <f>N143</f>
        <v>104.6664155273921</v>
      </c>
    </row>
    <row r="15" spans="1:14" ht="17.25" x14ac:dyDescent="0.25">
      <c r="A15" s="7" t="s">
        <v>529</v>
      </c>
      <c r="B15" s="535" t="s">
        <v>352</v>
      </c>
      <c r="C15" s="520">
        <f>C153/1000000</f>
        <v>10.365992</v>
      </c>
      <c r="D15" s="520">
        <f>D153/1000000</f>
        <v>11.038394</v>
      </c>
      <c r="E15" s="521">
        <f>E153</f>
        <v>93.908516039561547</v>
      </c>
      <c r="F15" s="520">
        <f>F153/1000000</f>
        <v>1.1426879999999999</v>
      </c>
      <c r="G15" s="520">
        <f>G153/1000000</f>
        <v>1.3087500000000001</v>
      </c>
      <c r="H15" s="521">
        <f>H153</f>
        <v>87.31140401146132</v>
      </c>
      <c r="I15" s="520">
        <f>I153/1000000</f>
        <v>9.4766220000000008</v>
      </c>
      <c r="J15" s="520">
        <f>J153/1000000</f>
        <v>10.429379000000001</v>
      </c>
      <c r="K15" s="521">
        <f>K153</f>
        <v>90.864681396658426</v>
      </c>
      <c r="L15" s="520">
        <f>L153/1000000</f>
        <v>4.3226209999999998</v>
      </c>
      <c r="M15" s="520">
        <f>M153/1000000</f>
        <v>4.88131</v>
      </c>
      <c r="N15" s="521">
        <f>N153</f>
        <v>88.554527370726305</v>
      </c>
    </row>
    <row r="16" spans="1:14" ht="34.5" x14ac:dyDescent="0.25">
      <c r="A16" s="483" t="s">
        <v>530</v>
      </c>
      <c r="B16" s="535" t="s">
        <v>353</v>
      </c>
      <c r="C16" s="520">
        <f>C236/1000000</f>
        <v>10.941863</v>
      </c>
      <c r="D16" s="520">
        <f>D236/1000000</f>
        <v>11.183733</v>
      </c>
      <c r="E16" s="521">
        <f>E236</f>
        <v>97.837305307628498</v>
      </c>
      <c r="F16" s="520">
        <f>F236/1000000</f>
        <v>1.177276</v>
      </c>
      <c r="G16" s="520">
        <f>G236/1000000</f>
        <v>1.0675239999999999</v>
      </c>
      <c r="H16" s="521">
        <f>H236</f>
        <v>110.28098665697445</v>
      </c>
      <c r="I16" s="520">
        <f>I236/1000000</f>
        <v>10.853783999999999</v>
      </c>
      <c r="J16" s="520">
        <f>J236/1000000</f>
        <v>10.954211000000001</v>
      </c>
      <c r="K16" s="521">
        <f>K236</f>
        <v>99.083211013554518</v>
      </c>
      <c r="L16" s="520">
        <f>L236/1000000</f>
        <v>5.9526320000000004</v>
      </c>
      <c r="M16" s="520">
        <f>M236/1000000</f>
        <v>5.4203640000000002</v>
      </c>
      <c r="N16" s="521">
        <f>N236</f>
        <v>109.81978332082494</v>
      </c>
    </row>
    <row r="17" spans="1:14" ht="17.25" x14ac:dyDescent="0.25">
      <c r="A17" s="7" t="s">
        <v>531</v>
      </c>
      <c r="B17" s="535" t="s">
        <v>354</v>
      </c>
      <c r="C17" s="520">
        <f>C35/1000000</f>
        <v>1.5219579999999999</v>
      </c>
      <c r="D17" s="520">
        <f>D35/1000000</f>
        <v>2.3189120000000001</v>
      </c>
      <c r="E17" s="521">
        <f>E35</f>
        <v>65.632417271548036</v>
      </c>
      <c r="F17" s="520">
        <f>F35/1000000</f>
        <v>0.17371200000000001</v>
      </c>
      <c r="G17" s="520">
        <f>G35/1000000</f>
        <v>0.18336</v>
      </c>
      <c r="H17" s="521">
        <f>H35</f>
        <v>94.738219895287955</v>
      </c>
      <c r="I17" s="520">
        <f>I35/1000000</f>
        <v>1.3258719999999999</v>
      </c>
      <c r="J17" s="520">
        <f>J35/1000000</f>
        <v>2.221603</v>
      </c>
      <c r="K17" s="521">
        <f>K35</f>
        <v>59.680870074446247</v>
      </c>
      <c r="L17" s="520">
        <f>L35/1000000</f>
        <v>0.74376799999999998</v>
      </c>
      <c r="M17" s="520">
        <f>M35/1000000</f>
        <v>1.289396</v>
      </c>
      <c r="N17" s="521">
        <f>N35</f>
        <v>57.683442480044924</v>
      </c>
    </row>
    <row r="18" spans="1:14" ht="17.25" x14ac:dyDescent="0.25">
      <c r="A18" s="483" t="s">
        <v>532</v>
      </c>
      <c r="B18" s="535" t="s">
        <v>355</v>
      </c>
      <c r="C18" s="520">
        <f>C55/1000000</f>
        <v>1.499441</v>
      </c>
      <c r="D18" s="520">
        <f>D55/1000000</f>
        <v>1.4067190000000001</v>
      </c>
      <c r="E18" s="521">
        <f>E55</f>
        <v>106.59136615059582</v>
      </c>
      <c r="F18" s="520">
        <f>F55/1000000</f>
        <v>0.21967800000000001</v>
      </c>
      <c r="G18" s="520">
        <f>G55/1000000</f>
        <v>0.209421</v>
      </c>
      <c r="H18" s="521">
        <f>H55</f>
        <v>104.89778961995215</v>
      </c>
      <c r="I18" s="520">
        <f>I55/1000000</f>
        <v>1.5632790000000001</v>
      </c>
      <c r="J18" s="520">
        <f>J55/1000000</f>
        <v>1.446007</v>
      </c>
      <c r="K18" s="521">
        <f>K55</f>
        <v>108.1100575585042</v>
      </c>
      <c r="L18" s="520">
        <f>L55/1000000</f>
        <v>0.96236900000000003</v>
      </c>
      <c r="M18" s="520">
        <f>M55/1000000</f>
        <v>0.81073499999999998</v>
      </c>
      <c r="N18" s="521">
        <f>N55</f>
        <v>118.70327542291872</v>
      </c>
    </row>
    <row r="19" spans="1:14" ht="17.25" x14ac:dyDescent="0.25">
      <c r="A19" s="7" t="s">
        <v>533</v>
      </c>
      <c r="B19" s="535" t="s">
        <v>356</v>
      </c>
      <c r="C19" s="520">
        <f>C69/1000000</f>
        <v>1.036656</v>
      </c>
      <c r="D19" s="520">
        <f>D69/1000000</f>
        <v>1.152166</v>
      </c>
      <c r="E19" s="521">
        <f>E69</f>
        <v>89.974534919447365</v>
      </c>
      <c r="F19" s="520">
        <f>F69/1000000</f>
        <v>6.1449999999999998E-2</v>
      </c>
      <c r="G19" s="520">
        <f>G69/1000000</f>
        <v>0.109899</v>
      </c>
      <c r="H19" s="521">
        <f>H69</f>
        <v>55.914976478402899</v>
      </c>
      <c r="I19" s="520">
        <f>I69/1000000</f>
        <v>1.114843</v>
      </c>
      <c r="J19" s="520">
        <f>J69/1000000</f>
        <v>1.1923889999999999</v>
      </c>
      <c r="K19" s="521">
        <f>K69</f>
        <v>93.496585426400287</v>
      </c>
      <c r="L19" s="520">
        <f>L69/1000000</f>
        <v>0.576268</v>
      </c>
      <c r="M19" s="520">
        <f>M69/1000000</f>
        <v>0.63935399999999998</v>
      </c>
      <c r="N19" s="521">
        <f>N69</f>
        <v>90.132852848343788</v>
      </c>
    </row>
    <row r="20" spans="1:14" ht="17.25" x14ac:dyDescent="0.25">
      <c r="A20" s="483" t="s">
        <v>534</v>
      </c>
      <c r="B20" s="535" t="s">
        <v>357</v>
      </c>
      <c r="C20" s="520">
        <f>C79/1000000</f>
        <v>5.6858040000000001</v>
      </c>
      <c r="D20" s="520">
        <f>D79/1000000</f>
        <v>5.2842000000000002</v>
      </c>
      <c r="E20" s="521">
        <f>E79</f>
        <v>107.60009083683433</v>
      </c>
      <c r="F20" s="520">
        <f>F79/1000000</f>
        <v>0.86785699999999999</v>
      </c>
      <c r="G20" s="520">
        <f>G79/1000000</f>
        <v>0.68670200000000003</v>
      </c>
      <c r="H20" s="521">
        <f>H79</f>
        <v>126.38043867645645</v>
      </c>
      <c r="I20" s="520">
        <f>I79/1000000</f>
        <v>5.6128020000000003</v>
      </c>
      <c r="J20" s="520">
        <f>J79/1000000</f>
        <v>5.6620889999999999</v>
      </c>
      <c r="K20" s="521">
        <f>K79</f>
        <v>99.129526222565559</v>
      </c>
      <c r="L20" s="520">
        <f>L79/1000000</f>
        <v>1.425743</v>
      </c>
      <c r="M20" s="520">
        <f>M79/1000000</f>
        <v>2.6811430000000001</v>
      </c>
      <c r="N20" s="521">
        <f>N79</f>
        <v>53.176686211813397</v>
      </c>
    </row>
    <row r="21" spans="1:14" ht="17.25" x14ac:dyDescent="0.25">
      <c r="A21" s="7" t="s">
        <v>535</v>
      </c>
      <c r="B21" s="535" t="s">
        <v>358</v>
      </c>
      <c r="C21" s="521">
        <f>C158/1000000</f>
        <v>181.82048499999999</v>
      </c>
      <c r="D21" s="521">
        <f>D158/1000000</f>
        <v>148.12594300000001</v>
      </c>
      <c r="E21" s="521">
        <f>E158</f>
        <v>122.74722531217913</v>
      </c>
      <c r="F21" s="520">
        <f>F158/1000000</f>
        <v>20.403337000000001</v>
      </c>
      <c r="G21" s="520">
        <f>G158/1000000</f>
        <v>20.577061</v>
      </c>
      <c r="H21" s="521">
        <f>H158</f>
        <v>99.155739490688205</v>
      </c>
      <c r="I21" s="520">
        <f>I158/1000000</f>
        <v>177.519012</v>
      </c>
      <c r="J21" s="520">
        <f>J158/1000000</f>
        <v>141.49056300000001</v>
      </c>
      <c r="K21" s="521">
        <f>K158</f>
        <v>125.46349963990178</v>
      </c>
      <c r="L21" s="520">
        <f>L158/1000000</f>
        <v>77.630785000000003</v>
      </c>
      <c r="M21" s="520">
        <f>M158/1000000</f>
        <v>70.546136000000004</v>
      </c>
      <c r="N21" s="521">
        <f>N158</f>
        <v>110.04257554233729</v>
      </c>
    </row>
    <row r="22" spans="1:14" ht="17.25" x14ac:dyDescent="0.25">
      <c r="A22" s="483" t="s">
        <v>536</v>
      </c>
      <c r="B22" s="535" t="s">
        <v>359</v>
      </c>
      <c r="C22" s="520">
        <f>C95/1000000</f>
        <v>3.473954</v>
      </c>
      <c r="D22" s="520">
        <f>D95/1000000</f>
        <v>2.2926839999999999</v>
      </c>
      <c r="E22" s="521">
        <f>E95</f>
        <v>151.52345460604252</v>
      </c>
      <c r="F22" s="520">
        <f>F95/1000000</f>
        <v>0.42842400000000003</v>
      </c>
      <c r="G22" s="520">
        <f>G95/1000000</f>
        <v>0.22279099999999999</v>
      </c>
      <c r="H22" s="521">
        <f>H95</f>
        <v>192.29861170334527</v>
      </c>
      <c r="I22" s="520">
        <f>I95/1000000</f>
        <v>3.5515599999999998</v>
      </c>
      <c r="J22" s="520">
        <f>J95/1000000</f>
        <v>2.8083200000000001</v>
      </c>
      <c r="K22" s="521">
        <f>K95</f>
        <v>126.4656449407475</v>
      </c>
      <c r="L22" s="520">
        <f>L95/1000000</f>
        <v>2.2602060000000002</v>
      </c>
      <c r="M22" s="520">
        <f>M95/1000000</f>
        <v>1.0888819999999999</v>
      </c>
      <c r="N22" s="521">
        <f>N95</f>
        <v>207.57125198139011</v>
      </c>
    </row>
    <row r="23" spans="1:14" ht="17.25" x14ac:dyDescent="0.25">
      <c r="A23" s="7" t="s">
        <v>537</v>
      </c>
      <c r="B23" s="535" t="s">
        <v>360</v>
      </c>
      <c r="C23" s="520">
        <f>C124/1000000</f>
        <v>0.11489199999999999</v>
      </c>
      <c r="D23" s="520">
        <f>D124/1000000</f>
        <v>0.13716999999999999</v>
      </c>
      <c r="E23" s="521">
        <f>E124</f>
        <v>83.758839396369467</v>
      </c>
      <c r="F23" s="520">
        <f>F124/1000000</f>
        <v>8.2360000000000003E-3</v>
      </c>
      <c r="G23" s="520">
        <f>G124/1000000</f>
        <v>4.6109999999999996E-3</v>
      </c>
      <c r="H23" s="521">
        <f>H124</f>
        <v>178.61635220125785</v>
      </c>
      <c r="I23" s="520">
        <f>I124/1000000</f>
        <v>0.11891400000000001</v>
      </c>
      <c r="J23" s="520">
        <f>J124/1000000</f>
        <v>0.101884</v>
      </c>
      <c r="K23" s="521">
        <f>K124</f>
        <v>116.71508774684935</v>
      </c>
      <c r="L23" s="520">
        <f>L124/1000000</f>
        <v>5.5146000000000001E-2</v>
      </c>
      <c r="M23" s="521">
        <f>M124/1000000</f>
        <v>1.9451E-2</v>
      </c>
      <c r="N23" s="521">
        <f>N124</f>
        <v>283.51241581409698</v>
      </c>
    </row>
    <row r="24" spans="1:14" ht="35.25" thickBot="1" x14ac:dyDescent="0.3">
      <c r="A24" s="483" t="s">
        <v>538</v>
      </c>
      <c r="B24" s="535" t="s">
        <v>361</v>
      </c>
      <c r="C24" s="520">
        <f>C253/1000000</f>
        <v>0.83900609999999998</v>
      </c>
      <c r="D24" s="520">
        <f>D253/1000000</f>
        <v>0.80076330000000007</v>
      </c>
      <c r="E24" s="521">
        <f>E253</f>
        <v>104.77579329622124</v>
      </c>
      <c r="F24" s="520">
        <f>F253/1000000</f>
        <v>7.6935600000000007E-2</v>
      </c>
      <c r="G24" s="520">
        <f>G253/1000000</f>
        <v>9.9630899999999994E-2</v>
      </c>
      <c r="H24" s="521">
        <f>H253</f>
        <v>77.220621313267273</v>
      </c>
      <c r="I24" s="520">
        <f>I253/1000000</f>
        <v>0.57251219999999992</v>
      </c>
      <c r="J24" s="520">
        <f>J253/1000000</f>
        <v>0.46925909999999998</v>
      </c>
      <c r="K24" s="521">
        <f>K253</f>
        <v>122.00343051418714</v>
      </c>
      <c r="L24" s="520">
        <f>L253/1000000</f>
        <v>1.8690999999999999E-2</v>
      </c>
      <c r="M24" s="540">
        <f>M253/1000000</f>
        <v>3.5950000000000001E-3</v>
      </c>
      <c r="N24" s="521">
        <f>N253</f>
        <v>519.91655076495135</v>
      </c>
    </row>
    <row r="25" spans="1:14" s="556" customFormat="1" ht="18" thickBot="1" x14ac:dyDescent="0.3">
      <c r="A25" s="458">
        <v>2</v>
      </c>
      <c r="B25" s="458" t="s">
        <v>322</v>
      </c>
      <c r="C25" s="526">
        <f>C265/1000000</f>
        <v>0</v>
      </c>
      <c r="D25" s="526">
        <f>D265/1000000</f>
        <v>0</v>
      </c>
      <c r="E25" s="526" t="e">
        <f t="shared" ref="E25" si="4">C25/D25*100</f>
        <v>#DIV/0!</v>
      </c>
      <c r="F25" s="526">
        <f>F265/1000000</f>
        <v>0</v>
      </c>
      <c r="G25" s="526">
        <f>G265/1000000</f>
        <v>0</v>
      </c>
      <c r="H25" s="526" t="e">
        <f t="shared" ref="H25" si="5">F25/G25*100</f>
        <v>#DIV/0!</v>
      </c>
      <c r="I25" s="526">
        <f>I265/1000000</f>
        <v>0</v>
      </c>
      <c r="J25" s="526">
        <f>J265/1000000</f>
        <v>0</v>
      </c>
      <c r="K25" s="526" t="e">
        <f t="shared" ref="K25" si="6">I25/J25*100</f>
        <v>#DIV/0!</v>
      </c>
      <c r="L25" s="526">
        <f>L265/1000000</f>
        <v>0</v>
      </c>
      <c r="M25" s="526">
        <f>M265/1000000</f>
        <v>0</v>
      </c>
      <c r="N25" s="526" t="e">
        <f t="shared" ref="N25" si="7">L25/M25*100</f>
        <v>#DIV/0!</v>
      </c>
    </row>
    <row r="26" spans="1:14" s="556" customFormat="1" ht="18" thickBot="1" x14ac:dyDescent="0.3">
      <c r="A26" s="458">
        <v>3</v>
      </c>
      <c r="B26" s="462" t="s">
        <v>321</v>
      </c>
      <c r="C26" s="558">
        <f>C286/1000000</f>
        <v>1.6305769999999999</v>
      </c>
      <c r="D26" s="558">
        <f>D286/1000000</f>
        <v>1.5912679999999999</v>
      </c>
      <c r="E26" s="529">
        <f>C26/D26*100</f>
        <v>102.47029413021565</v>
      </c>
      <c r="F26" s="559">
        <f>F286/1000000</f>
        <v>0.16739399999999999</v>
      </c>
      <c r="G26" s="559">
        <f>G286/1000000</f>
        <v>0.17744199999999999</v>
      </c>
      <c r="H26" s="529">
        <f>F26/G26*100</f>
        <v>94.337304584033092</v>
      </c>
      <c r="I26" s="558">
        <f>I286/1000000</f>
        <v>1.6305769999999999</v>
      </c>
      <c r="J26" s="558">
        <f>J286/1000000</f>
        <v>1.5912679999999999</v>
      </c>
      <c r="K26" s="529">
        <f>I26/J26*100</f>
        <v>102.47029413021565</v>
      </c>
      <c r="L26" s="558">
        <f>L286/1000000</f>
        <v>0.28173399999999998</v>
      </c>
      <c r="M26" s="558">
        <f>M286/1000000</f>
        <v>0.31656400000000001</v>
      </c>
      <c r="N26" s="529">
        <f>L26/M26*100</f>
        <v>88.997485500562277</v>
      </c>
    </row>
    <row r="27" spans="1:14" ht="18" thickBot="1" x14ac:dyDescent="0.3">
      <c r="A27" s="460">
        <v>4</v>
      </c>
      <c r="B27" s="461" t="s">
        <v>517</v>
      </c>
      <c r="C27" s="477">
        <f>C294/1000000</f>
        <v>0</v>
      </c>
      <c r="D27" s="477">
        <f>D294/1000000</f>
        <v>0</v>
      </c>
      <c r="E27" s="533" t="e">
        <f>C27/D27*100</f>
        <v>#DIV/0!</v>
      </c>
      <c r="F27" s="477">
        <f>F294/1000000</f>
        <v>0</v>
      </c>
      <c r="G27" s="477">
        <f>G294/1000000</f>
        <v>0</v>
      </c>
      <c r="H27" s="533" t="e">
        <f>F27/G27*100</f>
        <v>#DIV/0!</v>
      </c>
      <c r="I27" s="477">
        <f>I294/1000000</f>
        <v>0</v>
      </c>
      <c r="J27" s="477">
        <f>J294/1000000</f>
        <v>0</v>
      </c>
      <c r="K27" s="533" t="e">
        <f>I27/J27*100</f>
        <v>#DIV/0!</v>
      </c>
      <c r="L27" s="459">
        <f>L294</f>
        <v>0</v>
      </c>
      <c r="M27" s="459">
        <f>M294</f>
        <v>0</v>
      </c>
      <c r="N27" s="410">
        <v>0</v>
      </c>
    </row>
    <row r="28" spans="1:14" ht="228" customHeight="1" x14ac:dyDescent="0.25"/>
    <row r="29" spans="1:14" x14ac:dyDescent="0.25">
      <c r="A29" s="941" t="s">
        <v>770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</row>
    <row r="30" spans="1:14" s="560" customFormat="1" ht="20.25" customHeight="1" thickBot="1" x14ac:dyDescent="0.3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4"/>
    </row>
    <row r="32" spans="1:14" ht="63" customHeight="1" thickBot="1" x14ac:dyDescent="0.3">
      <c r="A32" s="1038"/>
      <c r="B32" s="1039"/>
      <c r="C32" s="600" t="s">
        <v>758</v>
      </c>
      <c r="D32" s="600" t="s">
        <v>759</v>
      </c>
      <c r="E32" s="600" t="s">
        <v>323</v>
      </c>
      <c r="F32" s="600" t="s">
        <v>771</v>
      </c>
      <c r="G32" s="600" t="s">
        <v>772</v>
      </c>
      <c r="H32" s="600" t="s">
        <v>323</v>
      </c>
      <c r="I32" s="600" t="s">
        <v>758</v>
      </c>
      <c r="J32" s="600" t="s">
        <v>759</v>
      </c>
      <c r="K32" s="600" t="s">
        <v>323</v>
      </c>
      <c r="L32" s="600" t="s">
        <v>758</v>
      </c>
      <c r="M32" s="600" t="s">
        <v>759</v>
      </c>
      <c r="N32" s="600" t="s">
        <v>323</v>
      </c>
    </row>
    <row r="33" spans="1:16" ht="15.75" customHeight="1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</row>
    <row r="34" spans="1:16" ht="15" customHeight="1" x14ac:dyDescent="0.25">
      <c r="A34" s="1043" t="s">
        <v>741</v>
      </c>
      <c r="B34" s="1044" t="s">
        <v>78</v>
      </c>
      <c r="C34" s="464">
        <f>C35+C55+C69</f>
        <v>4058055</v>
      </c>
      <c r="D34" s="464">
        <f>D35+D55+D69</f>
        <v>4877797</v>
      </c>
      <c r="E34" s="465">
        <f>C34/D34*100</f>
        <v>83.194421580069857</v>
      </c>
      <c r="F34" s="464">
        <f>F35+F55+F69</f>
        <v>454840</v>
      </c>
      <c r="G34" s="464">
        <f>G35+G55+G69</f>
        <v>502680</v>
      </c>
      <c r="H34" s="465">
        <f>F34/G34*100</f>
        <v>90.483011060714574</v>
      </c>
      <c r="I34" s="464">
        <f>I35+I55+I69</f>
        <v>4003994</v>
      </c>
      <c r="J34" s="464">
        <f>J35+J55+J69</f>
        <v>4859999</v>
      </c>
      <c r="K34" s="465">
        <f>I34/J34*100</f>
        <v>82.386724770931025</v>
      </c>
      <c r="L34" s="464">
        <f>L35+L55+L69</f>
        <v>2282405</v>
      </c>
      <c r="M34" s="464">
        <f>M35+M55+M69</f>
        <v>2739485</v>
      </c>
      <c r="N34" s="465">
        <f>L34/M34*100</f>
        <v>83.315112146991126</v>
      </c>
    </row>
    <row r="35" spans="1:16" ht="17.25" x14ac:dyDescent="0.25">
      <c r="A35" s="1033" t="s">
        <v>740</v>
      </c>
      <c r="B35" s="1034"/>
      <c r="C35" s="254">
        <f>SUM(C36:C53)</f>
        <v>1521958</v>
      </c>
      <c r="D35" s="254">
        <f>SUM(D36:D53)</f>
        <v>2318912</v>
      </c>
      <c r="E35" s="452">
        <f>C35/D35*100</f>
        <v>65.632417271548036</v>
      </c>
      <c r="F35" s="254">
        <f>SUM(F36:F53)</f>
        <v>173712</v>
      </c>
      <c r="G35" s="254">
        <f>SUM(G36:G53)</f>
        <v>183360</v>
      </c>
      <c r="H35" s="254">
        <f>F35/G35*100</f>
        <v>94.738219895287955</v>
      </c>
      <c r="I35" s="254">
        <f>SUM(I36:I53)</f>
        <v>1325872</v>
      </c>
      <c r="J35" s="254">
        <f>SUM(J36:J53)</f>
        <v>2221603</v>
      </c>
      <c r="K35" s="254">
        <f>I35/J35*100</f>
        <v>59.680870074446247</v>
      </c>
      <c r="L35" s="254">
        <f>SUM(L36:L53)</f>
        <v>743768</v>
      </c>
      <c r="M35" s="254">
        <f>SUM(M36:M53)</f>
        <v>1289396</v>
      </c>
      <c r="N35" s="254">
        <f>L35/M35*100</f>
        <v>57.683442480044924</v>
      </c>
    </row>
    <row r="36" spans="1:16" ht="17.25" x14ac:dyDescent="0.25">
      <c r="A36" s="253">
        <v>1</v>
      </c>
      <c r="B36" s="544" t="s">
        <v>577</v>
      </c>
      <c r="C36" s="247">
        <v>71589</v>
      </c>
      <c r="D36" s="247">
        <v>93098</v>
      </c>
      <c r="E36" s="425">
        <f>C36/D36*100</f>
        <v>76.896388751638057</v>
      </c>
      <c r="F36" s="247">
        <v>8375</v>
      </c>
      <c r="G36" s="247">
        <v>8429</v>
      </c>
      <c r="H36" s="425">
        <f>F36/G36*100</f>
        <v>99.359354609087674</v>
      </c>
      <c r="I36" s="247">
        <v>56274</v>
      </c>
      <c r="J36" s="247">
        <v>93098</v>
      </c>
      <c r="K36" s="425">
        <f>I36/J36*100</f>
        <v>60.445981653741221</v>
      </c>
      <c r="L36" s="247">
        <v>0</v>
      </c>
      <c r="M36" s="247">
        <v>0</v>
      </c>
      <c r="N36" s="425" t="e">
        <f>L36/M36*100</f>
        <v>#DIV/0!</v>
      </c>
      <c r="O36" s="126">
        <v>70</v>
      </c>
      <c r="P36" s="126">
        <v>123</v>
      </c>
    </row>
    <row r="37" spans="1:16" ht="17.25" x14ac:dyDescent="0.25">
      <c r="A37" s="253">
        <v>2</v>
      </c>
      <c r="B37" s="544" t="s">
        <v>578</v>
      </c>
      <c r="C37" s="247">
        <v>208876</v>
      </c>
      <c r="D37" s="247">
        <v>219410</v>
      </c>
      <c r="E37" s="425">
        <f t="shared" ref="E37:E53" si="8">C37/D37*100</f>
        <v>95.198942618841443</v>
      </c>
      <c r="F37" s="247">
        <v>8446</v>
      </c>
      <c r="G37" s="247">
        <v>37527</v>
      </c>
      <c r="H37" s="425">
        <f t="shared" ref="H37:H53" si="9">F37/G37*100</f>
        <v>22.506462014016577</v>
      </c>
      <c r="I37" s="247">
        <v>59582</v>
      </c>
      <c r="J37" s="247">
        <v>119377</v>
      </c>
      <c r="K37" s="425">
        <f t="shared" ref="K37:K53" si="10">I37/J37*100</f>
        <v>49.910786834984968</v>
      </c>
      <c r="L37" s="247">
        <v>67466</v>
      </c>
      <c r="M37" s="247">
        <v>119377</v>
      </c>
      <c r="N37" s="425">
        <f t="shared" ref="N37:N53" si="11">L37/M37*100</f>
        <v>56.515074092999484</v>
      </c>
      <c r="O37" s="126">
        <v>72</v>
      </c>
      <c r="P37" s="126">
        <v>215</v>
      </c>
    </row>
    <row r="38" spans="1:16" ht="17.25" x14ac:dyDescent="0.25">
      <c r="A38" s="253">
        <v>3</v>
      </c>
      <c r="B38" s="544" t="s">
        <v>579</v>
      </c>
      <c r="C38" s="247">
        <v>45508</v>
      </c>
      <c r="D38" s="247">
        <v>57367</v>
      </c>
      <c r="E38" s="425">
        <f t="shared" si="8"/>
        <v>79.327836561089129</v>
      </c>
      <c r="F38" s="247">
        <v>4449</v>
      </c>
      <c r="G38" s="247">
        <v>7850</v>
      </c>
      <c r="H38" s="425">
        <f t="shared" si="9"/>
        <v>56.675159235668794</v>
      </c>
      <c r="I38" s="247">
        <v>40148</v>
      </c>
      <c r="J38" s="247">
        <v>94468</v>
      </c>
      <c r="K38" s="425">
        <f t="shared" si="10"/>
        <v>42.499047296439009</v>
      </c>
      <c r="L38" s="247">
        <v>0</v>
      </c>
      <c r="M38" s="247">
        <v>0</v>
      </c>
      <c r="N38" s="425" t="e">
        <f t="shared" si="11"/>
        <v>#DIV/0!</v>
      </c>
      <c r="O38" s="126">
        <v>20</v>
      </c>
      <c r="P38" s="126">
        <v>90</v>
      </c>
    </row>
    <row r="39" spans="1:16" ht="34.5" x14ac:dyDescent="0.25">
      <c r="A39" s="253">
        <v>4</v>
      </c>
      <c r="B39" s="544" t="s">
        <v>580</v>
      </c>
      <c r="C39" s="247">
        <v>20560</v>
      </c>
      <c r="D39" s="247">
        <v>18630</v>
      </c>
      <c r="E39" s="425">
        <f t="shared" si="8"/>
        <v>110.35963499731616</v>
      </c>
      <c r="F39" s="247">
        <v>4560</v>
      </c>
      <c r="G39" s="247">
        <v>4200</v>
      </c>
      <c r="H39" s="425">
        <f t="shared" si="9"/>
        <v>108.57142857142857</v>
      </c>
      <c r="I39" s="247">
        <v>4560</v>
      </c>
      <c r="J39" s="247">
        <v>23697</v>
      </c>
      <c r="K39" s="425">
        <f t="shared" si="10"/>
        <v>19.242942144575263</v>
      </c>
      <c r="L39" s="247">
        <v>18026</v>
      </c>
      <c r="M39" s="247">
        <v>23697</v>
      </c>
      <c r="N39" s="425">
        <f t="shared" si="11"/>
        <v>76.068700679410895</v>
      </c>
      <c r="O39" s="126">
        <v>15</v>
      </c>
      <c r="P39" s="126">
        <v>60</v>
      </c>
    </row>
    <row r="40" spans="1:16" ht="34.5" x14ac:dyDescent="0.25">
      <c r="A40" s="253">
        <v>5</v>
      </c>
      <c r="B40" s="544" t="s">
        <v>581</v>
      </c>
      <c r="C40" s="247">
        <v>37512</v>
      </c>
      <c r="D40" s="247">
        <v>31331</v>
      </c>
      <c r="E40" s="425">
        <f t="shared" si="8"/>
        <v>119.72806485589354</v>
      </c>
      <c r="F40" s="247">
        <v>5442</v>
      </c>
      <c r="G40" s="247">
        <v>3673</v>
      </c>
      <c r="H40" s="425">
        <f t="shared" si="9"/>
        <v>148.16226517832834</v>
      </c>
      <c r="I40" s="247">
        <v>36757</v>
      </c>
      <c r="J40" s="247">
        <v>42773</v>
      </c>
      <c r="K40" s="425">
        <f t="shared" si="10"/>
        <v>85.935052486381593</v>
      </c>
      <c r="L40" s="247">
        <v>5380</v>
      </c>
      <c r="M40" s="247">
        <v>5695</v>
      </c>
      <c r="N40" s="425">
        <f t="shared" si="11"/>
        <v>94.468832309043023</v>
      </c>
      <c r="O40" s="126">
        <v>51</v>
      </c>
      <c r="P40" s="126">
        <v>65</v>
      </c>
    </row>
    <row r="41" spans="1:16" ht="17.25" x14ac:dyDescent="0.25">
      <c r="A41" s="253">
        <v>6</v>
      </c>
      <c r="B41" s="544" t="s">
        <v>582</v>
      </c>
      <c r="C41" s="247">
        <v>100240</v>
      </c>
      <c r="D41" s="247">
        <v>105269</v>
      </c>
      <c r="E41" s="425">
        <f t="shared" si="8"/>
        <v>95.22271513930977</v>
      </c>
      <c r="F41" s="247">
        <v>15511</v>
      </c>
      <c r="G41" s="247">
        <v>10440</v>
      </c>
      <c r="H41" s="425">
        <f t="shared" si="9"/>
        <v>148.57279693486589</v>
      </c>
      <c r="I41" s="247">
        <v>102556</v>
      </c>
      <c r="J41" s="247">
        <v>99259</v>
      </c>
      <c r="K41" s="425">
        <f t="shared" si="10"/>
        <v>103.3216131534672</v>
      </c>
      <c r="L41" s="247">
        <v>6398</v>
      </c>
      <c r="M41" s="247">
        <v>0</v>
      </c>
      <c r="N41" s="425" t="e">
        <f t="shared" si="11"/>
        <v>#DIV/0!</v>
      </c>
      <c r="O41" s="126">
        <v>64</v>
      </c>
      <c r="P41" s="126">
        <v>85</v>
      </c>
    </row>
    <row r="42" spans="1:16" ht="17.25" x14ac:dyDescent="0.25">
      <c r="A42" s="253">
        <v>7</v>
      </c>
      <c r="B42" s="544" t="s">
        <v>583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0</v>
      </c>
      <c r="J42" s="247">
        <v>0</v>
      </c>
      <c r="K42" s="425" t="e">
        <f t="shared" si="10"/>
        <v>#DIV/0!</v>
      </c>
      <c r="L42" s="247">
        <v>0</v>
      </c>
      <c r="M42" s="247">
        <v>0</v>
      </c>
      <c r="N42" s="425" t="e">
        <f t="shared" si="11"/>
        <v>#DIV/0!</v>
      </c>
      <c r="O42" s="126">
        <v>0</v>
      </c>
      <c r="P42" s="126">
        <v>0</v>
      </c>
    </row>
    <row r="43" spans="1:16" ht="34.5" x14ac:dyDescent="0.25">
      <c r="A43" s="253">
        <v>8</v>
      </c>
      <c r="B43" s="544" t="s">
        <v>584</v>
      </c>
      <c r="C43" s="247">
        <v>77907</v>
      </c>
      <c r="D43" s="247">
        <v>104395</v>
      </c>
      <c r="E43" s="425">
        <f t="shared" si="8"/>
        <v>74.627137315005513</v>
      </c>
      <c r="F43" s="247">
        <v>6619</v>
      </c>
      <c r="G43" s="247">
        <v>8358</v>
      </c>
      <c r="H43" s="425">
        <f t="shared" si="9"/>
        <v>79.193586982531698</v>
      </c>
      <c r="I43" s="247">
        <v>78143</v>
      </c>
      <c r="J43" s="247">
        <v>104395</v>
      </c>
      <c r="K43" s="425">
        <f t="shared" si="10"/>
        <v>74.853201781694523</v>
      </c>
      <c r="L43" s="247">
        <v>0</v>
      </c>
      <c r="M43" s="247">
        <v>0</v>
      </c>
      <c r="N43" s="425" t="e">
        <f t="shared" si="11"/>
        <v>#DIV/0!</v>
      </c>
      <c r="O43" s="126">
        <v>37</v>
      </c>
      <c r="P43" s="126">
        <v>111</v>
      </c>
    </row>
    <row r="44" spans="1:16" ht="17.25" x14ac:dyDescent="0.25">
      <c r="A44" s="253">
        <v>9</v>
      </c>
      <c r="B44" s="544" t="s">
        <v>585</v>
      </c>
      <c r="C44" s="247">
        <v>98537</v>
      </c>
      <c r="D44" s="247">
        <v>226290</v>
      </c>
      <c r="E44" s="425">
        <f t="shared" si="8"/>
        <v>43.544566706438644</v>
      </c>
      <c r="F44" s="247">
        <v>14067</v>
      </c>
      <c r="G44" s="247">
        <v>22907</v>
      </c>
      <c r="H44" s="425">
        <f t="shared" si="9"/>
        <v>61.409176234338844</v>
      </c>
      <c r="I44" s="247">
        <v>95801</v>
      </c>
      <c r="J44" s="247">
        <v>212568</v>
      </c>
      <c r="K44" s="425">
        <f t="shared" si="10"/>
        <v>45.068401640886677</v>
      </c>
      <c r="L44" s="247">
        <v>0</v>
      </c>
      <c r="M44" s="247">
        <v>0</v>
      </c>
      <c r="N44" s="425" t="e">
        <f t="shared" si="11"/>
        <v>#DIV/0!</v>
      </c>
      <c r="O44" s="126">
        <v>55</v>
      </c>
      <c r="P44" s="126">
        <v>135</v>
      </c>
    </row>
    <row r="45" spans="1:16" ht="17.25" x14ac:dyDescent="0.25">
      <c r="A45" s="253">
        <v>10</v>
      </c>
      <c r="B45" s="544" t="s">
        <v>381</v>
      </c>
      <c r="C45" s="247">
        <v>459511</v>
      </c>
      <c r="D45" s="247">
        <v>540378</v>
      </c>
      <c r="E45" s="425">
        <f t="shared" si="8"/>
        <v>85.035105056090359</v>
      </c>
      <c r="F45" s="247">
        <v>65665</v>
      </c>
      <c r="G45" s="247">
        <v>32639</v>
      </c>
      <c r="H45" s="425">
        <f t="shared" si="9"/>
        <v>201.18569809124054</v>
      </c>
      <c r="I45" s="247">
        <v>471040</v>
      </c>
      <c r="J45" s="247">
        <v>516498</v>
      </c>
      <c r="K45" s="425">
        <f t="shared" si="10"/>
        <v>91.198804254808337</v>
      </c>
      <c r="L45" s="247">
        <v>469295</v>
      </c>
      <c r="M45" s="247">
        <v>513914</v>
      </c>
      <c r="N45" s="425">
        <f t="shared" si="11"/>
        <v>91.317808037920742</v>
      </c>
      <c r="O45" s="126">
        <v>202</v>
      </c>
      <c r="P45" s="126">
        <v>84</v>
      </c>
    </row>
    <row r="46" spans="1:16" ht="17.25" x14ac:dyDescent="0.25">
      <c r="A46" s="253">
        <v>11</v>
      </c>
      <c r="B46" s="544" t="s">
        <v>586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>F46/G46*100</f>
        <v>#DIV/0!</v>
      </c>
      <c r="I46" s="247">
        <v>0</v>
      </c>
      <c r="J46" s="247">
        <v>0</v>
      </c>
      <c r="K46" s="425" t="e">
        <f t="shared" si="10"/>
        <v>#DIV/0!</v>
      </c>
      <c r="L46" s="247">
        <v>0</v>
      </c>
      <c r="M46" s="247">
        <v>0</v>
      </c>
      <c r="N46" s="425" t="e">
        <f t="shared" si="11"/>
        <v>#DIV/0!</v>
      </c>
      <c r="O46" s="126">
        <v>0</v>
      </c>
      <c r="P46" s="126">
        <v>0</v>
      </c>
    </row>
    <row r="47" spans="1:16" ht="17.25" x14ac:dyDescent="0.25">
      <c r="A47" s="253">
        <v>12</v>
      </c>
      <c r="B47" s="544" t="s">
        <v>587</v>
      </c>
      <c r="C47" s="247">
        <v>33084</v>
      </c>
      <c r="D47" s="247">
        <v>64971</v>
      </c>
      <c r="E47" s="425">
        <f t="shared" si="8"/>
        <v>50.92118021886688</v>
      </c>
      <c r="F47" s="247">
        <v>13911</v>
      </c>
      <c r="G47" s="247">
        <v>95</v>
      </c>
      <c r="H47" s="425">
        <f>F47/G47*100</f>
        <v>14643.157894736842</v>
      </c>
      <c r="I47" s="247">
        <v>33084</v>
      </c>
      <c r="J47" s="247">
        <v>75668</v>
      </c>
      <c r="K47" s="425">
        <f t="shared" si="10"/>
        <v>43.722577575725538</v>
      </c>
      <c r="L47" s="247">
        <v>12147</v>
      </c>
      <c r="M47" s="247">
        <v>66893</v>
      </c>
      <c r="N47" s="425">
        <f t="shared" si="11"/>
        <v>18.158850701867159</v>
      </c>
      <c r="O47" s="126">
        <v>8</v>
      </c>
      <c r="P47" s="126">
        <v>114</v>
      </c>
    </row>
    <row r="48" spans="1:16" ht="34.5" x14ac:dyDescent="0.25">
      <c r="A48" s="253">
        <v>13</v>
      </c>
      <c r="B48" s="544" t="s">
        <v>588</v>
      </c>
      <c r="C48" s="247">
        <v>158506</v>
      </c>
      <c r="D48" s="247">
        <v>236379</v>
      </c>
      <c r="E48" s="425">
        <f t="shared" si="8"/>
        <v>67.055872137541826</v>
      </c>
      <c r="F48" s="247">
        <v>24283</v>
      </c>
      <c r="G48" s="247">
        <v>9215</v>
      </c>
      <c r="H48" s="425">
        <v>156649</v>
      </c>
      <c r="I48" s="247">
        <v>156649</v>
      </c>
      <c r="J48" s="247">
        <v>219086</v>
      </c>
      <c r="K48" s="425">
        <f t="shared" si="10"/>
        <v>71.501145668824122</v>
      </c>
      <c r="L48" s="247">
        <v>0</v>
      </c>
      <c r="M48" s="247">
        <v>0</v>
      </c>
      <c r="N48" s="425" t="e">
        <f t="shared" si="11"/>
        <v>#DIV/0!</v>
      </c>
      <c r="O48" s="126">
        <v>44</v>
      </c>
      <c r="P48" s="126">
        <v>136</v>
      </c>
    </row>
    <row r="49" spans="1:16" ht="17.25" x14ac:dyDescent="0.25">
      <c r="A49" s="253">
        <v>14</v>
      </c>
      <c r="B49" s="544" t="s">
        <v>589</v>
      </c>
      <c r="C49" s="247">
        <v>15152</v>
      </c>
      <c r="D49" s="247">
        <v>14784</v>
      </c>
      <c r="E49" s="425">
        <f t="shared" si="8"/>
        <v>102.48917748917749</v>
      </c>
      <c r="F49" s="247">
        <v>2384</v>
      </c>
      <c r="G49" s="247">
        <v>2178</v>
      </c>
      <c r="H49" s="425">
        <f t="shared" si="9"/>
        <v>109.45821854912765</v>
      </c>
      <c r="I49" s="247">
        <v>12302</v>
      </c>
      <c r="J49" s="247">
        <v>14106</v>
      </c>
      <c r="K49" s="425">
        <f t="shared" si="10"/>
        <v>87.211115837232384</v>
      </c>
      <c r="L49" s="247">
        <v>0</v>
      </c>
      <c r="M49" s="247">
        <v>1576</v>
      </c>
      <c r="N49" s="425">
        <f t="shared" si="11"/>
        <v>0</v>
      </c>
      <c r="O49" s="126">
        <v>14</v>
      </c>
      <c r="P49" s="126">
        <v>80</v>
      </c>
    </row>
    <row r="50" spans="1:16" ht="17.25" x14ac:dyDescent="0.25">
      <c r="A50" s="253">
        <v>15</v>
      </c>
      <c r="B50" s="544" t="s">
        <v>760</v>
      </c>
      <c r="C50" s="247">
        <v>0</v>
      </c>
      <c r="D50" s="247">
        <v>0</v>
      </c>
      <c r="E50" s="425" t="e">
        <f t="shared" si="8"/>
        <v>#DIV/0!</v>
      </c>
      <c r="F50" s="247">
        <v>0</v>
      </c>
      <c r="G50" s="247">
        <v>0</v>
      </c>
      <c r="H50" s="425" t="e">
        <f t="shared" si="9"/>
        <v>#DIV/0!</v>
      </c>
      <c r="I50" s="247">
        <v>0</v>
      </c>
      <c r="J50" s="247">
        <v>0</v>
      </c>
      <c r="K50" s="425" t="e">
        <f t="shared" si="10"/>
        <v>#DIV/0!</v>
      </c>
      <c r="L50" s="247">
        <v>0</v>
      </c>
      <c r="M50" s="247">
        <v>0</v>
      </c>
      <c r="N50" s="425" t="e">
        <f t="shared" si="11"/>
        <v>#DIV/0!</v>
      </c>
      <c r="O50" s="126">
        <v>0</v>
      </c>
      <c r="P50" s="126">
        <v>0</v>
      </c>
    </row>
    <row r="51" spans="1:16" ht="17.25" x14ac:dyDescent="0.25">
      <c r="A51" s="253">
        <v>16</v>
      </c>
      <c r="B51" s="544" t="s">
        <v>591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17</v>
      </c>
      <c r="B52" s="544" t="s">
        <v>761</v>
      </c>
      <c r="C52" s="247">
        <v>12270</v>
      </c>
      <c r="D52" s="247">
        <v>17421</v>
      </c>
      <c r="E52" s="425">
        <f t="shared" si="8"/>
        <v>70.43223695539865</v>
      </c>
      <c r="F52" s="247">
        <v>0</v>
      </c>
      <c r="G52" s="247">
        <v>0</v>
      </c>
      <c r="H52" s="425" t="e">
        <f t="shared" si="9"/>
        <v>#DIV/0!</v>
      </c>
      <c r="I52" s="247">
        <v>12270</v>
      </c>
      <c r="J52" s="247">
        <v>17421</v>
      </c>
      <c r="K52" s="425">
        <f t="shared" si="10"/>
        <v>70.43223695539865</v>
      </c>
      <c r="L52" s="247">
        <v>0</v>
      </c>
      <c r="M52" s="247">
        <v>0</v>
      </c>
      <c r="N52" s="425" t="e">
        <f t="shared" si="11"/>
        <v>#DIV/0!</v>
      </c>
      <c r="O52" s="126">
        <v>3</v>
      </c>
      <c r="P52" s="126">
        <v>66</v>
      </c>
    </row>
    <row r="53" spans="1:16" ht="17.25" x14ac:dyDescent="0.25">
      <c r="A53" s="253">
        <v>18</v>
      </c>
      <c r="B53" s="544" t="s">
        <v>593</v>
      </c>
      <c r="C53" s="247">
        <v>182706</v>
      </c>
      <c r="D53" s="247">
        <v>589189</v>
      </c>
      <c r="E53" s="425">
        <f t="shared" si="8"/>
        <v>31.009743902211344</v>
      </c>
      <c r="F53" s="247">
        <v>0</v>
      </c>
      <c r="G53" s="247">
        <v>35849</v>
      </c>
      <c r="H53" s="425">
        <f t="shared" si="9"/>
        <v>0</v>
      </c>
      <c r="I53" s="247">
        <v>166706</v>
      </c>
      <c r="J53" s="247">
        <v>589189</v>
      </c>
      <c r="K53" s="425">
        <f t="shared" si="10"/>
        <v>28.294146699955363</v>
      </c>
      <c r="L53" s="247">
        <v>165056</v>
      </c>
      <c r="M53" s="247">
        <v>558244</v>
      </c>
      <c r="N53" s="425">
        <f t="shared" si="11"/>
        <v>29.566999376616675</v>
      </c>
      <c r="P53" s="126">
        <v>87</v>
      </c>
    </row>
    <row r="54" spans="1:16" s="561" customFormat="1" x14ac:dyDescent="0.25"/>
    <row r="55" spans="1:16" ht="17.25" x14ac:dyDescent="0.25">
      <c r="A55" s="1033" t="s">
        <v>739</v>
      </c>
      <c r="B55" s="1034"/>
      <c r="C55" s="450">
        <f>SUM(C56:C67)</f>
        <v>1499441</v>
      </c>
      <c r="D55" s="450">
        <f>SUM(D56:D67)</f>
        <v>1406719</v>
      </c>
      <c r="E55" s="453">
        <f>C55/D55*100</f>
        <v>106.59136615059582</v>
      </c>
      <c r="F55" s="450">
        <f>SUM(F56:F67)</f>
        <v>219678</v>
      </c>
      <c r="G55" s="450">
        <f>SUM(G56:G67)</f>
        <v>209421</v>
      </c>
      <c r="H55" s="453">
        <f>F55/G55*100</f>
        <v>104.89778961995215</v>
      </c>
      <c r="I55" s="450">
        <f>SUM(I56:I67)</f>
        <v>1563279</v>
      </c>
      <c r="J55" s="450">
        <f>SUM(J56:J67)</f>
        <v>1446007</v>
      </c>
      <c r="K55" s="453">
        <f>I55/J55*100</f>
        <v>108.1100575585042</v>
      </c>
      <c r="L55" s="450">
        <f>SUM(L56:L67)</f>
        <v>962369</v>
      </c>
      <c r="M55" s="450">
        <f>SUM(M56:M67)</f>
        <v>810735</v>
      </c>
      <c r="N55" s="453">
        <f>L55/M55*100</f>
        <v>118.70327542291872</v>
      </c>
    </row>
    <row r="56" spans="1:16" ht="17.25" x14ac:dyDescent="0.25">
      <c r="A56" s="253">
        <v>1</v>
      </c>
      <c r="B56" s="544" t="s">
        <v>594</v>
      </c>
      <c r="C56" s="247">
        <v>248661</v>
      </c>
      <c r="D56" s="247">
        <v>369521</v>
      </c>
      <c r="E56" s="425">
        <f t="shared" ref="E56:E67" si="12">C56/D56*100</f>
        <v>67.292792561180562</v>
      </c>
      <c r="F56" s="247">
        <v>12637</v>
      </c>
      <c r="G56" s="247">
        <v>43666</v>
      </c>
      <c r="H56" s="425">
        <f t="shared" ref="H56:H67" si="13">F56/G56*100</f>
        <v>28.940136490633446</v>
      </c>
      <c r="I56" s="247">
        <v>268807</v>
      </c>
      <c r="J56" s="247">
        <v>363721</v>
      </c>
      <c r="K56" s="425">
        <f t="shared" ref="K56:K63" si="14">I56/J56*100</f>
        <v>73.904723675564512</v>
      </c>
      <c r="L56" s="247">
        <v>266012</v>
      </c>
      <c r="M56" s="247">
        <v>360733</v>
      </c>
      <c r="N56" s="247">
        <f t="shared" ref="N56:N67" si="15">L56/M56*100</f>
        <v>73.742075163625174</v>
      </c>
      <c r="O56" s="126">
        <v>138</v>
      </c>
      <c r="P56" s="126">
        <v>94</v>
      </c>
    </row>
    <row r="57" spans="1:16" ht="17.25" x14ac:dyDescent="0.25">
      <c r="A57" s="253">
        <v>2</v>
      </c>
      <c r="B57" s="544" t="s">
        <v>595</v>
      </c>
      <c r="C57" s="247">
        <v>41091</v>
      </c>
      <c r="D57" s="247">
        <v>70008</v>
      </c>
      <c r="E57" s="425">
        <f t="shared" si="12"/>
        <v>58.69472060335962</v>
      </c>
      <c r="F57" s="247">
        <v>7902</v>
      </c>
      <c r="G57" s="247">
        <v>5372</v>
      </c>
      <c r="H57" s="425">
        <f t="shared" si="13"/>
        <v>147.09605361131796</v>
      </c>
      <c r="I57" s="247">
        <v>51362</v>
      </c>
      <c r="J57" s="247">
        <v>51450</v>
      </c>
      <c r="K57" s="425">
        <f t="shared" si="14"/>
        <v>99.828960155490762</v>
      </c>
      <c r="L57" s="247">
        <v>0</v>
      </c>
      <c r="M57" s="247">
        <v>0</v>
      </c>
      <c r="N57" s="247" t="e">
        <f t="shared" si="15"/>
        <v>#DIV/0!</v>
      </c>
      <c r="O57" s="126">
        <v>95</v>
      </c>
      <c r="P57" s="126">
        <v>105</v>
      </c>
    </row>
    <row r="58" spans="1:16" ht="17.25" x14ac:dyDescent="0.25">
      <c r="A58" s="253">
        <v>3</v>
      </c>
      <c r="B58" s="544" t="s">
        <v>596</v>
      </c>
      <c r="C58" s="247">
        <v>183260</v>
      </c>
      <c r="D58" s="247">
        <v>253825</v>
      </c>
      <c r="E58" s="425">
        <f t="shared" si="12"/>
        <v>72.199349945828814</v>
      </c>
      <c r="F58" s="247">
        <v>25383</v>
      </c>
      <c r="G58" s="247">
        <v>38030</v>
      </c>
      <c r="H58" s="425">
        <f t="shared" si="13"/>
        <v>66.744675256376539</v>
      </c>
      <c r="I58" s="247">
        <v>183260</v>
      </c>
      <c r="J58" s="247">
        <v>253825</v>
      </c>
      <c r="K58" s="425">
        <f t="shared" si="14"/>
        <v>72.199349945828814</v>
      </c>
      <c r="L58" s="247">
        <v>0</v>
      </c>
      <c r="M58" s="247">
        <v>0</v>
      </c>
      <c r="N58" s="247" t="e">
        <f t="shared" si="15"/>
        <v>#DIV/0!</v>
      </c>
      <c r="O58" s="126">
        <v>94</v>
      </c>
      <c r="P58" s="126">
        <v>121</v>
      </c>
    </row>
    <row r="59" spans="1:16" ht="17.25" x14ac:dyDescent="0.25">
      <c r="A59" s="253">
        <v>4</v>
      </c>
      <c r="B59" s="544" t="s">
        <v>597</v>
      </c>
      <c r="C59" s="247">
        <v>280440</v>
      </c>
      <c r="D59" s="247">
        <v>264331</v>
      </c>
      <c r="E59" s="425">
        <f t="shared" si="12"/>
        <v>106.09425303880361</v>
      </c>
      <c r="F59" s="247">
        <v>30251</v>
      </c>
      <c r="G59" s="247">
        <v>26528</v>
      </c>
      <c r="H59" s="425">
        <f t="shared" si="13"/>
        <v>114.03422798552474</v>
      </c>
      <c r="I59" s="247">
        <v>280459</v>
      </c>
      <c r="J59" s="247">
        <v>265603</v>
      </c>
      <c r="K59" s="425">
        <f t="shared" si="14"/>
        <v>105.59331031652503</v>
      </c>
      <c r="L59" s="247">
        <v>114615</v>
      </c>
      <c r="M59" s="247">
        <v>85105</v>
      </c>
      <c r="N59" s="247">
        <f t="shared" si="15"/>
        <v>134.67481346571881</v>
      </c>
      <c r="O59" s="126">
        <v>69</v>
      </c>
      <c r="P59" s="126">
        <v>71</v>
      </c>
    </row>
    <row r="60" spans="1:16" ht="17.25" x14ac:dyDescent="0.25">
      <c r="A60" s="253">
        <v>5</v>
      </c>
      <c r="B60" s="544" t="s">
        <v>598</v>
      </c>
      <c r="C60" s="247">
        <v>0</v>
      </c>
      <c r="D60" s="247">
        <v>0</v>
      </c>
      <c r="E60" s="425" t="e">
        <f t="shared" si="12"/>
        <v>#DIV/0!</v>
      </c>
      <c r="F60" s="247">
        <v>0</v>
      </c>
      <c r="G60" s="247">
        <v>0</v>
      </c>
      <c r="H60" s="425" t="e">
        <f t="shared" si="13"/>
        <v>#DIV/0!</v>
      </c>
      <c r="I60" s="247">
        <v>0</v>
      </c>
      <c r="J60" s="247">
        <v>0</v>
      </c>
      <c r="K60" s="425">
        <v>0</v>
      </c>
      <c r="L60" s="247">
        <v>0</v>
      </c>
      <c r="M60" s="247">
        <v>0</v>
      </c>
      <c r="N60" s="247" t="e">
        <f t="shared" si="15"/>
        <v>#DIV/0!</v>
      </c>
      <c r="O60" s="126">
        <v>35</v>
      </c>
    </row>
    <row r="61" spans="1:16" ht="17.25" x14ac:dyDescent="0.25">
      <c r="A61" s="253">
        <v>6</v>
      </c>
      <c r="B61" s="544" t="s">
        <v>599</v>
      </c>
      <c r="C61" s="247">
        <v>50794</v>
      </c>
      <c r="D61" s="247">
        <v>39288</v>
      </c>
      <c r="E61" s="425">
        <f t="shared" si="12"/>
        <v>129.28629607004683</v>
      </c>
      <c r="F61" s="247">
        <v>5105</v>
      </c>
      <c r="G61" s="247">
        <v>4716</v>
      </c>
      <c r="H61" s="425">
        <f t="shared" si="13"/>
        <v>108.24851569126379</v>
      </c>
      <c r="I61" s="247">
        <v>51767</v>
      </c>
      <c r="J61" s="247">
        <v>40256</v>
      </c>
      <c r="K61" s="425">
        <f t="shared" si="14"/>
        <v>128.59449523052464</v>
      </c>
      <c r="L61" s="247">
        <v>51767</v>
      </c>
      <c r="M61" s="247">
        <v>40256</v>
      </c>
      <c r="N61" s="247">
        <f t="shared" si="15"/>
        <v>128.59449523052464</v>
      </c>
      <c r="O61" s="126">
        <v>32</v>
      </c>
      <c r="P61" s="126">
        <v>71</v>
      </c>
    </row>
    <row r="62" spans="1:16" ht="17.25" x14ac:dyDescent="0.25">
      <c r="A62" s="253">
        <v>7</v>
      </c>
      <c r="B62" s="544" t="s">
        <v>600</v>
      </c>
      <c r="C62" s="247">
        <v>73468</v>
      </c>
      <c r="D62" s="247">
        <v>36138</v>
      </c>
      <c r="E62" s="425">
        <f t="shared" si="12"/>
        <v>203.29846698765843</v>
      </c>
      <c r="F62" s="247">
        <v>7223</v>
      </c>
      <c r="G62" s="247">
        <v>10985</v>
      </c>
      <c r="H62" s="425">
        <f t="shared" si="13"/>
        <v>65.753299954483396</v>
      </c>
      <c r="I62" s="247">
        <v>78564</v>
      </c>
      <c r="J62" s="247">
        <v>46414</v>
      </c>
      <c r="K62" s="425">
        <f t="shared" si="14"/>
        <v>169.2678933080536</v>
      </c>
      <c r="L62" s="247">
        <v>78033</v>
      </c>
      <c r="M62" s="247">
        <v>46388</v>
      </c>
      <c r="N62" s="247">
        <f t="shared" si="15"/>
        <v>168.21807363973443</v>
      </c>
      <c r="O62" s="126">
        <v>36</v>
      </c>
      <c r="P62" s="126">
        <v>92</v>
      </c>
    </row>
    <row r="63" spans="1:16" ht="17.25" x14ac:dyDescent="0.25">
      <c r="A63" s="253">
        <v>8</v>
      </c>
      <c r="B63" s="544" t="s">
        <v>601</v>
      </c>
      <c r="C63" s="247">
        <v>149500</v>
      </c>
      <c r="D63" s="247">
        <v>147900</v>
      </c>
      <c r="E63" s="425">
        <f t="shared" si="12"/>
        <v>101.08181203515889</v>
      </c>
      <c r="F63" s="247">
        <v>0</v>
      </c>
      <c r="G63" s="247">
        <v>10600</v>
      </c>
      <c r="H63" s="425">
        <f t="shared" si="13"/>
        <v>0</v>
      </c>
      <c r="I63" s="247">
        <v>170962</v>
      </c>
      <c r="J63" s="247">
        <v>198858</v>
      </c>
      <c r="K63" s="425">
        <f t="shared" si="14"/>
        <v>85.97189954641</v>
      </c>
      <c r="L63" s="247">
        <v>170962</v>
      </c>
      <c r="M63" s="247">
        <v>198858</v>
      </c>
      <c r="N63" s="247">
        <f t="shared" si="15"/>
        <v>85.97189954641</v>
      </c>
      <c r="O63" s="126">
        <v>35</v>
      </c>
      <c r="P63" s="126">
        <v>85</v>
      </c>
    </row>
    <row r="64" spans="1:16" ht="17.25" x14ac:dyDescent="0.25">
      <c r="A64" s="253">
        <v>9</v>
      </c>
      <c r="B64" s="544" t="s">
        <v>602</v>
      </c>
      <c r="C64" s="247">
        <v>0</v>
      </c>
      <c r="D64" s="247">
        <v>0</v>
      </c>
      <c r="E64" s="425" t="e">
        <f t="shared" si="12"/>
        <v>#DIV/0!</v>
      </c>
      <c r="F64" s="247">
        <v>0</v>
      </c>
      <c r="G64" s="247">
        <v>0</v>
      </c>
      <c r="H64" s="425" t="e">
        <f t="shared" si="13"/>
        <v>#DIV/0!</v>
      </c>
      <c r="I64" s="247">
        <v>0</v>
      </c>
      <c r="J64" s="247">
        <v>0</v>
      </c>
      <c r="K64" s="425">
        <v>0</v>
      </c>
      <c r="L64" s="247">
        <v>0</v>
      </c>
      <c r="M64" s="247">
        <v>0</v>
      </c>
      <c r="N64" s="247" t="e">
        <f t="shared" si="15"/>
        <v>#DIV/0!</v>
      </c>
      <c r="O64" s="126">
        <v>0</v>
      </c>
      <c r="P64" s="126">
        <v>0</v>
      </c>
    </row>
    <row r="65" spans="1:16" ht="17.25" x14ac:dyDescent="0.25">
      <c r="A65" s="253">
        <v>10</v>
      </c>
      <c r="B65" s="544" t="s">
        <v>625</v>
      </c>
      <c r="C65" s="247">
        <v>185539</v>
      </c>
      <c r="D65" s="247">
        <v>153694</v>
      </c>
      <c r="E65" s="425">
        <f>C65/D65*100</f>
        <v>120.71974182466458</v>
      </c>
      <c r="F65" s="247">
        <v>53631</v>
      </c>
      <c r="G65" s="247">
        <v>63978</v>
      </c>
      <c r="H65" s="425">
        <f t="shared" si="13"/>
        <v>83.827253118259407</v>
      </c>
      <c r="I65" s="247">
        <v>193539</v>
      </c>
      <c r="J65" s="247">
        <v>153866</v>
      </c>
      <c r="K65" s="425">
        <f t="shared" ref="K65" si="16">I65/J65*100</f>
        <v>125.7841238480236</v>
      </c>
      <c r="L65" s="247">
        <v>28090</v>
      </c>
      <c r="M65" s="247">
        <v>18568</v>
      </c>
      <c r="N65" s="247">
        <f t="shared" si="15"/>
        <v>151.28177509694098</v>
      </c>
      <c r="O65" s="126">
        <v>162</v>
      </c>
      <c r="P65" s="126">
        <v>82</v>
      </c>
    </row>
    <row r="66" spans="1:16" ht="17.25" x14ac:dyDescent="0.25">
      <c r="A66" s="253">
        <v>11</v>
      </c>
      <c r="B66" s="544" t="s">
        <v>605</v>
      </c>
      <c r="C66" s="247">
        <v>74561</v>
      </c>
      <c r="D66" s="247">
        <v>60827</v>
      </c>
      <c r="E66" s="425">
        <f>C66/D66*100</f>
        <v>122.57878902461078</v>
      </c>
      <c r="F66" s="247">
        <v>11498</v>
      </c>
      <c r="G66" s="247">
        <v>3091</v>
      </c>
      <c r="H66" s="425">
        <f t="shared" si="13"/>
        <v>371.98317696538339</v>
      </c>
      <c r="I66" s="247">
        <v>72432</v>
      </c>
      <c r="J66" s="247">
        <v>60827</v>
      </c>
      <c r="K66" s="425">
        <f>I66/J66*100</f>
        <v>119.07869860423826</v>
      </c>
      <c r="L66" s="247">
        <v>72432</v>
      </c>
      <c r="M66" s="247">
        <v>60827</v>
      </c>
      <c r="N66" s="247">
        <f t="shared" si="15"/>
        <v>119.07869860423826</v>
      </c>
      <c r="O66" s="126">
        <v>65</v>
      </c>
      <c r="P66" s="126">
        <v>144</v>
      </c>
    </row>
    <row r="67" spans="1:16" ht="34.5" x14ac:dyDescent="0.25">
      <c r="A67" s="253">
        <v>12</v>
      </c>
      <c r="B67" s="544" t="s">
        <v>603</v>
      </c>
      <c r="C67" s="247">
        <v>212127</v>
      </c>
      <c r="D67" s="247">
        <v>11187</v>
      </c>
      <c r="E67" s="425">
        <f t="shared" si="12"/>
        <v>1896.192008581389</v>
      </c>
      <c r="F67" s="247">
        <v>66048</v>
      </c>
      <c r="G67" s="247">
        <v>2455</v>
      </c>
      <c r="H67" s="425">
        <f t="shared" si="13"/>
        <v>2690.3462321792263</v>
      </c>
      <c r="I67" s="247">
        <v>212127</v>
      </c>
      <c r="J67" s="247">
        <v>11187</v>
      </c>
      <c r="K67" s="425">
        <f>I67/J67*100</f>
        <v>1896.192008581389</v>
      </c>
      <c r="L67" s="247">
        <v>180458</v>
      </c>
      <c r="M67" s="247">
        <v>0</v>
      </c>
      <c r="N67" s="247" t="e">
        <f t="shared" si="15"/>
        <v>#DIV/0!</v>
      </c>
      <c r="O67" s="126">
        <v>59</v>
      </c>
      <c r="P67" s="126">
        <v>90</v>
      </c>
    </row>
    <row r="69" spans="1:16" ht="17.25" x14ac:dyDescent="0.25">
      <c r="A69" s="1033" t="s">
        <v>356</v>
      </c>
      <c r="B69" s="1034"/>
      <c r="C69" s="450">
        <f>SUM(C70:C77)</f>
        <v>1036656</v>
      </c>
      <c r="D69" s="450">
        <f>SUM(D70:D77)</f>
        <v>1152166</v>
      </c>
      <c r="E69" s="453">
        <f>C69/D69*100</f>
        <v>89.974534919447365</v>
      </c>
      <c r="F69" s="450">
        <f>SUM(F70:F77)</f>
        <v>61450</v>
      </c>
      <c r="G69" s="450">
        <f>SUM(G70:G77)</f>
        <v>109899</v>
      </c>
      <c r="H69" s="453">
        <f>F69/G69*100</f>
        <v>55.914976478402899</v>
      </c>
      <c r="I69" s="450">
        <f>SUM(I70:I77)</f>
        <v>1114843</v>
      </c>
      <c r="J69" s="450">
        <f>SUM(J70:J77)</f>
        <v>1192389</v>
      </c>
      <c r="K69" s="453">
        <f>I69/J69*100</f>
        <v>93.496585426400287</v>
      </c>
      <c r="L69" s="450">
        <f>SUM(L70:L77)</f>
        <v>576268</v>
      </c>
      <c r="M69" s="450">
        <f>SUM(M70:M77)</f>
        <v>639354</v>
      </c>
      <c r="N69" s="453">
        <f>L69/M69*100</f>
        <v>90.132852848343788</v>
      </c>
    </row>
    <row r="70" spans="1:16" ht="17.25" x14ac:dyDescent="0.25">
      <c r="A70" s="253">
        <v>1</v>
      </c>
      <c r="B70" s="544" t="s">
        <v>606</v>
      </c>
      <c r="C70" s="247">
        <v>9423</v>
      </c>
      <c r="D70" s="247">
        <v>9763</v>
      </c>
      <c r="E70" s="425">
        <f t="shared" ref="E70:E77" si="17">C70/D70*100</f>
        <v>96.517463894294792</v>
      </c>
      <c r="F70" s="247">
        <v>281</v>
      </c>
      <c r="G70" s="247">
        <v>1046</v>
      </c>
      <c r="H70" s="425">
        <f t="shared" ref="H70:H77" si="18">F70/G70*100</f>
        <v>26.864244741873804</v>
      </c>
      <c r="I70" s="247">
        <v>116235</v>
      </c>
      <c r="J70" s="247">
        <v>17858</v>
      </c>
      <c r="K70" s="425">
        <f t="shared" ref="K70:K77" si="19">I70/J70*100</f>
        <v>650.88475753163846</v>
      </c>
      <c r="L70" s="247">
        <v>1653</v>
      </c>
      <c r="M70" s="247">
        <v>14671</v>
      </c>
      <c r="N70" s="247">
        <f t="shared" ref="N70:N77" si="20">L70/M70*100</f>
        <v>11.267125621975325</v>
      </c>
      <c r="O70" s="126">
        <v>134</v>
      </c>
      <c r="P70" s="126">
        <v>55</v>
      </c>
    </row>
    <row r="71" spans="1:16" ht="17.25" x14ac:dyDescent="0.25">
      <c r="A71" s="253">
        <v>2</v>
      </c>
      <c r="B71" s="544" t="s">
        <v>607</v>
      </c>
      <c r="C71" s="247">
        <v>44488</v>
      </c>
      <c r="D71" s="247">
        <v>428115</v>
      </c>
      <c r="E71" s="425">
        <f t="shared" si="17"/>
        <v>10.391600387746283</v>
      </c>
      <c r="F71" s="247">
        <v>2824</v>
      </c>
      <c r="G71" s="247">
        <v>21148</v>
      </c>
      <c r="H71" s="425">
        <f t="shared" si="18"/>
        <v>13.353508606014753</v>
      </c>
      <c r="I71" s="247">
        <v>44670</v>
      </c>
      <c r="J71" s="247">
        <v>427996</v>
      </c>
      <c r="K71" s="425">
        <f t="shared" si="19"/>
        <v>10.437013430032057</v>
      </c>
      <c r="L71" s="247">
        <v>44670</v>
      </c>
      <c r="M71" s="247">
        <v>427996</v>
      </c>
      <c r="N71" s="247">
        <f t="shared" si="20"/>
        <v>10.437013430032057</v>
      </c>
      <c r="O71" s="126">
        <v>4</v>
      </c>
      <c r="P71" s="126">
        <v>113</v>
      </c>
    </row>
    <row r="72" spans="1:16" ht="17.25" x14ac:dyDescent="0.25">
      <c r="A72" s="253">
        <v>3</v>
      </c>
      <c r="B72" s="544" t="s">
        <v>608</v>
      </c>
      <c r="C72" s="247">
        <v>1016</v>
      </c>
      <c r="D72" s="247">
        <v>21660</v>
      </c>
      <c r="E72" s="425">
        <f t="shared" si="17"/>
        <v>4.6906740535549396</v>
      </c>
      <c r="F72" s="247">
        <v>131</v>
      </c>
      <c r="G72" s="247">
        <v>1522</v>
      </c>
      <c r="H72" s="425">
        <f t="shared" si="18"/>
        <v>8.6070959264126152</v>
      </c>
      <c r="I72" s="247">
        <v>9223</v>
      </c>
      <c r="J72" s="247">
        <v>21182</v>
      </c>
      <c r="K72" s="425">
        <f t="shared" si="19"/>
        <v>43.541686337456333</v>
      </c>
      <c r="L72" s="247">
        <v>0</v>
      </c>
      <c r="M72" s="247">
        <v>7659</v>
      </c>
      <c r="N72" s="247">
        <f t="shared" si="20"/>
        <v>0</v>
      </c>
      <c r="O72" s="126">
        <v>38</v>
      </c>
      <c r="P72" s="126">
        <v>102</v>
      </c>
    </row>
    <row r="73" spans="1:16" ht="17.25" x14ac:dyDescent="0.25">
      <c r="A73" s="253">
        <v>4</v>
      </c>
      <c r="B73" s="544" t="s">
        <v>609</v>
      </c>
      <c r="C73" s="247">
        <v>10013</v>
      </c>
      <c r="D73" s="247">
        <v>48837</v>
      </c>
      <c r="E73" s="425">
        <f t="shared" si="17"/>
        <v>20.502897393369782</v>
      </c>
      <c r="F73" s="247">
        <v>0</v>
      </c>
      <c r="G73" s="247">
        <v>3065</v>
      </c>
      <c r="H73" s="425">
        <f t="shared" si="18"/>
        <v>0</v>
      </c>
      <c r="I73" s="247">
        <v>1913</v>
      </c>
      <c r="J73" s="247">
        <v>47215</v>
      </c>
      <c r="K73" s="425">
        <f t="shared" si="19"/>
        <v>4.0516784920046591</v>
      </c>
      <c r="L73" s="247">
        <v>0</v>
      </c>
      <c r="M73" s="247">
        <v>34491</v>
      </c>
      <c r="N73" s="247">
        <f t="shared" si="20"/>
        <v>0</v>
      </c>
      <c r="O73" s="126">
        <v>36</v>
      </c>
      <c r="P73" s="126">
        <v>65</v>
      </c>
    </row>
    <row r="74" spans="1:16" ht="17.25" x14ac:dyDescent="0.25">
      <c r="A74" s="253">
        <v>5</v>
      </c>
      <c r="B74" s="544" t="s">
        <v>610</v>
      </c>
      <c r="C74" s="247">
        <v>72714</v>
      </c>
      <c r="D74" s="247">
        <v>59862</v>
      </c>
      <c r="E74" s="425">
        <f t="shared" si="17"/>
        <v>121.46937957301793</v>
      </c>
      <c r="F74" s="247">
        <v>2008</v>
      </c>
      <c r="G74" s="247">
        <v>150</v>
      </c>
      <c r="H74" s="425">
        <f t="shared" si="18"/>
        <v>1338.6666666666667</v>
      </c>
      <c r="I74" s="247">
        <v>72714</v>
      </c>
      <c r="J74" s="247">
        <v>59862</v>
      </c>
      <c r="K74" s="425">
        <f t="shared" si="19"/>
        <v>121.46937957301793</v>
      </c>
      <c r="L74" s="247">
        <v>56925</v>
      </c>
      <c r="M74" s="247">
        <v>47792</v>
      </c>
      <c r="N74" s="247">
        <f t="shared" si="20"/>
        <v>119.10989286909943</v>
      </c>
      <c r="O74" s="126">
        <v>65</v>
      </c>
      <c r="P74" s="126">
        <v>120</v>
      </c>
    </row>
    <row r="75" spans="1:16" ht="17.25" x14ac:dyDescent="0.25">
      <c r="A75" s="252">
        <v>6</v>
      </c>
      <c r="B75" s="544" t="s">
        <v>611</v>
      </c>
      <c r="C75" s="247">
        <v>206</v>
      </c>
      <c r="D75" s="247">
        <v>36088</v>
      </c>
      <c r="E75" s="425">
        <f t="shared" si="17"/>
        <v>0.57082686765683877</v>
      </c>
      <c r="F75" s="247">
        <v>4</v>
      </c>
      <c r="G75" s="247">
        <v>85</v>
      </c>
      <c r="H75" s="425">
        <f t="shared" si="18"/>
        <v>4.7058823529411766</v>
      </c>
      <c r="I75" s="247">
        <v>699</v>
      </c>
      <c r="J75" s="247">
        <v>55336</v>
      </c>
      <c r="K75" s="425">
        <f t="shared" si="19"/>
        <v>1.2631921353187798</v>
      </c>
      <c r="L75" s="247">
        <v>53</v>
      </c>
      <c r="M75" s="247">
        <v>33961</v>
      </c>
      <c r="N75" s="247">
        <f t="shared" si="20"/>
        <v>0.1560613645063455</v>
      </c>
      <c r="O75" s="126">
        <v>10</v>
      </c>
      <c r="P75" s="126">
        <v>95</v>
      </c>
    </row>
    <row r="76" spans="1:16" ht="17.25" x14ac:dyDescent="0.25">
      <c r="A76" s="253">
        <v>7</v>
      </c>
      <c r="B76" s="544" t="s">
        <v>612</v>
      </c>
      <c r="C76" s="247">
        <v>797620</v>
      </c>
      <c r="D76" s="247">
        <v>463199</v>
      </c>
      <c r="E76" s="425">
        <f t="shared" si="17"/>
        <v>172.19812650718157</v>
      </c>
      <c r="F76" s="247">
        <v>44183</v>
      </c>
      <c r="G76" s="247">
        <v>74509</v>
      </c>
      <c r="H76" s="425">
        <f t="shared" si="18"/>
        <v>59.298876645774335</v>
      </c>
      <c r="I76" s="247">
        <v>768213</v>
      </c>
      <c r="J76" s="247">
        <v>478298</v>
      </c>
      <c r="K76" s="425">
        <f t="shared" si="19"/>
        <v>160.6138850674684</v>
      </c>
      <c r="L76" s="247">
        <v>472967</v>
      </c>
      <c r="M76" s="247">
        <v>71739</v>
      </c>
      <c r="N76" s="247">
        <f t="shared" si="20"/>
        <v>659.28853203975518</v>
      </c>
      <c r="O76" s="126">
        <v>134</v>
      </c>
      <c r="P76" s="126">
        <v>251</v>
      </c>
    </row>
    <row r="77" spans="1:16" ht="34.5" x14ac:dyDescent="0.25">
      <c r="A77" s="253">
        <v>8</v>
      </c>
      <c r="B77" s="544" t="s">
        <v>613</v>
      </c>
      <c r="C77" s="247">
        <v>101176</v>
      </c>
      <c r="D77" s="247">
        <v>84642</v>
      </c>
      <c r="E77" s="425">
        <f t="shared" si="17"/>
        <v>119.53403747548499</v>
      </c>
      <c r="F77" s="247">
        <v>12019</v>
      </c>
      <c r="G77" s="247">
        <v>8374</v>
      </c>
      <c r="H77" s="425">
        <f t="shared" si="18"/>
        <v>143.52758538332935</v>
      </c>
      <c r="I77" s="247">
        <v>101176</v>
      </c>
      <c r="J77" s="247">
        <v>84642</v>
      </c>
      <c r="K77" s="425">
        <f t="shared" si="19"/>
        <v>119.53403747548499</v>
      </c>
      <c r="L77" s="247">
        <v>0</v>
      </c>
      <c r="M77" s="247">
        <v>1045</v>
      </c>
      <c r="N77" s="247">
        <f t="shared" si="20"/>
        <v>0</v>
      </c>
      <c r="O77" s="126">
        <v>29</v>
      </c>
      <c r="P77" s="126">
        <v>40</v>
      </c>
    </row>
    <row r="78" spans="1:16" s="127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</row>
    <row r="79" spans="1:16" ht="17.25" x14ac:dyDescent="0.25">
      <c r="A79" s="1033" t="s">
        <v>731</v>
      </c>
      <c r="B79" s="1034"/>
      <c r="C79" s="450">
        <f>SUM(C80:C93)</f>
        <v>5685804</v>
      </c>
      <c r="D79" s="450">
        <f>SUM(D80:D93)</f>
        <v>5284200</v>
      </c>
      <c r="E79" s="453">
        <f>C79/D79*100</f>
        <v>107.60009083683433</v>
      </c>
      <c r="F79" s="450">
        <f>SUM(F80:F93)</f>
        <v>867857</v>
      </c>
      <c r="G79" s="450">
        <f>SUM(G80:G93)</f>
        <v>686702</v>
      </c>
      <c r="H79" s="453">
        <f>F79/G79*100</f>
        <v>126.38043867645645</v>
      </c>
      <c r="I79" s="450">
        <f>SUM(I80:I93)</f>
        <v>5612802</v>
      </c>
      <c r="J79" s="450">
        <f>SUM(J80:J93)</f>
        <v>5662089</v>
      </c>
      <c r="K79" s="453">
        <f>I79/J79*100</f>
        <v>99.129526222565559</v>
      </c>
      <c r="L79" s="450">
        <f>SUM(L80:L93)</f>
        <v>1425743</v>
      </c>
      <c r="M79" s="450">
        <f>SUM(M80:M93)</f>
        <v>2681143</v>
      </c>
      <c r="N79" s="453">
        <f>L79/M79*100</f>
        <v>53.176686211813397</v>
      </c>
    </row>
    <row r="80" spans="1:16" ht="17.25" x14ac:dyDescent="0.25">
      <c r="A80" s="260">
        <v>1</v>
      </c>
      <c r="B80" s="544" t="s">
        <v>614</v>
      </c>
      <c r="C80" s="247">
        <v>1564</v>
      </c>
      <c r="D80" s="247">
        <v>6143</v>
      </c>
      <c r="E80" s="425">
        <f>C80/D80*100</f>
        <v>25.45987302620869</v>
      </c>
      <c r="F80" s="247">
        <v>292</v>
      </c>
      <c r="G80" s="247">
        <v>47</v>
      </c>
      <c r="H80" s="425">
        <f t="shared" ref="H80:H93" si="21">F80/G80*100</f>
        <v>621.27659574468078</v>
      </c>
      <c r="I80" s="247">
        <v>1564</v>
      </c>
      <c r="J80" s="247">
        <v>3143</v>
      </c>
      <c r="K80" s="425">
        <f t="shared" ref="K80:K93" si="22">I80/J80*100</f>
        <v>49.761374482978049</v>
      </c>
      <c r="L80" s="247">
        <v>0</v>
      </c>
      <c r="M80" s="247">
        <v>0</v>
      </c>
      <c r="N80" s="247" t="e">
        <f t="shared" ref="N80:N93" si="23">L80/M80*100</f>
        <v>#DIV/0!</v>
      </c>
      <c r="O80" s="126">
        <v>2136</v>
      </c>
      <c r="P80" s="126">
        <v>113</v>
      </c>
    </row>
    <row r="81" spans="1:16" ht="17.25" x14ac:dyDescent="0.25">
      <c r="A81" s="261">
        <v>2</v>
      </c>
      <c r="B81" s="544" t="s">
        <v>615</v>
      </c>
      <c r="C81" s="247">
        <v>4107</v>
      </c>
      <c r="D81" s="247">
        <v>323614</v>
      </c>
      <c r="E81" s="425">
        <f t="shared" ref="E81:E93" si="24">C81/D81*100</f>
        <v>1.2691045504829828</v>
      </c>
      <c r="F81" s="247">
        <v>0</v>
      </c>
      <c r="G81" s="247">
        <v>0</v>
      </c>
      <c r="H81" s="425" t="e">
        <f t="shared" si="21"/>
        <v>#DIV/0!</v>
      </c>
      <c r="I81" s="247">
        <v>5742</v>
      </c>
      <c r="J81" s="247">
        <v>373942</v>
      </c>
      <c r="K81" s="425">
        <f t="shared" si="22"/>
        <v>1.5355322483165839</v>
      </c>
      <c r="L81" s="247">
        <v>0</v>
      </c>
      <c r="M81" s="247">
        <v>361588</v>
      </c>
      <c r="N81" s="247">
        <f t="shared" si="23"/>
        <v>0</v>
      </c>
      <c r="O81" s="126">
        <v>193</v>
      </c>
      <c r="P81" s="126">
        <v>120</v>
      </c>
    </row>
    <row r="82" spans="1:16" ht="17.25" x14ac:dyDescent="0.25">
      <c r="A82" s="260">
        <v>3</v>
      </c>
      <c r="B82" s="544" t="s">
        <v>616</v>
      </c>
      <c r="C82" s="247">
        <v>1101115</v>
      </c>
      <c r="D82" s="247">
        <v>981184</v>
      </c>
      <c r="E82" s="425">
        <f t="shared" si="24"/>
        <v>112.2230896549475</v>
      </c>
      <c r="F82" s="247">
        <v>234928</v>
      </c>
      <c r="G82" s="247">
        <v>171587</v>
      </c>
      <c r="H82" s="425">
        <f t="shared" si="21"/>
        <v>136.91480123785601</v>
      </c>
      <c r="I82" s="247">
        <v>1225168</v>
      </c>
      <c r="J82" s="247">
        <v>1058837</v>
      </c>
      <c r="K82" s="425">
        <f t="shared" si="22"/>
        <v>115.7088390375478</v>
      </c>
      <c r="L82" s="247">
        <v>182198</v>
      </c>
      <c r="M82" s="247">
        <v>274880</v>
      </c>
      <c r="N82" s="247">
        <f t="shared" si="23"/>
        <v>66.282741559953436</v>
      </c>
      <c r="O82" s="126">
        <v>32</v>
      </c>
      <c r="P82" s="126">
        <v>365</v>
      </c>
    </row>
    <row r="83" spans="1:16" ht="17.25" x14ac:dyDescent="0.25">
      <c r="A83" s="261">
        <v>4</v>
      </c>
      <c r="B83" s="544" t="s">
        <v>604</v>
      </c>
      <c r="C83" s="247">
        <v>47823</v>
      </c>
      <c r="D83" s="247">
        <v>56612</v>
      </c>
      <c r="E83" s="425">
        <f>C83/D83*100</f>
        <v>84.475022963329323</v>
      </c>
      <c r="F83" s="247">
        <v>2413</v>
      </c>
      <c r="G83" s="247">
        <v>0</v>
      </c>
      <c r="H83" s="425" t="e">
        <f>F83/G83*100</f>
        <v>#DIV/0!</v>
      </c>
      <c r="I83" s="247">
        <v>47823</v>
      </c>
      <c r="J83" s="247">
        <v>56612</v>
      </c>
      <c r="K83" s="425">
        <f>I83/J83*100</f>
        <v>84.475022963329323</v>
      </c>
      <c r="L83" s="247">
        <v>47823</v>
      </c>
      <c r="M83" s="247">
        <v>56612</v>
      </c>
      <c r="N83" s="247">
        <f>L83/M83*100</f>
        <v>84.475022963329323</v>
      </c>
      <c r="O83" s="126">
        <v>44</v>
      </c>
      <c r="P83" s="126">
        <v>68</v>
      </c>
    </row>
    <row r="84" spans="1:16" ht="17.25" x14ac:dyDescent="0.25">
      <c r="A84" s="260">
        <v>5</v>
      </c>
      <c r="B84" s="544" t="s">
        <v>775</v>
      </c>
      <c r="C84" s="247">
        <v>214776</v>
      </c>
      <c r="D84" s="247">
        <v>274531</v>
      </c>
      <c r="E84" s="425">
        <f t="shared" si="24"/>
        <v>78.233787805384452</v>
      </c>
      <c r="F84" s="247">
        <v>28231</v>
      </c>
      <c r="G84" s="247">
        <v>27796</v>
      </c>
      <c r="H84" s="425">
        <f t="shared" si="21"/>
        <v>101.56497337746437</v>
      </c>
      <c r="I84" s="247">
        <v>211436</v>
      </c>
      <c r="J84" s="247">
        <v>276486</v>
      </c>
      <c r="K84" s="425">
        <f t="shared" si="22"/>
        <v>76.472588123810965</v>
      </c>
      <c r="L84" s="247">
        <v>111304</v>
      </c>
      <c r="M84" s="247">
        <v>153096</v>
      </c>
      <c r="N84" s="247">
        <f t="shared" si="23"/>
        <v>72.702095417254526</v>
      </c>
      <c r="O84" s="126">
        <v>83</v>
      </c>
      <c r="P84" s="126">
        <v>72</v>
      </c>
    </row>
    <row r="85" spans="1:16" ht="17.25" x14ac:dyDescent="0.25">
      <c r="A85" s="261">
        <v>6</v>
      </c>
      <c r="B85" s="544" t="s">
        <v>619</v>
      </c>
      <c r="C85" s="247">
        <v>0</v>
      </c>
      <c r="D85" s="247">
        <v>0</v>
      </c>
      <c r="E85" s="425" t="e">
        <f t="shared" si="24"/>
        <v>#DIV/0!</v>
      </c>
      <c r="F85" s="247">
        <v>0</v>
      </c>
      <c r="G85" s="247">
        <v>0</v>
      </c>
      <c r="H85" s="425" t="e">
        <f t="shared" si="21"/>
        <v>#DIV/0!</v>
      </c>
      <c r="I85" s="247">
        <v>0</v>
      </c>
      <c r="J85" s="247">
        <v>0</v>
      </c>
      <c r="K85" s="425" t="e">
        <f t="shared" si="22"/>
        <v>#DIV/0!</v>
      </c>
      <c r="L85" s="247">
        <v>0</v>
      </c>
      <c r="M85" s="247">
        <v>0</v>
      </c>
      <c r="N85" s="247" t="e">
        <f t="shared" si="23"/>
        <v>#DIV/0!</v>
      </c>
    </row>
    <row r="86" spans="1:16" ht="17.25" x14ac:dyDescent="0.25">
      <c r="A86" s="260">
        <v>7</v>
      </c>
      <c r="B86" s="544" t="s">
        <v>620</v>
      </c>
      <c r="C86" s="247">
        <v>621644</v>
      </c>
      <c r="D86" s="247">
        <v>524449</v>
      </c>
      <c r="E86" s="425">
        <f t="shared" si="24"/>
        <v>118.53278393132602</v>
      </c>
      <c r="F86" s="247">
        <v>82573</v>
      </c>
      <c r="G86" s="247">
        <v>82320</v>
      </c>
      <c r="H86" s="425">
        <f t="shared" si="21"/>
        <v>100.30733722060252</v>
      </c>
      <c r="I86" s="247">
        <v>800227</v>
      </c>
      <c r="J86" s="247">
        <v>850672</v>
      </c>
      <c r="K86" s="425">
        <f t="shared" si="22"/>
        <v>94.069982319860074</v>
      </c>
      <c r="L86" s="247">
        <v>128777</v>
      </c>
      <c r="M86" s="247">
        <v>243054</v>
      </c>
      <c r="N86" s="247">
        <f t="shared" si="23"/>
        <v>52.982876233265031</v>
      </c>
      <c r="O86" s="126">
        <v>66</v>
      </c>
      <c r="P86" s="126">
        <v>70</v>
      </c>
    </row>
    <row r="87" spans="1:16" ht="17.25" x14ac:dyDescent="0.25">
      <c r="A87" s="261">
        <v>8</v>
      </c>
      <c r="B87" s="544" t="s">
        <v>621</v>
      </c>
      <c r="C87" s="247">
        <v>1562252</v>
      </c>
      <c r="D87" s="247">
        <v>1177549</v>
      </c>
      <c r="E87" s="425">
        <f t="shared" si="24"/>
        <v>132.66980822029487</v>
      </c>
      <c r="F87" s="247">
        <v>264789</v>
      </c>
      <c r="G87" s="247">
        <v>189542</v>
      </c>
      <c r="H87" s="425">
        <f t="shared" si="21"/>
        <v>139.69938061221259</v>
      </c>
      <c r="I87" s="247">
        <v>1501690</v>
      </c>
      <c r="J87" s="247">
        <v>1179368</v>
      </c>
      <c r="K87" s="425">
        <f t="shared" si="22"/>
        <v>127.33006152447753</v>
      </c>
      <c r="L87" s="247">
        <v>98289</v>
      </c>
      <c r="M87" s="247">
        <v>734313</v>
      </c>
      <c r="N87" s="247">
        <f t="shared" si="23"/>
        <v>13.385164092151438</v>
      </c>
      <c r="O87" s="126">
        <v>108</v>
      </c>
      <c r="P87" s="126">
        <v>340</v>
      </c>
    </row>
    <row r="88" spans="1:16" ht="17.25" x14ac:dyDescent="0.25">
      <c r="A88" s="260">
        <v>9</v>
      </c>
      <c r="B88" s="544" t="s">
        <v>622</v>
      </c>
      <c r="C88" s="247">
        <v>663269</v>
      </c>
      <c r="D88" s="247">
        <v>734452</v>
      </c>
      <c r="E88" s="425">
        <f t="shared" si="24"/>
        <v>90.308011959937474</v>
      </c>
      <c r="F88" s="247">
        <v>89303</v>
      </c>
      <c r="G88" s="247">
        <v>63189</v>
      </c>
      <c r="H88" s="425">
        <f t="shared" si="21"/>
        <v>141.32681321116016</v>
      </c>
      <c r="I88" s="247">
        <v>592191</v>
      </c>
      <c r="J88" s="247">
        <v>659988</v>
      </c>
      <c r="K88" s="425">
        <f t="shared" si="22"/>
        <v>89.727540500736382</v>
      </c>
      <c r="L88" s="247">
        <v>177105</v>
      </c>
      <c r="M88" s="247">
        <v>193244</v>
      </c>
      <c r="N88" s="247">
        <f t="shared" si="23"/>
        <v>91.648382355985177</v>
      </c>
      <c r="O88" s="126">
        <v>82</v>
      </c>
      <c r="P88" s="126">
        <v>180</v>
      </c>
    </row>
    <row r="89" spans="1:16" ht="17.25" x14ac:dyDescent="0.25">
      <c r="A89" s="261">
        <v>10</v>
      </c>
      <c r="B89" s="544" t="s">
        <v>623</v>
      </c>
      <c r="C89" s="247">
        <v>109997</v>
      </c>
      <c r="D89" s="247">
        <v>163048</v>
      </c>
      <c r="E89" s="425">
        <f t="shared" si="24"/>
        <v>67.46295569402875</v>
      </c>
      <c r="F89" s="247">
        <v>8651</v>
      </c>
      <c r="G89" s="247">
        <v>11122</v>
      </c>
      <c r="H89" s="425">
        <f t="shared" si="21"/>
        <v>77.782772882575074</v>
      </c>
      <c r="I89" s="247">
        <v>109997</v>
      </c>
      <c r="J89" s="247">
        <v>163048</v>
      </c>
      <c r="K89" s="425">
        <f t="shared" si="22"/>
        <v>67.46295569402875</v>
      </c>
      <c r="L89" s="247">
        <v>49559</v>
      </c>
      <c r="M89" s="247">
        <v>88387</v>
      </c>
      <c r="N89" s="247">
        <f t="shared" si="23"/>
        <v>56.070462850871735</v>
      </c>
      <c r="O89" s="126">
        <v>18</v>
      </c>
      <c r="P89" s="126">
        <v>142</v>
      </c>
    </row>
    <row r="90" spans="1:16" ht="17.25" x14ac:dyDescent="0.25">
      <c r="A90" s="260">
        <v>11</v>
      </c>
      <c r="B90" s="544" t="s">
        <v>624</v>
      </c>
      <c r="C90" s="247">
        <v>254233</v>
      </c>
      <c r="D90" s="247">
        <v>236469</v>
      </c>
      <c r="E90" s="425">
        <f t="shared" si="24"/>
        <v>107.51218975848842</v>
      </c>
      <c r="F90" s="247">
        <v>15015</v>
      </c>
      <c r="G90" s="247">
        <v>24013</v>
      </c>
      <c r="H90" s="425">
        <f t="shared" si="21"/>
        <v>62.528630325240499</v>
      </c>
      <c r="I90" s="247">
        <v>138380</v>
      </c>
      <c r="J90" s="247">
        <v>244668</v>
      </c>
      <c r="K90" s="425">
        <f t="shared" si="22"/>
        <v>56.558274886785355</v>
      </c>
      <c r="L90" s="247">
        <v>10831</v>
      </c>
      <c r="M90" s="247">
        <v>9009</v>
      </c>
      <c r="N90" s="247">
        <f t="shared" si="23"/>
        <v>120.22422022422023</v>
      </c>
      <c r="O90" s="126">
        <v>51</v>
      </c>
      <c r="P90" s="126">
        <v>250</v>
      </c>
    </row>
    <row r="91" spans="1:16" ht="17.25" x14ac:dyDescent="0.25">
      <c r="A91" s="260">
        <v>12</v>
      </c>
      <c r="B91" s="544" t="s">
        <v>762</v>
      </c>
      <c r="C91" s="247">
        <v>38561</v>
      </c>
      <c r="D91" s="247">
        <v>7405</v>
      </c>
      <c r="E91" s="425">
        <f t="shared" si="24"/>
        <v>520.74274139095212</v>
      </c>
      <c r="F91" s="247">
        <v>5433</v>
      </c>
      <c r="G91" s="247">
        <v>35</v>
      </c>
      <c r="H91" s="425">
        <f t="shared" si="21"/>
        <v>15522.857142857143</v>
      </c>
      <c r="I91" s="247">
        <v>21314</v>
      </c>
      <c r="J91" s="247">
        <v>10372</v>
      </c>
      <c r="K91" s="425">
        <f t="shared" si="22"/>
        <v>205.49556498264559</v>
      </c>
      <c r="L91" s="247">
        <v>15623</v>
      </c>
      <c r="M91" s="247">
        <v>8676</v>
      </c>
      <c r="N91" s="247">
        <f t="shared" si="23"/>
        <v>180.07146150299678</v>
      </c>
      <c r="O91" s="126">
        <v>17</v>
      </c>
    </row>
    <row r="92" spans="1:16" ht="17.25" x14ac:dyDescent="0.25">
      <c r="A92" s="261">
        <v>13</v>
      </c>
      <c r="B92" s="544" t="s">
        <v>626</v>
      </c>
      <c r="C92" s="247">
        <v>146707</v>
      </c>
      <c r="D92" s="247">
        <v>0</v>
      </c>
      <c r="E92" s="425" t="e">
        <f t="shared" si="24"/>
        <v>#DIV/0!</v>
      </c>
      <c r="F92" s="247">
        <v>14765</v>
      </c>
      <c r="G92" s="247">
        <v>0</v>
      </c>
      <c r="H92" s="425" t="e">
        <f t="shared" si="21"/>
        <v>#DIV/0!</v>
      </c>
      <c r="I92" s="247">
        <v>144342</v>
      </c>
      <c r="J92" s="247">
        <v>0</v>
      </c>
      <c r="K92" s="425" t="e">
        <f t="shared" si="22"/>
        <v>#DIV/0!</v>
      </c>
      <c r="L92" s="247">
        <v>0</v>
      </c>
      <c r="M92" s="247">
        <v>0</v>
      </c>
      <c r="N92" s="247" t="e">
        <f t="shared" si="23"/>
        <v>#DIV/0!</v>
      </c>
      <c r="O92" s="126">
        <v>28</v>
      </c>
    </row>
    <row r="93" spans="1:16" ht="17.25" x14ac:dyDescent="0.25">
      <c r="A93" s="598">
        <v>14</v>
      </c>
      <c r="B93" s="544" t="s">
        <v>617</v>
      </c>
      <c r="C93" s="247">
        <v>919756</v>
      </c>
      <c r="D93" s="247">
        <v>798744</v>
      </c>
      <c r="E93" s="425">
        <f t="shared" si="24"/>
        <v>115.15028594893984</v>
      </c>
      <c r="F93" s="247">
        <v>121464</v>
      </c>
      <c r="G93" s="247">
        <v>117051</v>
      </c>
      <c r="H93" s="425">
        <f t="shared" si="21"/>
        <v>103.77015147243509</v>
      </c>
      <c r="I93" s="247">
        <v>812928</v>
      </c>
      <c r="J93" s="247">
        <v>784953</v>
      </c>
      <c r="K93" s="425">
        <f t="shared" si="22"/>
        <v>103.56390764797383</v>
      </c>
      <c r="L93" s="247">
        <v>604234</v>
      </c>
      <c r="M93" s="247">
        <v>558284</v>
      </c>
      <c r="N93" s="247">
        <f t="shared" si="23"/>
        <v>108.2305779853981</v>
      </c>
      <c r="O93" s="126">
        <v>165</v>
      </c>
      <c r="P93" s="126">
        <v>40</v>
      </c>
    </row>
    <row r="94" spans="1:16" x14ac:dyDescent="0.25">
      <c r="A94" s="538"/>
      <c r="B94" s="537"/>
    </row>
    <row r="95" spans="1:16" ht="17.25" x14ac:dyDescent="0.25">
      <c r="A95" s="1033" t="s">
        <v>738</v>
      </c>
      <c r="B95" s="1034"/>
      <c r="C95" s="450">
        <f>SUM(C96:C122)</f>
        <v>3473954</v>
      </c>
      <c r="D95" s="450">
        <f>SUM(D96:D122)</f>
        <v>2292684</v>
      </c>
      <c r="E95" s="453">
        <f>C95/D95*100</f>
        <v>151.52345460604252</v>
      </c>
      <c r="F95" s="450">
        <f>SUM(F96:F122)</f>
        <v>428424</v>
      </c>
      <c r="G95" s="450">
        <f>SUM(G96:G122)</f>
        <v>222791</v>
      </c>
      <c r="H95" s="453">
        <f>F95/G95*100</f>
        <v>192.29861170334527</v>
      </c>
      <c r="I95" s="450">
        <f>SUM(I96:I122)</f>
        <v>3551560</v>
      </c>
      <c r="J95" s="450">
        <f>SUM(J96:J122)</f>
        <v>2808320</v>
      </c>
      <c r="K95" s="453">
        <f>I95/J95*100</f>
        <v>126.4656449407475</v>
      </c>
      <c r="L95" s="450">
        <f>SUM(L96:L122)</f>
        <v>2260206</v>
      </c>
      <c r="M95" s="450">
        <f>SUM(M96:M122)</f>
        <v>1088882</v>
      </c>
      <c r="N95" s="453">
        <f>L95/M95*100</f>
        <v>207.57125198139011</v>
      </c>
    </row>
    <row r="96" spans="1:16" ht="17.25" x14ac:dyDescent="0.25">
      <c r="A96" s="265">
        <v>1</v>
      </c>
      <c r="B96" s="544" t="s">
        <v>627</v>
      </c>
      <c r="C96" s="247">
        <v>447015</v>
      </c>
      <c r="D96" s="247">
        <v>276587</v>
      </c>
      <c r="E96" s="425">
        <f t="shared" ref="E96:E122" si="25">C96/D96*100</f>
        <v>161.61822500695985</v>
      </c>
      <c r="F96" s="247">
        <v>57444</v>
      </c>
      <c r="G96" s="247">
        <v>34448</v>
      </c>
      <c r="H96" s="425">
        <f t="shared" ref="H96:H122" si="26">F96/G96*100</f>
        <v>166.75568973525316</v>
      </c>
      <c r="I96" s="247">
        <v>418832</v>
      </c>
      <c r="J96" s="247">
        <v>34448</v>
      </c>
      <c r="K96" s="425">
        <f t="shared" ref="K96:K122" si="27">I96/J96*100</f>
        <v>1215.8383650719927</v>
      </c>
      <c r="L96" s="247">
        <v>410906</v>
      </c>
      <c r="M96" s="247">
        <v>277314</v>
      </c>
      <c r="N96" s="425">
        <f t="shared" ref="N96:N122" si="28">L96/M96*100</f>
        <v>148.173550560015</v>
      </c>
      <c r="O96" s="126">
        <v>318</v>
      </c>
      <c r="P96" s="126">
        <v>133</v>
      </c>
    </row>
    <row r="97" spans="1:16" ht="17.25" x14ac:dyDescent="0.25">
      <c r="A97" s="265">
        <v>2</v>
      </c>
      <c r="B97" s="544" t="s">
        <v>628</v>
      </c>
      <c r="C97" s="247">
        <v>0</v>
      </c>
      <c r="D97" s="247">
        <v>0</v>
      </c>
      <c r="E97" s="425" t="e">
        <f t="shared" si="25"/>
        <v>#DIV/0!</v>
      </c>
      <c r="F97" s="247">
        <v>0</v>
      </c>
      <c r="G97" s="247">
        <v>0</v>
      </c>
      <c r="H97" s="425" t="e">
        <f t="shared" si="26"/>
        <v>#DIV/0!</v>
      </c>
      <c r="I97" s="247">
        <v>0</v>
      </c>
      <c r="J97" s="247">
        <v>0</v>
      </c>
      <c r="K97" s="425" t="e">
        <f t="shared" si="27"/>
        <v>#DIV/0!</v>
      </c>
      <c r="L97" s="247">
        <v>0</v>
      </c>
      <c r="M97" s="247">
        <v>0</v>
      </c>
      <c r="N97" s="425" t="e">
        <f t="shared" si="28"/>
        <v>#DIV/0!</v>
      </c>
    </row>
    <row r="98" spans="1:16" ht="17.25" x14ac:dyDescent="0.25">
      <c r="A98" s="265">
        <v>3</v>
      </c>
      <c r="B98" s="544" t="s">
        <v>629</v>
      </c>
      <c r="C98" s="247">
        <v>0</v>
      </c>
      <c r="D98" s="247">
        <v>0</v>
      </c>
      <c r="E98" s="425" t="e">
        <f t="shared" si="25"/>
        <v>#DIV/0!</v>
      </c>
      <c r="F98" s="247">
        <v>0</v>
      </c>
      <c r="G98" s="247">
        <v>0</v>
      </c>
      <c r="H98" s="425" t="e">
        <f t="shared" si="26"/>
        <v>#DIV/0!</v>
      </c>
      <c r="I98" s="247">
        <v>0</v>
      </c>
      <c r="J98" s="247">
        <v>0</v>
      </c>
      <c r="K98" s="425" t="e">
        <f t="shared" si="27"/>
        <v>#DIV/0!</v>
      </c>
      <c r="L98" s="247">
        <v>0</v>
      </c>
      <c r="M98" s="247">
        <v>0</v>
      </c>
      <c r="N98" s="425" t="e">
        <f t="shared" si="28"/>
        <v>#DIV/0!</v>
      </c>
      <c r="O98" s="562"/>
    </row>
    <row r="99" spans="1:16" ht="17.25" x14ac:dyDescent="0.25">
      <c r="A99" s="265">
        <v>4</v>
      </c>
      <c r="B99" s="544" t="s">
        <v>630</v>
      </c>
      <c r="C99" s="247">
        <v>50871</v>
      </c>
      <c r="D99" s="247">
        <v>22825</v>
      </c>
      <c r="E99" s="425">
        <f t="shared" si="25"/>
        <v>222.87404162102956</v>
      </c>
      <c r="F99" s="247">
        <v>3718</v>
      </c>
      <c r="G99" s="247">
        <v>2200</v>
      </c>
      <c r="H99" s="425">
        <f t="shared" si="26"/>
        <v>169</v>
      </c>
      <c r="I99" s="247">
        <v>24179</v>
      </c>
      <c r="J99" s="247">
        <v>11207</v>
      </c>
      <c r="K99" s="425">
        <f t="shared" si="27"/>
        <v>215.74908539305792</v>
      </c>
      <c r="L99" s="247">
        <v>0</v>
      </c>
      <c r="M99" s="247">
        <v>0</v>
      </c>
      <c r="N99" s="425" t="e">
        <f t="shared" si="28"/>
        <v>#DIV/0!</v>
      </c>
      <c r="O99" s="126">
        <v>20</v>
      </c>
      <c r="P99" s="126">
        <v>140</v>
      </c>
    </row>
    <row r="100" spans="1:16" ht="17.25" x14ac:dyDescent="0.25">
      <c r="A100" s="265">
        <v>5</v>
      </c>
      <c r="B100" s="544" t="s">
        <v>631</v>
      </c>
      <c r="C100" s="247">
        <v>339275</v>
      </c>
      <c r="D100" s="247">
        <v>402248</v>
      </c>
      <c r="E100" s="425">
        <f t="shared" si="25"/>
        <v>84.344732602772424</v>
      </c>
      <c r="F100" s="247">
        <v>44630</v>
      </c>
      <c r="G100" s="247">
        <v>11368</v>
      </c>
      <c r="H100" s="425">
        <f t="shared" si="26"/>
        <v>392.59324419422944</v>
      </c>
      <c r="I100" s="247">
        <v>379362</v>
      </c>
      <c r="J100" s="247">
        <v>406915</v>
      </c>
      <c r="K100" s="425">
        <f t="shared" si="27"/>
        <v>93.228806999004703</v>
      </c>
      <c r="L100" s="247">
        <v>372362</v>
      </c>
      <c r="M100" s="247">
        <v>406915</v>
      </c>
      <c r="N100" s="425">
        <f t="shared" si="28"/>
        <v>91.508546010837648</v>
      </c>
      <c r="O100" s="126">
        <v>359</v>
      </c>
      <c r="P100" s="126">
        <v>52</v>
      </c>
    </row>
    <row r="101" spans="1:16" ht="17.25" x14ac:dyDescent="0.25">
      <c r="A101" s="265">
        <v>6</v>
      </c>
      <c r="B101" s="544" t="s">
        <v>632</v>
      </c>
      <c r="C101" s="247">
        <v>0</v>
      </c>
      <c r="D101" s="247">
        <v>0</v>
      </c>
      <c r="E101" s="425" t="e">
        <f t="shared" si="25"/>
        <v>#DIV/0!</v>
      </c>
      <c r="F101" s="247">
        <v>0</v>
      </c>
      <c r="G101" s="247">
        <v>0</v>
      </c>
      <c r="H101" s="425" t="e">
        <f t="shared" si="26"/>
        <v>#DIV/0!</v>
      </c>
      <c r="I101" s="247">
        <v>0</v>
      </c>
      <c r="J101" s="247">
        <v>0</v>
      </c>
      <c r="K101" s="425" t="e">
        <f t="shared" si="27"/>
        <v>#DIV/0!</v>
      </c>
      <c r="L101" s="247">
        <v>0</v>
      </c>
      <c r="M101" s="247">
        <v>0</v>
      </c>
      <c r="N101" s="425" t="e">
        <f t="shared" si="28"/>
        <v>#DIV/0!</v>
      </c>
    </row>
    <row r="102" spans="1:16" ht="17.25" x14ac:dyDescent="0.25">
      <c r="A102" s="265">
        <v>7</v>
      </c>
      <c r="B102" s="544" t="s">
        <v>633</v>
      </c>
      <c r="C102" s="247">
        <v>0</v>
      </c>
      <c r="D102" s="247">
        <v>0</v>
      </c>
      <c r="E102" s="425" t="e">
        <f t="shared" si="25"/>
        <v>#DIV/0!</v>
      </c>
      <c r="F102" s="247">
        <v>0</v>
      </c>
      <c r="G102" s="247">
        <v>0</v>
      </c>
      <c r="H102" s="425" t="e">
        <f t="shared" si="26"/>
        <v>#DIV/0!</v>
      </c>
      <c r="I102" s="247">
        <v>0</v>
      </c>
      <c r="J102" s="247">
        <v>0</v>
      </c>
      <c r="K102" s="425" t="e">
        <f t="shared" si="27"/>
        <v>#DIV/0!</v>
      </c>
      <c r="L102" s="247">
        <v>0</v>
      </c>
      <c r="M102" s="247">
        <v>0</v>
      </c>
      <c r="N102" s="425" t="e">
        <f t="shared" si="28"/>
        <v>#DIV/0!</v>
      </c>
    </row>
    <row r="103" spans="1:16" ht="17.25" x14ac:dyDescent="0.25">
      <c r="A103" s="265">
        <v>8</v>
      </c>
      <c r="B103" s="544" t="s">
        <v>634</v>
      </c>
      <c r="C103" s="247">
        <v>138693</v>
      </c>
      <c r="D103" s="247">
        <v>296977</v>
      </c>
      <c r="E103" s="425">
        <f t="shared" si="25"/>
        <v>46.701596419924776</v>
      </c>
      <c r="F103" s="247">
        <v>14951</v>
      </c>
      <c r="G103" s="247">
        <v>19692</v>
      </c>
      <c r="H103" s="425">
        <f t="shared" si="26"/>
        <v>75.924233191143614</v>
      </c>
      <c r="I103" s="247">
        <v>187672</v>
      </c>
      <c r="J103" s="247">
        <v>321621</v>
      </c>
      <c r="K103" s="425">
        <f t="shared" si="27"/>
        <v>58.351911100332373</v>
      </c>
      <c r="L103" s="247">
        <v>10196</v>
      </c>
      <c r="M103" s="247">
        <v>107700</v>
      </c>
      <c r="N103" s="425">
        <f t="shared" si="28"/>
        <v>9.4670380687093783</v>
      </c>
      <c r="O103" s="126">
        <v>94</v>
      </c>
      <c r="P103" s="126">
        <v>127</v>
      </c>
    </row>
    <row r="104" spans="1:16" ht="17.25" x14ac:dyDescent="0.25">
      <c r="A104" s="265">
        <v>9</v>
      </c>
      <c r="B104" s="544" t="s">
        <v>635</v>
      </c>
      <c r="C104" s="247">
        <v>0</v>
      </c>
      <c r="D104" s="247">
        <v>0</v>
      </c>
      <c r="E104" s="425" t="e">
        <f t="shared" si="25"/>
        <v>#DIV/0!</v>
      </c>
      <c r="F104" s="247">
        <v>0</v>
      </c>
      <c r="G104" s="247">
        <v>0</v>
      </c>
      <c r="H104" s="425" t="e">
        <f t="shared" si="26"/>
        <v>#DIV/0!</v>
      </c>
      <c r="I104" s="247">
        <v>0</v>
      </c>
      <c r="J104" s="247">
        <v>0</v>
      </c>
      <c r="K104" s="425" t="e">
        <f t="shared" si="27"/>
        <v>#DIV/0!</v>
      </c>
      <c r="L104" s="247">
        <v>0</v>
      </c>
      <c r="M104" s="247">
        <v>0</v>
      </c>
      <c r="N104" s="425" t="e">
        <f t="shared" si="28"/>
        <v>#DIV/0!</v>
      </c>
    </row>
    <row r="105" spans="1:16" ht="17.25" x14ac:dyDescent="0.25">
      <c r="A105" s="265">
        <v>10</v>
      </c>
      <c r="B105" s="544" t="s">
        <v>636</v>
      </c>
      <c r="C105" s="247">
        <v>60558</v>
      </c>
      <c r="D105" s="247">
        <v>131674</v>
      </c>
      <c r="E105" s="425">
        <f t="shared" si="25"/>
        <v>45.990856205477165</v>
      </c>
      <c r="F105" s="247">
        <v>0</v>
      </c>
      <c r="G105" s="247">
        <v>26611</v>
      </c>
      <c r="H105" s="425">
        <f t="shared" si="26"/>
        <v>0</v>
      </c>
      <c r="I105" s="247">
        <v>60558</v>
      </c>
      <c r="J105" s="247">
        <v>131674</v>
      </c>
      <c r="K105" s="425">
        <f t="shared" si="27"/>
        <v>45.990856205477165</v>
      </c>
      <c r="L105" s="247">
        <v>60558</v>
      </c>
      <c r="M105" s="247">
        <v>131674</v>
      </c>
      <c r="N105" s="425">
        <f t="shared" si="28"/>
        <v>45.990856205477165</v>
      </c>
      <c r="O105" s="126">
        <v>80</v>
      </c>
      <c r="P105" s="126">
        <v>69</v>
      </c>
    </row>
    <row r="106" spans="1:16" ht="17.25" x14ac:dyDescent="0.25">
      <c r="A106" s="265">
        <v>11</v>
      </c>
      <c r="B106" s="544" t="s">
        <v>637</v>
      </c>
      <c r="C106" s="247">
        <v>0</v>
      </c>
      <c r="D106" s="247">
        <v>0</v>
      </c>
      <c r="E106" s="425" t="e">
        <f t="shared" si="25"/>
        <v>#DIV/0!</v>
      </c>
      <c r="F106" s="247">
        <v>0</v>
      </c>
      <c r="G106" s="247">
        <v>0</v>
      </c>
      <c r="H106" s="425" t="e">
        <f t="shared" si="26"/>
        <v>#DIV/0!</v>
      </c>
      <c r="I106" s="247">
        <v>0</v>
      </c>
      <c r="J106" s="247">
        <v>0</v>
      </c>
      <c r="K106" s="425" t="e">
        <f t="shared" si="27"/>
        <v>#DIV/0!</v>
      </c>
      <c r="L106" s="247">
        <v>0</v>
      </c>
      <c r="M106" s="247">
        <v>0</v>
      </c>
      <c r="N106" s="425" t="e">
        <f t="shared" si="28"/>
        <v>#DIV/0!</v>
      </c>
    </row>
    <row r="107" spans="1:16" ht="17.25" x14ac:dyDescent="0.25">
      <c r="A107" s="265">
        <v>12</v>
      </c>
      <c r="B107" s="544" t="s">
        <v>638</v>
      </c>
      <c r="C107" s="247">
        <v>0</v>
      </c>
      <c r="D107" s="247">
        <v>63730</v>
      </c>
      <c r="E107" s="425">
        <f t="shared" si="25"/>
        <v>0</v>
      </c>
      <c r="F107" s="247">
        <v>0</v>
      </c>
      <c r="G107" s="247">
        <v>8500</v>
      </c>
      <c r="H107" s="425">
        <f t="shared" si="26"/>
        <v>0</v>
      </c>
      <c r="I107" s="247">
        <v>0</v>
      </c>
      <c r="J107" s="247">
        <v>592200</v>
      </c>
      <c r="K107" s="425">
        <f t="shared" si="27"/>
        <v>0</v>
      </c>
      <c r="L107" s="247">
        <v>0</v>
      </c>
      <c r="M107" s="247">
        <v>0</v>
      </c>
      <c r="N107" s="425" t="e">
        <f t="shared" si="28"/>
        <v>#DIV/0!</v>
      </c>
      <c r="O107" s="126">
        <v>8</v>
      </c>
      <c r="P107" s="126">
        <v>58</v>
      </c>
    </row>
    <row r="108" spans="1:16" ht="17.25" x14ac:dyDescent="0.25">
      <c r="A108" s="265">
        <v>13</v>
      </c>
      <c r="B108" s="544" t="s">
        <v>639</v>
      </c>
      <c r="C108" s="247">
        <v>49703</v>
      </c>
      <c r="D108" s="247">
        <v>25727</v>
      </c>
      <c r="E108" s="425">
        <f t="shared" si="25"/>
        <v>193.19392078361255</v>
      </c>
      <c r="F108" s="247">
        <v>4796</v>
      </c>
      <c r="G108" s="247">
        <v>8825</v>
      </c>
      <c r="H108" s="425">
        <f t="shared" si="26"/>
        <v>54.345609065155806</v>
      </c>
      <c r="I108" s="247">
        <v>58275</v>
      </c>
      <c r="J108" s="247">
        <v>26085</v>
      </c>
      <c r="K108" s="425">
        <f t="shared" si="27"/>
        <v>223.40425531914892</v>
      </c>
      <c r="L108" s="247">
        <v>55053</v>
      </c>
      <c r="M108" s="247">
        <v>17268</v>
      </c>
      <c r="N108" s="425">
        <f t="shared" si="28"/>
        <v>318.81514940931203</v>
      </c>
      <c r="O108" s="126">
        <v>80</v>
      </c>
      <c r="P108" s="126">
        <v>50</v>
      </c>
    </row>
    <row r="109" spans="1:16" ht="17.25" x14ac:dyDescent="0.25">
      <c r="A109" s="265">
        <v>14</v>
      </c>
      <c r="B109" s="544" t="s">
        <v>640</v>
      </c>
      <c r="C109" s="247">
        <v>0</v>
      </c>
      <c r="D109" s="247">
        <v>0</v>
      </c>
      <c r="E109" s="425" t="e">
        <f t="shared" si="25"/>
        <v>#DIV/0!</v>
      </c>
      <c r="F109" s="247">
        <v>0</v>
      </c>
      <c r="G109" s="247">
        <v>0</v>
      </c>
      <c r="H109" s="425" t="e">
        <f t="shared" si="26"/>
        <v>#DIV/0!</v>
      </c>
      <c r="I109" s="247">
        <v>0</v>
      </c>
      <c r="J109" s="247">
        <v>0</v>
      </c>
      <c r="K109" s="425" t="e">
        <f t="shared" si="27"/>
        <v>#DIV/0!</v>
      </c>
      <c r="L109" s="247">
        <v>0</v>
      </c>
      <c r="M109" s="247">
        <v>0</v>
      </c>
      <c r="N109" s="425" t="e">
        <f t="shared" si="28"/>
        <v>#DIV/0!</v>
      </c>
    </row>
    <row r="110" spans="1:16" ht="17.25" x14ac:dyDescent="0.25">
      <c r="A110" s="265">
        <v>15</v>
      </c>
      <c r="B110" s="544" t="s">
        <v>641</v>
      </c>
      <c r="C110" s="247">
        <v>90873</v>
      </c>
      <c r="D110" s="247">
        <v>103228</v>
      </c>
      <c r="E110" s="425">
        <f t="shared" si="25"/>
        <v>88.031348083853217</v>
      </c>
      <c r="F110" s="247">
        <v>10230</v>
      </c>
      <c r="G110" s="247">
        <v>4991</v>
      </c>
      <c r="H110" s="425">
        <f t="shared" si="26"/>
        <v>204.96894409937889</v>
      </c>
      <c r="I110" s="247">
        <v>90873</v>
      </c>
      <c r="J110" s="247">
        <v>103228</v>
      </c>
      <c r="K110" s="425">
        <f t="shared" si="27"/>
        <v>88.031348083853217</v>
      </c>
      <c r="L110" s="247">
        <v>90873</v>
      </c>
      <c r="M110" s="247">
        <v>103228</v>
      </c>
      <c r="N110" s="425">
        <f t="shared" si="28"/>
        <v>88.031348083853217</v>
      </c>
      <c r="O110" s="126">
        <v>62</v>
      </c>
      <c r="P110" s="126">
        <v>70</v>
      </c>
    </row>
    <row r="111" spans="1:16" ht="17.25" x14ac:dyDescent="0.25">
      <c r="A111" s="265">
        <v>16</v>
      </c>
      <c r="B111" s="544" t="s">
        <v>642</v>
      </c>
      <c r="C111" s="247">
        <v>139909</v>
      </c>
      <c r="D111" s="247">
        <v>168390</v>
      </c>
      <c r="E111" s="425">
        <f t="shared" si="25"/>
        <v>83.08628778431023</v>
      </c>
      <c r="F111" s="247">
        <v>10656</v>
      </c>
      <c r="G111" s="247">
        <v>14501</v>
      </c>
      <c r="H111" s="425">
        <f t="shared" si="26"/>
        <v>73.484587269843459</v>
      </c>
      <c r="I111" s="247">
        <v>134250</v>
      </c>
      <c r="J111" s="247">
        <v>166758</v>
      </c>
      <c r="K111" s="425">
        <f t="shared" si="27"/>
        <v>80.505882776238622</v>
      </c>
      <c r="L111" s="247">
        <v>0</v>
      </c>
      <c r="M111" s="247">
        <v>0</v>
      </c>
      <c r="N111" s="425" t="e">
        <f t="shared" si="28"/>
        <v>#DIV/0!</v>
      </c>
      <c r="O111" s="126">
        <v>19</v>
      </c>
      <c r="P111" s="126">
        <v>75</v>
      </c>
    </row>
    <row r="112" spans="1:16" ht="34.5" x14ac:dyDescent="0.25">
      <c r="A112" s="265">
        <v>17</v>
      </c>
      <c r="B112" s="544" t="s">
        <v>643</v>
      </c>
      <c r="C112" s="247">
        <v>562365</v>
      </c>
      <c r="D112" s="247">
        <v>467917</v>
      </c>
      <c r="E112" s="425">
        <f t="shared" si="25"/>
        <v>120.18477635990999</v>
      </c>
      <c r="F112" s="247">
        <v>112806</v>
      </c>
      <c r="G112" s="247">
        <v>46681</v>
      </c>
      <c r="H112" s="425">
        <f t="shared" si="26"/>
        <v>241.65292088858422</v>
      </c>
      <c r="I112" s="247">
        <v>586781</v>
      </c>
      <c r="J112" s="247">
        <v>415311</v>
      </c>
      <c r="K112" s="425">
        <f t="shared" si="27"/>
        <v>141.28713181206373</v>
      </c>
      <c r="L112" s="247">
        <v>0</v>
      </c>
      <c r="M112" s="247">
        <v>0</v>
      </c>
      <c r="N112" s="425" t="e">
        <f t="shared" si="28"/>
        <v>#DIV/0!</v>
      </c>
      <c r="O112" s="126">
        <v>174</v>
      </c>
      <c r="P112" s="126">
        <v>75</v>
      </c>
    </row>
    <row r="113" spans="1:16" ht="34.5" x14ac:dyDescent="0.25">
      <c r="A113" s="265">
        <v>18</v>
      </c>
      <c r="B113" s="544" t="s">
        <v>644</v>
      </c>
      <c r="C113" s="247">
        <v>1210928</v>
      </c>
      <c r="D113" s="247">
        <v>0</v>
      </c>
      <c r="E113" s="425" t="e">
        <f t="shared" si="25"/>
        <v>#DIV/0!</v>
      </c>
      <c r="F113" s="247">
        <v>110734</v>
      </c>
      <c r="G113" s="247">
        <v>0</v>
      </c>
      <c r="H113" s="425" t="e">
        <f t="shared" si="26"/>
        <v>#DIV/0!</v>
      </c>
      <c r="I113" s="247">
        <v>1210928</v>
      </c>
      <c r="J113" s="247">
        <v>0</v>
      </c>
      <c r="K113" s="425" t="e">
        <f t="shared" si="27"/>
        <v>#DIV/0!</v>
      </c>
      <c r="L113" s="247">
        <v>1210928</v>
      </c>
      <c r="M113" s="247">
        <v>0</v>
      </c>
      <c r="N113" s="425" t="e">
        <f t="shared" si="28"/>
        <v>#DIV/0!</v>
      </c>
      <c r="O113" s="126">
        <v>1058</v>
      </c>
      <c r="P113" s="126">
        <v>79</v>
      </c>
    </row>
    <row r="114" spans="1:16" ht="17.25" x14ac:dyDescent="0.25">
      <c r="A114" s="265">
        <v>19</v>
      </c>
      <c r="B114" s="544" t="s">
        <v>645</v>
      </c>
      <c r="C114" s="247">
        <v>8942</v>
      </c>
      <c r="D114" s="247">
        <v>0</v>
      </c>
      <c r="E114" s="425" t="e">
        <f t="shared" si="25"/>
        <v>#DIV/0!</v>
      </c>
      <c r="F114" s="247">
        <v>7684</v>
      </c>
      <c r="G114" s="247">
        <v>0</v>
      </c>
      <c r="H114" s="425" t="e">
        <f t="shared" si="26"/>
        <v>#DIV/0!</v>
      </c>
      <c r="I114" s="247">
        <v>4174</v>
      </c>
      <c r="J114" s="247">
        <v>0</v>
      </c>
      <c r="K114" s="425" t="e">
        <f t="shared" si="27"/>
        <v>#DIV/0!</v>
      </c>
      <c r="L114" s="247">
        <v>0</v>
      </c>
      <c r="M114" s="247">
        <v>0</v>
      </c>
      <c r="N114" s="425" t="e">
        <f t="shared" si="28"/>
        <v>#DIV/0!</v>
      </c>
      <c r="O114" s="126">
        <v>32</v>
      </c>
      <c r="P114" s="126">
        <v>110</v>
      </c>
    </row>
    <row r="115" spans="1:16" ht="34.5" x14ac:dyDescent="0.25">
      <c r="A115" s="265">
        <v>20</v>
      </c>
      <c r="B115" s="544" t="s">
        <v>646</v>
      </c>
      <c r="C115" s="247">
        <v>0</v>
      </c>
      <c r="D115" s="247">
        <v>0</v>
      </c>
      <c r="E115" s="425" t="e">
        <f t="shared" si="25"/>
        <v>#DIV/0!</v>
      </c>
      <c r="F115" s="247">
        <v>0</v>
      </c>
      <c r="G115" s="247">
        <v>0</v>
      </c>
      <c r="H115" s="425" t="e">
        <f t="shared" si="26"/>
        <v>#DIV/0!</v>
      </c>
      <c r="I115" s="247">
        <v>0</v>
      </c>
      <c r="J115" s="247">
        <v>0</v>
      </c>
      <c r="K115" s="425" t="e">
        <f t="shared" si="27"/>
        <v>#DIV/0!</v>
      </c>
      <c r="L115" s="247">
        <v>0</v>
      </c>
      <c r="M115" s="247">
        <v>0</v>
      </c>
      <c r="N115" s="425" t="e">
        <f t="shared" si="28"/>
        <v>#DIV/0!</v>
      </c>
    </row>
    <row r="116" spans="1:16" ht="17.25" x14ac:dyDescent="0.25">
      <c r="A116" s="265">
        <v>21</v>
      </c>
      <c r="B116" s="544" t="s">
        <v>647</v>
      </c>
      <c r="C116" s="247">
        <v>51503</v>
      </c>
      <c r="D116" s="247">
        <v>59468</v>
      </c>
      <c r="E116" s="425">
        <f t="shared" si="25"/>
        <v>86.606242012510933</v>
      </c>
      <c r="F116" s="247">
        <v>10879</v>
      </c>
      <c r="G116" s="247">
        <v>8368</v>
      </c>
      <c r="H116" s="425">
        <f t="shared" si="26"/>
        <v>130.00717017208413</v>
      </c>
      <c r="I116" s="247">
        <v>51503</v>
      </c>
      <c r="J116" s="247">
        <v>59468</v>
      </c>
      <c r="K116" s="425">
        <f t="shared" si="27"/>
        <v>86.606242012510933</v>
      </c>
      <c r="L116" s="247">
        <v>49330</v>
      </c>
      <c r="M116" s="247">
        <v>44783</v>
      </c>
      <c r="N116" s="425">
        <f t="shared" si="28"/>
        <v>110.15340642654579</v>
      </c>
      <c r="O116" s="126">
        <v>15</v>
      </c>
      <c r="P116" s="126">
        <v>68</v>
      </c>
    </row>
    <row r="117" spans="1:16" ht="17.25" x14ac:dyDescent="0.25">
      <c r="A117" s="265">
        <v>22</v>
      </c>
      <c r="B117" s="544" t="s">
        <v>648</v>
      </c>
      <c r="C117" s="247">
        <v>22820</v>
      </c>
      <c r="D117" s="247">
        <v>23450</v>
      </c>
      <c r="E117" s="425">
        <f t="shared" si="25"/>
        <v>97.31343283582089</v>
      </c>
      <c r="F117" s="247">
        <v>3290</v>
      </c>
      <c r="G117" s="247">
        <v>5040</v>
      </c>
      <c r="H117" s="425">
        <f t="shared" si="26"/>
        <v>65.277777777777786</v>
      </c>
      <c r="I117" s="247">
        <v>30234</v>
      </c>
      <c r="J117" s="247">
        <v>33183</v>
      </c>
      <c r="K117" s="425">
        <f t="shared" si="27"/>
        <v>91.112919265889161</v>
      </c>
      <c r="L117" s="247">
        <v>0</v>
      </c>
      <c r="M117" s="247">
        <v>0</v>
      </c>
      <c r="N117" s="425" t="e">
        <f t="shared" si="28"/>
        <v>#DIV/0!</v>
      </c>
      <c r="O117" s="126">
        <v>13</v>
      </c>
      <c r="P117" s="126">
        <v>94</v>
      </c>
    </row>
    <row r="118" spans="1:16" ht="17.25" x14ac:dyDescent="0.25">
      <c r="A118" s="265">
        <v>23</v>
      </c>
      <c r="B118" s="544" t="s">
        <v>649</v>
      </c>
      <c r="C118" s="247">
        <v>124089</v>
      </c>
      <c r="D118" s="247">
        <v>105313</v>
      </c>
      <c r="E118" s="425">
        <f t="shared" si="25"/>
        <v>117.82875808304767</v>
      </c>
      <c r="F118" s="247">
        <v>17424</v>
      </c>
      <c r="G118" s="247">
        <v>14653</v>
      </c>
      <c r="H118" s="425">
        <f t="shared" si="26"/>
        <v>118.91080324848153</v>
      </c>
      <c r="I118" s="247">
        <v>123211</v>
      </c>
      <c r="J118" s="247">
        <v>105085</v>
      </c>
      <c r="K118" s="425">
        <f t="shared" si="27"/>
        <v>117.24889375267639</v>
      </c>
      <c r="L118" s="247">
        <v>0</v>
      </c>
      <c r="M118" s="247">
        <v>0</v>
      </c>
      <c r="N118" s="425" t="e">
        <f t="shared" si="28"/>
        <v>#DIV/0!</v>
      </c>
      <c r="O118" s="126">
        <v>30</v>
      </c>
      <c r="P118" s="126">
        <v>79</v>
      </c>
    </row>
    <row r="119" spans="1:16" ht="17.25" x14ac:dyDescent="0.25">
      <c r="A119" s="265">
        <v>24</v>
      </c>
      <c r="B119" s="544" t="s">
        <v>650</v>
      </c>
      <c r="C119" s="247">
        <v>48616</v>
      </c>
      <c r="D119" s="247">
        <v>36614</v>
      </c>
      <c r="E119" s="425">
        <f t="shared" si="25"/>
        <v>132.77981100125635</v>
      </c>
      <c r="F119" s="247">
        <v>3729</v>
      </c>
      <c r="G119" s="247">
        <v>0</v>
      </c>
      <c r="H119" s="425" t="e">
        <f t="shared" si="26"/>
        <v>#DIV/0!</v>
      </c>
      <c r="I119" s="247">
        <v>128030</v>
      </c>
      <c r="J119" s="247">
        <v>102941</v>
      </c>
      <c r="K119" s="425">
        <f t="shared" si="27"/>
        <v>124.37221320950836</v>
      </c>
      <c r="L119" s="247">
        <v>0</v>
      </c>
      <c r="M119" s="247">
        <v>0</v>
      </c>
      <c r="N119" s="425" t="e">
        <f t="shared" si="28"/>
        <v>#DIV/0!</v>
      </c>
      <c r="O119" s="126">
        <v>51</v>
      </c>
      <c r="P119" s="126">
        <v>72</v>
      </c>
    </row>
    <row r="120" spans="1:16" ht="34.5" x14ac:dyDescent="0.25">
      <c r="A120" s="265">
        <v>25</v>
      </c>
      <c r="B120" s="544" t="s">
        <v>651</v>
      </c>
      <c r="C120" s="247">
        <v>25402</v>
      </c>
      <c r="D120" s="247">
        <v>29750</v>
      </c>
      <c r="E120" s="425">
        <f t="shared" si="25"/>
        <v>85.384873949579827</v>
      </c>
      <c r="F120" s="247">
        <v>2251</v>
      </c>
      <c r="G120" s="247">
        <v>3024</v>
      </c>
      <c r="H120" s="425">
        <f t="shared" si="26"/>
        <v>74.437830687830683</v>
      </c>
      <c r="I120" s="247">
        <v>25413</v>
      </c>
      <c r="J120" s="247">
        <v>29851</v>
      </c>
      <c r="K120" s="425">
        <f t="shared" si="27"/>
        <v>85.132826370975849</v>
      </c>
      <c r="L120" s="247">
        <v>0</v>
      </c>
      <c r="M120" s="247">
        <v>0</v>
      </c>
      <c r="N120" s="425" t="e">
        <f t="shared" si="28"/>
        <v>#DIV/0!</v>
      </c>
      <c r="O120" s="126">
        <v>22</v>
      </c>
      <c r="P120" s="126">
        <v>69</v>
      </c>
    </row>
    <row r="121" spans="1:16" ht="17.25" x14ac:dyDescent="0.25">
      <c r="A121" s="265">
        <v>26</v>
      </c>
      <c r="B121" s="544" t="s">
        <v>228</v>
      </c>
      <c r="C121" s="247">
        <v>31627</v>
      </c>
      <c r="D121" s="247">
        <v>19695</v>
      </c>
      <c r="E121" s="425">
        <f t="shared" si="25"/>
        <v>160.58390454430059</v>
      </c>
      <c r="F121" s="247">
        <v>3977</v>
      </c>
      <c r="G121" s="247">
        <v>4492</v>
      </c>
      <c r="H121" s="425">
        <f t="shared" si="26"/>
        <v>88.535173642030273</v>
      </c>
      <c r="I121" s="247">
        <v>27184</v>
      </c>
      <c r="J121" s="247">
        <v>262244</v>
      </c>
      <c r="K121" s="425">
        <f t="shared" si="27"/>
        <v>10.365918762679032</v>
      </c>
      <c r="L121" s="247">
        <v>0</v>
      </c>
      <c r="M121" s="247">
        <v>0</v>
      </c>
      <c r="N121" s="425" t="e">
        <f t="shared" si="28"/>
        <v>#DIV/0!</v>
      </c>
      <c r="O121" s="126">
        <v>17</v>
      </c>
      <c r="P121" s="126">
        <v>65</v>
      </c>
    </row>
    <row r="122" spans="1:16" s="563" customFormat="1" ht="17.25" x14ac:dyDescent="0.25">
      <c r="A122" s="265">
        <v>27</v>
      </c>
      <c r="B122" s="544" t="s">
        <v>238</v>
      </c>
      <c r="C122" s="247">
        <v>70765</v>
      </c>
      <c r="D122" s="247">
        <v>59091</v>
      </c>
      <c r="E122" s="425">
        <f t="shared" si="25"/>
        <v>119.75596960620061</v>
      </c>
      <c r="F122" s="247">
        <v>9225</v>
      </c>
      <c r="G122" s="247">
        <v>9397</v>
      </c>
      <c r="H122" s="425">
        <f t="shared" si="26"/>
        <v>98.169628604873893</v>
      </c>
      <c r="I122" s="247">
        <v>10101</v>
      </c>
      <c r="J122" s="247">
        <v>6101</v>
      </c>
      <c r="K122" s="425">
        <f t="shared" si="27"/>
        <v>165.56302245533519</v>
      </c>
      <c r="L122" s="247">
        <v>0</v>
      </c>
      <c r="M122" s="247">
        <v>0</v>
      </c>
      <c r="N122" s="425" t="e">
        <f t="shared" si="28"/>
        <v>#DIV/0!</v>
      </c>
      <c r="O122" s="646">
        <v>37</v>
      </c>
      <c r="P122" s="646">
        <v>75</v>
      </c>
    </row>
    <row r="124" spans="1:16" ht="17.25" x14ac:dyDescent="0.25">
      <c r="A124" s="353"/>
      <c r="B124" s="644" t="s">
        <v>360</v>
      </c>
      <c r="C124" s="463">
        <f>SUM(C125:C130)</f>
        <v>114892</v>
      </c>
      <c r="D124" s="454">
        <f>SUM(D125:D130)</f>
        <v>137170</v>
      </c>
      <c r="E124" s="453">
        <f>C124/D124*100</f>
        <v>83.758839396369467</v>
      </c>
      <c r="F124" s="454">
        <f>SUM(F125:F130)</f>
        <v>8236</v>
      </c>
      <c r="G124" s="454">
        <f>SUM(G125:G130)</f>
        <v>4611</v>
      </c>
      <c r="H124" s="453">
        <f>F124/G124*100</f>
        <v>178.61635220125785</v>
      </c>
      <c r="I124" s="454">
        <f>SUM(I125:I130)</f>
        <v>118914</v>
      </c>
      <c r="J124" s="454">
        <f>SUM(J125:J130)</f>
        <v>101884</v>
      </c>
      <c r="K124" s="453">
        <f>I124/J124*100</f>
        <v>116.71508774684935</v>
      </c>
      <c r="L124" s="454">
        <f>SUM(L125:L130)</f>
        <v>55146</v>
      </c>
      <c r="M124" s="454">
        <f>SUM(M125:M130)</f>
        <v>19451</v>
      </c>
      <c r="N124" s="453">
        <f>L124/M124*100</f>
        <v>283.51241581409698</v>
      </c>
    </row>
    <row r="125" spans="1:16" ht="17.25" x14ac:dyDescent="0.25">
      <c r="A125" s="252">
        <v>1</v>
      </c>
      <c r="B125" s="544" t="s">
        <v>652</v>
      </c>
      <c r="C125" s="247">
        <v>79417</v>
      </c>
      <c r="D125" s="247">
        <v>104638</v>
      </c>
      <c r="E125" s="425">
        <f t="shared" ref="E125:E130" si="29">C125/D125*100</f>
        <v>75.896901699191503</v>
      </c>
      <c r="F125" s="247">
        <v>5045</v>
      </c>
      <c r="G125" s="247">
        <v>465</v>
      </c>
      <c r="H125" s="425">
        <f t="shared" ref="H125:H130" si="30">F125/G125*100</f>
        <v>1084.9462365591398</v>
      </c>
      <c r="I125" s="247">
        <v>79328</v>
      </c>
      <c r="J125" s="247">
        <v>62889</v>
      </c>
      <c r="K125" s="425">
        <f t="shared" ref="K125:K130" si="31">I125/J125*100</f>
        <v>126.13970646694969</v>
      </c>
      <c r="L125" s="247">
        <v>44880</v>
      </c>
      <c r="M125" s="247">
        <v>19451</v>
      </c>
      <c r="N125" s="453">
        <f t="shared" ref="N125:N130" si="32">L125/M125*100</f>
        <v>230.73363837334838</v>
      </c>
      <c r="O125" s="126">
        <v>70</v>
      </c>
      <c r="P125" s="126">
        <v>80</v>
      </c>
    </row>
    <row r="126" spans="1:16" ht="17.25" x14ac:dyDescent="0.25">
      <c r="A126" s="252">
        <v>2</v>
      </c>
      <c r="B126" s="544" t="s">
        <v>653</v>
      </c>
      <c r="C126" s="247">
        <v>0</v>
      </c>
      <c r="D126" s="247">
        <v>0</v>
      </c>
      <c r="E126" s="425" t="e">
        <f t="shared" si="29"/>
        <v>#DIV/0!</v>
      </c>
      <c r="F126" s="247">
        <v>0</v>
      </c>
      <c r="G126" s="247">
        <v>0</v>
      </c>
      <c r="H126" s="425" t="e">
        <f t="shared" si="30"/>
        <v>#DIV/0!</v>
      </c>
      <c r="I126" s="247">
        <v>0</v>
      </c>
      <c r="J126" s="247">
        <v>0</v>
      </c>
      <c r="K126" s="425" t="e">
        <f t="shared" si="31"/>
        <v>#DIV/0!</v>
      </c>
      <c r="L126" s="247">
        <v>0</v>
      </c>
      <c r="M126" s="247">
        <v>0</v>
      </c>
      <c r="N126" s="453" t="e">
        <f t="shared" si="32"/>
        <v>#DIV/0!</v>
      </c>
    </row>
    <row r="127" spans="1:16" ht="17.25" x14ac:dyDescent="0.25">
      <c r="A127" s="252">
        <v>3</v>
      </c>
      <c r="B127" s="544" t="s">
        <v>654</v>
      </c>
      <c r="C127" s="247">
        <v>0</v>
      </c>
      <c r="D127" s="247">
        <v>0</v>
      </c>
      <c r="E127" s="425" t="e">
        <f t="shared" si="29"/>
        <v>#DIV/0!</v>
      </c>
      <c r="F127" s="247">
        <v>0</v>
      </c>
      <c r="G127" s="247">
        <v>0</v>
      </c>
      <c r="H127" s="425" t="e">
        <f t="shared" si="30"/>
        <v>#DIV/0!</v>
      </c>
      <c r="I127" s="247">
        <v>0</v>
      </c>
      <c r="J127" s="247">
        <v>0</v>
      </c>
      <c r="K127" s="425" t="e">
        <f t="shared" si="31"/>
        <v>#DIV/0!</v>
      </c>
      <c r="L127" s="247">
        <v>0</v>
      </c>
      <c r="M127" s="247">
        <v>0</v>
      </c>
      <c r="N127" s="453" t="e">
        <f t="shared" si="32"/>
        <v>#DIV/0!</v>
      </c>
    </row>
    <row r="128" spans="1:16" ht="17.25" x14ac:dyDescent="0.25">
      <c r="A128" s="252">
        <v>4</v>
      </c>
      <c r="B128" s="544" t="s">
        <v>655</v>
      </c>
      <c r="C128" s="247">
        <v>6424</v>
      </c>
      <c r="D128" s="247">
        <v>1050</v>
      </c>
      <c r="E128" s="425">
        <f t="shared" si="29"/>
        <v>611.80952380952385</v>
      </c>
      <c r="F128" s="247">
        <v>2124</v>
      </c>
      <c r="G128" s="247">
        <v>0</v>
      </c>
      <c r="H128" s="425" t="e">
        <f t="shared" si="30"/>
        <v>#DIV/0!</v>
      </c>
      <c r="I128" s="247">
        <v>10535</v>
      </c>
      <c r="J128" s="247">
        <v>7513</v>
      </c>
      <c r="K128" s="425">
        <f t="shared" si="31"/>
        <v>140.22361240516437</v>
      </c>
      <c r="L128" s="247">
        <v>0</v>
      </c>
      <c r="M128" s="247">
        <v>0</v>
      </c>
      <c r="N128" s="453" t="e">
        <f t="shared" si="32"/>
        <v>#DIV/0!</v>
      </c>
      <c r="O128" s="126">
        <v>8</v>
      </c>
      <c r="P128" s="126">
        <v>70</v>
      </c>
    </row>
    <row r="129" spans="1:16" ht="17.25" x14ac:dyDescent="0.25">
      <c r="A129" s="252">
        <v>5</v>
      </c>
      <c r="B129" s="544" t="s">
        <v>656</v>
      </c>
      <c r="C129" s="247">
        <v>0</v>
      </c>
      <c r="D129" s="247">
        <v>0</v>
      </c>
      <c r="E129" s="425" t="e">
        <f t="shared" si="29"/>
        <v>#DIV/0!</v>
      </c>
      <c r="F129" s="247">
        <v>0</v>
      </c>
      <c r="G129" s="247">
        <v>0</v>
      </c>
      <c r="H129" s="425" t="e">
        <f t="shared" si="30"/>
        <v>#DIV/0!</v>
      </c>
      <c r="I129" s="247">
        <v>0</v>
      </c>
      <c r="J129" s="247">
        <v>0</v>
      </c>
      <c r="K129" s="425" t="e">
        <f t="shared" si="31"/>
        <v>#DIV/0!</v>
      </c>
      <c r="L129" s="247">
        <v>0</v>
      </c>
      <c r="M129" s="247">
        <v>0</v>
      </c>
      <c r="N129" s="453" t="e">
        <f t="shared" si="32"/>
        <v>#DIV/0!</v>
      </c>
    </row>
    <row r="130" spans="1:16" ht="17.25" x14ac:dyDescent="0.25">
      <c r="A130" s="252">
        <v>6</v>
      </c>
      <c r="B130" s="544" t="s">
        <v>657</v>
      </c>
      <c r="C130" s="247">
        <v>29051</v>
      </c>
      <c r="D130" s="247">
        <v>31482</v>
      </c>
      <c r="E130" s="425">
        <f t="shared" si="29"/>
        <v>92.278127183787561</v>
      </c>
      <c r="F130" s="247">
        <v>1067</v>
      </c>
      <c r="G130" s="247">
        <v>4146</v>
      </c>
      <c r="H130" s="425">
        <f t="shared" si="30"/>
        <v>25.735648818137964</v>
      </c>
      <c r="I130" s="247">
        <v>29051</v>
      </c>
      <c r="J130" s="247">
        <v>31482</v>
      </c>
      <c r="K130" s="425">
        <f t="shared" si="31"/>
        <v>92.278127183787561</v>
      </c>
      <c r="L130" s="247">
        <v>10266</v>
      </c>
      <c r="M130" s="247">
        <v>0</v>
      </c>
      <c r="N130" s="453" t="e">
        <f t="shared" si="32"/>
        <v>#DIV/0!</v>
      </c>
      <c r="O130" s="126">
        <v>20</v>
      </c>
      <c r="P130" s="126">
        <v>100</v>
      </c>
    </row>
    <row r="131" spans="1:16" ht="12.75" customHeight="1" x14ac:dyDescent="0.25">
      <c r="A131" s="564"/>
      <c r="B131" s="565"/>
      <c r="C131" s="445"/>
      <c r="D131" s="445"/>
      <c r="E131" s="439"/>
      <c r="F131" s="445"/>
      <c r="G131" s="445"/>
      <c r="H131" s="439"/>
      <c r="I131" s="445"/>
      <c r="J131" s="445"/>
      <c r="K131" s="439"/>
      <c r="L131" s="445"/>
      <c r="M131" s="445"/>
      <c r="N131" s="439"/>
    </row>
    <row r="132" spans="1:16" s="599" customFormat="1" x14ac:dyDescent="0.25">
      <c r="A132" s="1043" t="s">
        <v>737</v>
      </c>
      <c r="B132" s="1044" t="s">
        <v>78</v>
      </c>
      <c r="C132" s="345">
        <f>C133+C143</f>
        <v>257913502</v>
      </c>
      <c r="D132" s="345">
        <f>D133+D143</f>
        <v>256899180</v>
      </c>
      <c r="E132" s="467">
        <f>C132/D132*100</f>
        <v>100.39483271219471</v>
      </c>
      <c r="F132" s="345">
        <f>F133+F143</f>
        <v>29908941</v>
      </c>
      <c r="G132" s="345">
        <f>G133+G143</f>
        <v>26593738</v>
      </c>
      <c r="H132" s="467">
        <f>F132/G132*100</f>
        <v>112.46610386249576</v>
      </c>
      <c r="I132" s="345">
        <f>I133+I143</f>
        <v>251542386</v>
      </c>
      <c r="J132" s="345">
        <f>J133+J143</f>
        <v>241519387</v>
      </c>
      <c r="K132" s="467">
        <f>I132/J132*100</f>
        <v>104.14997699542855</v>
      </c>
      <c r="L132" s="345">
        <f>L133+L143</f>
        <v>199104943</v>
      </c>
      <c r="M132" s="345">
        <f>M133+M143</f>
        <v>193892316</v>
      </c>
      <c r="N132" s="467">
        <f>L132/M132*100</f>
        <v>102.68841339746541</v>
      </c>
    </row>
    <row r="133" spans="1:16" x14ac:dyDescent="0.25">
      <c r="A133" s="1033" t="s">
        <v>365</v>
      </c>
      <c r="B133" s="1034" t="s">
        <v>135</v>
      </c>
      <c r="C133" s="254">
        <f>SUM(C134:C141)</f>
        <v>133133011</v>
      </c>
      <c r="D133" s="254">
        <f>SUM(D134:D141)</f>
        <v>135718083</v>
      </c>
      <c r="E133" s="451">
        <f>C133/D133*100</f>
        <v>98.095263399793225</v>
      </c>
      <c r="F133" s="254">
        <f>SUM(F134:F141)</f>
        <v>15366140</v>
      </c>
      <c r="G133" s="254">
        <f>SUM(G134:G141)</f>
        <v>13211965</v>
      </c>
      <c r="H133" s="451">
        <f>F133/G133*100</f>
        <v>116.30472832769388</v>
      </c>
      <c r="I133" s="254">
        <f>SUM(I134:I141)</f>
        <v>125688336</v>
      </c>
      <c r="J133" s="254">
        <f>SUM(J134:J141)</f>
        <v>124755997</v>
      </c>
      <c r="K133" s="451">
        <f>I133/J133*100</f>
        <v>100.74733000610784</v>
      </c>
      <c r="L133" s="254">
        <f>SUM(L134:L141)</f>
        <v>83543951</v>
      </c>
      <c r="M133" s="254">
        <f>SUM(M134:M141)</f>
        <v>83483460</v>
      </c>
      <c r="N133" s="451">
        <f>L133/M133*100</f>
        <v>100.07245866426715</v>
      </c>
    </row>
    <row r="134" spans="1:16" ht="17.25" x14ac:dyDescent="0.25">
      <c r="A134" s="272">
        <v>1</v>
      </c>
      <c r="B134" s="544" t="s">
        <v>658</v>
      </c>
      <c r="C134" s="247">
        <v>92411577</v>
      </c>
      <c r="D134" s="247">
        <v>92725664</v>
      </c>
      <c r="E134" s="425">
        <f t="shared" ref="E134:E141" si="33">C134/D134*100</f>
        <v>99.661272848906208</v>
      </c>
      <c r="F134" s="247">
        <v>9999930</v>
      </c>
      <c r="G134" s="247">
        <v>9661083</v>
      </c>
      <c r="H134" s="425">
        <f t="shared" ref="H134:H141" si="34">F134/G134*100</f>
        <v>103.50733970508274</v>
      </c>
      <c r="I134" s="247">
        <v>91440108</v>
      </c>
      <c r="J134" s="247">
        <v>88343469</v>
      </c>
      <c r="K134" s="425">
        <f t="shared" ref="K134:K141" si="35">I134/J134*100</f>
        <v>103.50522685496991</v>
      </c>
      <c r="L134" s="247">
        <v>51307081</v>
      </c>
      <c r="M134" s="247">
        <v>50234533</v>
      </c>
      <c r="N134" s="425">
        <f t="shared" ref="N134:N141" si="36">L134/M134*100</f>
        <v>102.13508106067195</v>
      </c>
      <c r="O134" s="126">
        <v>3032</v>
      </c>
      <c r="P134" s="126">
        <v>145</v>
      </c>
    </row>
    <row r="135" spans="1:16" ht="17.25" x14ac:dyDescent="0.25">
      <c r="A135" s="272">
        <v>2</v>
      </c>
      <c r="B135" s="544" t="s">
        <v>659</v>
      </c>
      <c r="C135" s="247">
        <v>20354618</v>
      </c>
      <c r="D135" s="247">
        <v>19329509</v>
      </c>
      <c r="E135" s="425">
        <f t="shared" si="33"/>
        <v>105.3033369859524</v>
      </c>
      <c r="F135" s="247">
        <v>2316537</v>
      </c>
      <c r="G135" s="247">
        <v>2327427</v>
      </c>
      <c r="H135" s="425">
        <f t="shared" si="34"/>
        <v>99.532101329064233</v>
      </c>
      <c r="I135" s="247">
        <v>16300191</v>
      </c>
      <c r="J135" s="247">
        <v>15173495</v>
      </c>
      <c r="K135" s="425">
        <f t="shared" si="35"/>
        <v>107.42542176341048</v>
      </c>
      <c r="L135" s="247">
        <v>16300191</v>
      </c>
      <c r="M135" s="247">
        <v>15173495</v>
      </c>
      <c r="N135" s="425">
        <f t="shared" si="36"/>
        <v>107.42542176341048</v>
      </c>
      <c r="O135" s="126">
        <v>1019</v>
      </c>
      <c r="P135" s="126">
        <v>120</v>
      </c>
    </row>
    <row r="136" spans="1:16" ht="34.5" x14ac:dyDescent="0.25">
      <c r="A136" s="272">
        <v>3</v>
      </c>
      <c r="B136" s="544" t="s">
        <v>660</v>
      </c>
      <c r="C136" s="247">
        <v>12589321</v>
      </c>
      <c r="D136" s="247">
        <v>16302871</v>
      </c>
      <c r="E136" s="425">
        <f t="shared" si="33"/>
        <v>77.221496753547271</v>
      </c>
      <c r="F136" s="247">
        <v>1702524</v>
      </c>
      <c r="G136" s="247">
        <v>268208</v>
      </c>
      <c r="H136" s="425">
        <f t="shared" si="34"/>
        <v>634.77748613016763</v>
      </c>
      <c r="I136" s="247">
        <v>11453096</v>
      </c>
      <c r="J136" s="247">
        <v>14335479</v>
      </c>
      <c r="K136" s="425">
        <f t="shared" si="35"/>
        <v>79.893361079877408</v>
      </c>
      <c r="L136" s="247">
        <v>11453096</v>
      </c>
      <c r="M136" s="247">
        <v>14335479</v>
      </c>
      <c r="N136" s="425">
        <f t="shared" si="36"/>
        <v>79.893361079877408</v>
      </c>
      <c r="O136" s="126">
        <v>1055</v>
      </c>
      <c r="P136" s="126">
        <v>306</v>
      </c>
    </row>
    <row r="137" spans="1:16" ht="17.25" x14ac:dyDescent="0.25">
      <c r="A137" s="272">
        <v>4</v>
      </c>
      <c r="B137" s="544" t="s">
        <v>661</v>
      </c>
      <c r="C137" s="247">
        <v>4918064</v>
      </c>
      <c r="D137" s="247">
        <v>3778919</v>
      </c>
      <c r="E137" s="425">
        <f t="shared" si="33"/>
        <v>130.14473186644119</v>
      </c>
      <c r="F137" s="247">
        <v>570175</v>
      </c>
      <c r="G137" s="247">
        <v>286703</v>
      </c>
      <c r="H137" s="425">
        <f t="shared" si="34"/>
        <v>198.8730498111286</v>
      </c>
      <c r="I137" s="247">
        <v>4483583</v>
      </c>
      <c r="J137" s="247">
        <v>3739953</v>
      </c>
      <c r="K137" s="425">
        <f t="shared" si="35"/>
        <v>119.88340495188041</v>
      </c>
      <c r="L137" s="247">
        <v>4483583</v>
      </c>
      <c r="M137" s="247">
        <v>3739953</v>
      </c>
      <c r="N137" s="425">
        <f t="shared" si="36"/>
        <v>119.88340495188041</v>
      </c>
      <c r="O137" s="126">
        <v>685</v>
      </c>
      <c r="P137" s="126">
        <v>166</v>
      </c>
    </row>
    <row r="138" spans="1:16" ht="17.25" x14ac:dyDescent="0.25">
      <c r="A138" s="272">
        <v>5</v>
      </c>
      <c r="B138" s="544" t="s">
        <v>662</v>
      </c>
      <c r="C138" s="247">
        <v>2622390</v>
      </c>
      <c r="D138" s="247">
        <v>2499279</v>
      </c>
      <c r="E138" s="425">
        <f t="shared" si="33"/>
        <v>104.92586061820228</v>
      </c>
      <c r="F138" s="247">
        <v>578491</v>
      </c>
      <c r="G138" s="247">
        <v>398328</v>
      </c>
      <c r="H138" s="425">
        <f t="shared" si="34"/>
        <v>145.22981060834289</v>
      </c>
      <c r="I138" s="247">
        <v>1955068</v>
      </c>
      <c r="J138" s="247">
        <v>2619573</v>
      </c>
      <c r="K138" s="425">
        <f t="shared" si="35"/>
        <v>74.633079513340533</v>
      </c>
      <c r="L138" s="247">
        <v>0</v>
      </c>
      <c r="M138" s="247">
        <v>0</v>
      </c>
      <c r="N138" s="425" t="e">
        <f t="shared" si="36"/>
        <v>#DIV/0!</v>
      </c>
      <c r="O138" s="126">
        <v>412</v>
      </c>
      <c r="P138" s="126">
        <v>189</v>
      </c>
    </row>
    <row r="139" spans="1:16" ht="17.25" x14ac:dyDescent="0.25">
      <c r="A139" s="272">
        <v>6</v>
      </c>
      <c r="B139" s="544" t="s">
        <v>663</v>
      </c>
      <c r="C139" s="247">
        <v>183964</v>
      </c>
      <c r="D139" s="247">
        <v>1055279</v>
      </c>
      <c r="E139" s="425">
        <f t="shared" si="33"/>
        <v>17.432735797831665</v>
      </c>
      <c r="F139" s="247">
        <v>183964</v>
      </c>
      <c r="G139" s="247">
        <v>265564</v>
      </c>
      <c r="H139" s="425">
        <f t="shared" si="34"/>
        <v>69.272943621876465</v>
      </c>
      <c r="I139" s="247">
        <v>3213</v>
      </c>
      <c r="J139" s="247">
        <v>517466</v>
      </c>
      <c r="K139" s="425">
        <f t="shared" si="35"/>
        <v>0.62091035932795591</v>
      </c>
      <c r="L139" s="247">
        <v>0</v>
      </c>
      <c r="M139" s="247">
        <v>0</v>
      </c>
      <c r="N139" s="425" t="e">
        <f t="shared" si="36"/>
        <v>#DIV/0!</v>
      </c>
      <c r="O139" s="126">
        <v>287</v>
      </c>
    </row>
    <row r="140" spans="1:16" ht="17.25" x14ac:dyDescent="0.25">
      <c r="A140" s="272">
        <v>7</v>
      </c>
      <c r="B140" s="544" t="s">
        <v>664</v>
      </c>
      <c r="C140" s="247"/>
      <c r="D140" s="247"/>
      <c r="E140" s="425" t="e">
        <f t="shared" si="33"/>
        <v>#DIV/0!</v>
      </c>
      <c r="F140" s="247"/>
      <c r="G140" s="247"/>
      <c r="H140" s="425" t="e">
        <f t="shared" si="34"/>
        <v>#DIV/0!</v>
      </c>
      <c r="I140" s="247"/>
      <c r="J140" s="247"/>
      <c r="K140" s="425" t="e">
        <f t="shared" si="35"/>
        <v>#DIV/0!</v>
      </c>
      <c r="L140" s="247"/>
      <c r="M140" s="247"/>
      <c r="N140" s="425" t="e">
        <f t="shared" si="36"/>
        <v>#DIV/0!</v>
      </c>
    </row>
    <row r="141" spans="1:16" ht="17.25" x14ac:dyDescent="0.25">
      <c r="A141" s="272">
        <v>8</v>
      </c>
      <c r="B141" s="544" t="s">
        <v>665</v>
      </c>
      <c r="C141" s="247">
        <v>53077</v>
      </c>
      <c r="D141" s="247">
        <v>26562</v>
      </c>
      <c r="E141" s="425">
        <f t="shared" si="33"/>
        <v>199.82305549280929</v>
      </c>
      <c r="F141" s="247">
        <v>14519</v>
      </c>
      <c r="G141" s="247">
        <v>4652</v>
      </c>
      <c r="H141" s="425">
        <f t="shared" si="34"/>
        <v>312.10232158211522</v>
      </c>
      <c r="I141" s="247">
        <v>53077</v>
      </c>
      <c r="J141" s="247">
        <v>26562</v>
      </c>
      <c r="K141" s="425">
        <f t="shared" si="35"/>
        <v>199.82305549280929</v>
      </c>
      <c r="L141" s="247">
        <v>0</v>
      </c>
      <c r="M141" s="247">
        <v>0</v>
      </c>
      <c r="N141" s="425" t="e">
        <f t="shared" si="36"/>
        <v>#DIV/0!</v>
      </c>
      <c r="O141" s="126">
        <v>35</v>
      </c>
      <c r="P141" s="126">
        <v>95</v>
      </c>
    </row>
    <row r="142" spans="1:16" ht="9.75" customHeight="1" x14ac:dyDescent="0.25">
      <c r="B142" s="566"/>
    </row>
    <row r="143" spans="1:16" ht="17.25" x14ac:dyDescent="0.25">
      <c r="A143" s="492"/>
      <c r="B143" s="495" t="s">
        <v>15</v>
      </c>
      <c r="C143" s="254">
        <f>SUM(C144:C151)</f>
        <v>124780491</v>
      </c>
      <c r="D143" s="254">
        <f>SUM(D144:D151)</f>
        <v>121181097</v>
      </c>
      <c r="E143" s="451">
        <f>C143/D143*100</f>
        <v>102.970260287378</v>
      </c>
      <c r="F143" s="254">
        <f>SUM(F144:F151)</f>
        <v>14542801</v>
      </c>
      <c r="G143" s="254">
        <f>SUM(G144:G151)</f>
        <v>13381773</v>
      </c>
      <c r="H143" s="451">
        <f>F143/G143*100</f>
        <v>108.67618962001522</v>
      </c>
      <c r="I143" s="254">
        <f>SUM(I144:I151)</f>
        <v>125854050</v>
      </c>
      <c r="J143" s="254">
        <f>SUM(J144:J151)</f>
        <v>116763390</v>
      </c>
      <c r="K143" s="451">
        <f>I143/J143*100</f>
        <v>107.7855396284743</v>
      </c>
      <c r="L143" s="254">
        <f>SUM(L144:L151)</f>
        <v>115560992</v>
      </c>
      <c r="M143" s="254">
        <f>SUM(M144:M151)</f>
        <v>110408856</v>
      </c>
      <c r="N143" s="451">
        <f>L143/M143*100</f>
        <v>104.6664155273921</v>
      </c>
    </row>
    <row r="144" spans="1:16" ht="17.25" x14ac:dyDescent="0.25">
      <c r="A144" s="272">
        <v>1</v>
      </c>
      <c r="B144" s="544" t="s">
        <v>666</v>
      </c>
      <c r="C144" s="247">
        <v>16655788</v>
      </c>
      <c r="D144" s="247">
        <v>14989047</v>
      </c>
      <c r="E144" s="425">
        <f t="shared" ref="E144:E151" si="37">C144/D144*100</f>
        <v>111.11972629080422</v>
      </c>
      <c r="F144" s="247">
        <v>1721876</v>
      </c>
      <c r="G144" s="247">
        <v>1363177</v>
      </c>
      <c r="H144" s="425">
        <f t="shared" ref="H144:H151" si="38">F144/G144*100</f>
        <v>126.31345746003637</v>
      </c>
      <c r="I144" s="247">
        <v>17443549</v>
      </c>
      <c r="J144" s="247">
        <v>14476235</v>
      </c>
      <c r="K144" s="425">
        <f t="shared" ref="K144:K151" si="39">I144/J144*100</f>
        <v>120.49782971884611</v>
      </c>
      <c r="L144" s="247">
        <v>17443549</v>
      </c>
      <c r="M144" s="247">
        <v>14476235</v>
      </c>
      <c r="N144" s="425">
        <f t="shared" ref="N144:N151" si="40">L144/M144*100</f>
        <v>120.49782971884611</v>
      </c>
      <c r="O144" s="126">
        <v>516</v>
      </c>
      <c r="P144" s="126">
        <v>150</v>
      </c>
    </row>
    <row r="145" spans="1:16" ht="34.5" x14ac:dyDescent="0.25">
      <c r="A145" s="272">
        <v>2</v>
      </c>
      <c r="B145" s="544" t="s">
        <v>667</v>
      </c>
      <c r="C145" s="247">
        <v>21693910</v>
      </c>
      <c r="D145" s="247">
        <v>28311982</v>
      </c>
      <c r="E145" s="425">
        <f t="shared" si="37"/>
        <v>76.624483584370736</v>
      </c>
      <c r="F145" s="247">
        <v>2384639</v>
      </c>
      <c r="G145" s="247">
        <v>2591880</v>
      </c>
      <c r="H145" s="425">
        <f t="shared" si="38"/>
        <v>92.004220874423197</v>
      </c>
      <c r="I145" s="247">
        <v>21820144</v>
      </c>
      <c r="J145" s="247">
        <v>27029914</v>
      </c>
      <c r="K145" s="425">
        <f t="shared" si="39"/>
        <v>80.72590981976488</v>
      </c>
      <c r="L145" s="247">
        <v>21777920</v>
      </c>
      <c r="M145" s="247">
        <v>26938541</v>
      </c>
      <c r="N145" s="425">
        <f t="shared" si="40"/>
        <v>80.842982550539773</v>
      </c>
      <c r="O145" s="126">
        <v>666</v>
      </c>
      <c r="P145" s="126">
        <v>176</v>
      </c>
    </row>
    <row r="146" spans="1:16" ht="17.25" x14ac:dyDescent="0.25">
      <c r="A146" s="272">
        <v>3</v>
      </c>
      <c r="B146" s="544" t="s">
        <v>668</v>
      </c>
      <c r="C146" s="247">
        <v>24640805</v>
      </c>
      <c r="D146" s="247">
        <v>22431526</v>
      </c>
      <c r="E146" s="425">
        <f t="shared" si="37"/>
        <v>109.8489911029682</v>
      </c>
      <c r="F146" s="247">
        <v>2751574</v>
      </c>
      <c r="G146" s="247">
        <v>2192237</v>
      </c>
      <c r="H146" s="425">
        <f t="shared" si="38"/>
        <v>125.51444027265299</v>
      </c>
      <c r="I146" s="247">
        <v>25576432</v>
      </c>
      <c r="J146" s="247">
        <v>21298330</v>
      </c>
      <c r="K146" s="425">
        <f t="shared" si="39"/>
        <v>120.08656077730038</v>
      </c>
      <c r="L146" s="247">
        <v>25576432</v>
      </c>
      <c r="M146" s="247">
        <v>21298330</v>
      </c>
      <c r="N146" s="425">
        <f t="shared" si="40"/>
        <v>120.08656077730038</v>
      </c>
      <c r="O146" s="126">
        <v>541</v>
      </c>
      <c r="P146" s="126">
        <v>180</v>
      </c>
    </row>
    <row r="147" spans="1:16" ht="17.25" x14ac:dyDescent="0.25">
      <c r="A147" s="272">
        <v>4</v>
      </c>
      <c r="B147" s="544" t="s">
        <v>669</v>
      </c>
      <c r="C147" s="247">
        <v>4502115</v>
      </c>
      <c r="D147" s="247">
        <v>3649608</v>
      </c>
      <c r="E147" s="425">
        <f t="shared" si="37"/>
        <v>123.35886484247077</v>
      </c>
      <c r="F147" s="247">
        <v>448695</v>
      </c>
      <c r="G147" s="247">
        <v>472620</v>
      </c>
      <c r="H147" s="425">
        <f t="shared" si="38"/>
        <v>94.937793576234611</v>
      </c>
      <c r="I147" s="247">
        <v>4326898</v>
      </c>
      <c r="J147" s="247">
        <v>3940156</v>
      </c>
      <c r="K147" s="425">
        <f t="shared" si="39"/>
        <v>109.81539817205208</v>
      </c>
      <c r="L147" s="247">
        <v>0</v>
      </c>
      <c r="M147" s="247">
        <v>0</v>
      </c>
      <c r="N147" s="425" t="e">
        <f t="shared" si="40"/>
        <v>#DIV/0!</v>
      </c>
      <c r="O147" s="126">
        <v>387</v>
      </c>
      <c r="P147" s="126">
        <v>58</v>
      </c>
    </row>
    <row r="148" spans="1:16" ht="34.5" x14ac:dyDescent="0.25">
      <c r="A148" s="272">
        <v>5</v>
      </c>
      <c r="B148" s="544" t="s">
        <v>670</v>
      </c>
      <c r="C148" s="247">
        <v>25667128</v>
      </c>
      <c r="D148" s="247">
        <v>24026606</v>
      </c>
      <c r="E148" s="425">
        <f t="shared" si="37"/>
        <v>106.82793899396361</v>
      </c>
      <c r="F148" s="247">
        <v>3101649</v>
      </c>
      <c r="G148" s="247">
        <v>3637962</v>
      </c>
      <c r="H148" s="425">
        <f t="shared" si="38"/>
        <v>85.257872402185626</v>
      </c>
      <c r="I148" s="247">
        <v>24467891</v>
      </c>
      <c r="J148" s="247">
        <v>22227941</v>
      </c>
      <c r="K148" s="425">
        <f t="shared" si="39"/>
        <v>110.07718168767859</v>
      </c>
      <c r="L148" s="247">
        <v>24467891</v>
      </c>
      <c r="M148" s="247">
        <v>22227941</v>
      </c>
      <c r="N148" s="425">
        <f t="shared" si="40"/>
        <v>110.07718168767859</v>
      </c>
      <c r="O148" s="126">
        <v>1019</v>
      </c>
      <c r="P148" s="126">
        <v>100</v>
      </c>
    </row>
    <row r="149" spans="1:16" ht="17.25" x14ac:dyDescent="0.25">
      <c r="A149" s="272">
        <v>6</v>
      </c>
      <c r="B149" s="544" t="s">
        <v>231</v>
      </c>
      <c r="C149" s="247">
        <v>25939238</v>
      </c>
      <c r="D149" s="247">
        <v>25209055</v>
      </c>
      <c r="E149" s="425">
        <f t="shared" si="37"/>
        <v>102.89651079740989</v>
      </c>
      <c r="F149" s="247">
        <v>3188736</v>
      </c>
      <c r="G149" s="247">
        <v>2854655</v>
      </c>
      <c r="H149" s="425">
        <f t="shared" si="38"/>
        <v>111.70302540937523</v>
      </c>
      <c r="I149" s="247">
        <v>26327295</v>
      </c>
      <c r="J149" s="247">
        <v>25505445</v>
      </c>
      <c r="K149" s="425">
        <f t="shared" si="39"/>
        <v>103.22225313065505</v>
      </c>
      <c r="L149" s="247">
        <v>26295200</v>
      </c>
      <c r="M149" s="247">
        <v>25467809</v>
      </c>
      <c r="N149" s="425">
        <f t="shared" si="40"/>
        <v>103.24877181229057</v>
      </c>
      <c r="O149" s="126">
        <v>638</v>
      </c>
      <c r="P149" s="126">
        <v>130</v>
      </c>
    </row>
    <row r="150" spans="1:16" ht="17.25" x14ac:dyDescent="0.25">
      <c r="A150" s="272">
        <v>7</v>
      </c>
      <c r="B150" s="544" t="s">
        <v>671</v>
      </c>
      <c r="C150" s="247">
        <v>2444799</v>
      </c>
      <c r="D150" s="247">
        <v>2563273</v>
      </c>
      <c r="E150" s="425">
        <f t="shared" si="37"/>
        <v>95.378018650373946</v>
      </c>
      <c r="F150" s="247">
        <v>320394</v>
      </c>
      <c r="G150" s="247">
        <v>269242</v>
      </c>
      <c r="H150" s="425">
        <f t="shared" si="38"/>
        <v>118.99852177594879</v>
      </c>
      <c r="I150" s="247">
        <v>2654303</v>
      </c>
      <c r="J150" s="247">
        <v>2285369</v>
      </c>
      <c r="K150" s="425">
        <f t="shared" si="39"/>
        <v>116.14330114742958</v>
      </c>
      <c r="L150" s="247">
        <v>0</v>
      </c>
      <c r="M150" s="247">
        <v>0</v>
      </c>
      <c r="N150" s="425" t="e">
        <f t="shared" si="40"/>
        <v>#DIV/0!</v>
      </c>
      <c r="O150" s="126">
        <v>30</v>
      </c>
      <c r="P150" s="126">
        <v>130</v>
      </c>
    </row>
    <row r="151" spans="1:16" ht="17.25" x14ac:dyDescent="0.25">
      <c r="A151" s="272">
        <v>8</v>
      </c>
      <c r="B151" s="544" t="s">
        <v>672</v>
      </c>
      <c r="C151" s="247">
        <v>3236708</v>
      </c>
      <c r="D151" s="247">
        <v>0</v>
      </c>
      <c r="E151" s="425" t="e">
        <f t="shared" si="37"/>
        <v>#DIV/0!</v>
      </c>
      <c r="F151" s="247">
        <v>625238</v>
      </c>
      <c r="G151" s="247">
        <v>0</v>
      </c>
      <c r="H151" s="425" t="e">
        <f t="shared" si="38"/>
        <v>#DIV/0!</v>
      </c>
      <c r="I151" s="247">
        <v>3237538</v>
      </c>
      <c r="J151" s="247">
        <v>0</v>
      </c>
      <c r="K151" s="425" t="e">
        <f t="shared" si="39"/>
        <v>#DIV/0!</v>
      </c>
      <c r="L151" s="247">
        <v>0</v>
      </c>
      <c r="M151" s="247">
        <v>0</v>
      </c>
      <c r="N151" s="425" t="e">
        <f t="shared" si="40"/>
        <v>#DIV/0!</v>
      </c>
      <c r="O151" s="126">
        <v>352</v>
      </c>
      <c r="P151" s="126">
        <v>140</v>
      </c>
    </row>
    <row r="153" spans="1:16" ht="33" x14ac:dyDescent="0.25">
      <c r="A153" s="494"/>
      <c r="B153" s="493" t="s">
        <v>544</v>
      </c>
      <c r="C153" s="469">
        <f>SUM(C154:C156)</f>
        <v>10365992</v>
      </c>
      <c r="D153" s="469">
        <f>SUM(D154:D156)</f>
        <v>11038394</v>
      </c>
      <c r="E153" s="470">
        <f>C153/D153*100</f>
        <v>93.908516039561547</v>
      </c>
      <c r="F153" s="469">
        <f>SUM(F154:F156)</f>
        <v>1142688</v>
      </c>
      <c r="G153" s="469">
        <f>SUM(G154:G156)</f>
        <v>1308750</v>
      </c>
      <c r="H153" s="470">
        <f>F153/G153*100</f>
        <v>87.31140401146132</v>
      </c>
      <c r="I153" s="469">
        <f>SUM(I154:I156)</f>
        <v>9476622</v>
      </c>
      <c r="J153" s="469">
        <f>SUM(J154:J156)</f>
        <v>10429379</v>
      </c>
      <c r="K153" s="470">
        <f>I153/J153*100</f>
        <v>90.864681396658426</v>
      </c>
      <c r="L153" s="469">
        <f>SUM(L154:L156)</f>
        <v>4322621</v>
      </c>
      <c r="M153" s="469">
        <f>SUM(M154:M156)</f>
        <v>4881310</v>
      </c>
      <c r="N153" s="470">
        <f>L153/M153*100</f>
        <v>88.554527370726305</v>
      </c>
    </row>
    <row r="154" spans="1:16" ht="17.25" x14ac:dyDescent="0.25">
      <c r="A154" s="272">
        <v>1</v>
      </c>
      <c r="B154" s="567" t="s">
        <v>673</v>
      </c>
      <c r="C154" s="247">
        <v>1821860</v>
      </c>
      <c r="D154" s="247">
        <v>1540729</v>
      </c>
      <c r="E154" s="425">
        <f>C154/D154*100</f>
        <v>118.24662221584717</v>
      </c>
      <c r="F154" s="247">
        <v>279798</v>
      </c>
      <c r="G154" s="247">
        <v>199604</v>
      </c>
      <c r="H154" s="425">
        <f>F154/G154*100</f>
        <v>140.17654956814494</v>
      </c>
      <c r="I154" s="247">
        <v>1787032</v>
      </c>
      <c r="J154" s="247">
        <v>1608926</v>
      </c>
      <c r="K154" s="425">
        <f>I154/J154*100</f>
        <v>111.06986896849203</v>
      </c>
      <c r="L154" s="247">
        <v>29444</v>
      </c>
      <c r="M154" s="247">
        <v>18685</v>
      </c>
      <c r="N154" s="425">
        <f>L154/M154*100</f>
        <v>157.5809472839176</v>
      </c>
      <c r="O154" s="126">
        <v>128</v>
      </c>
      <c r="P154" s="126">
        <v>145</v>
      </c>
    </row>
    <row r="155" spans="1:16" ht="17.25" x14ac:dyDescent="0.25">
      <c r="A155" s="272">
        <v>2</v>
      </c>
      <c r="B155" s="550" t="s">
        <v>674</v>
      </c>
      <c r="C155" s="247">
        <v>7206058</v>
      </c>
      <c r="D155" s="247">
        <v>7453016</v>
      </c>
      <c r="E155" s="425">
        <f t="shared" ref="E155:E156" si="41">C155/D155*100</f>
        <v>96.686468940895878</v>
      </c>
      <c r="F155" s="247">
        <v>862890</v>
      </c>
      <c r="G155" s="247">
        <v>830395</v>
      </c>
      <c r="H155" s="425">
        <f t="shared" ref="H155:H156" si="42">F155/G155*100</f>
        <v>103.91319793592206</v>
      </c>
      <c r="I155" s="247">
        <v>7533674</v>
      </c>
      <c r="J155" s="247">
        <v>6939154</v>
      </c>
      <c r="K155" s="425">
        <f t="shared" ref="K155:K156" si="43">I155/J155*100</f>
        <v>108.56761501474099</v>
      </c>
      <c r="L155" s="247">
        <v>3318232</v>
      </c>
      <c r="M155" s="247">
        <v>3299917</v>
      </c>
      <c r="N155" s="425">
        <f t="shared" ref="N155:N156" si="44">L155/M155*100</f>
        <v>100.55501395944202</v>
      </c>
      <c r="O155" s="126">
        <v>711</v>
      </c>
      <c r="P155" s="126">
        <v>110</v>
      </c>
    </row>
    <row r="156" spans="1:16" ht="34.5" x14ac:dyDescent="0.25">
      <c r="A156" s="272">
        <v>3</v>
      </c>
      <c r="B156" s="549" t="s">
        <v>675</v>
      </c>
      <c r="C156" s="247">
        <v>1338074</v>
      </c>
      <c r="D156" s="247">
        <v>2044649</v>
      </c>
      <c r="E156" s="425">
        <f t="shared" si="41"/>
        <v>65.44272391006966</v>
      </c>
      <c r="F156" s="247">
        <v>0</v>
      </c>
      <c r="G156" s="247">
        <v>278751</v>
      </c>
      <c r="H156" s="425">
        <f t="shared" si="42"/>
        <v>0</v>
      </c>
      <c r="I156" s="247">
        <v>155916</v>
      </c>
      <c r="J156" s="247">
        <v>1881299</v>
      </c>
      <c r="K156" s="425">
        <f t="shared" si="43"/>
        <v>8.2876778226108652</v>
      </c>
      <c r="L156" s="247">
        <v>974945</v>
      </c>
      <c r="M156" s="247">
        <v>1562708</v>
      </c>
      <c r="N156" s="425">
        <f t="shared" si="44"/>
        <v>62.388174886159156</v>
      </c>
      <c r="O156" s="126">
        <v>295</v>
      </c>
      <c r="P156" s="126">
        <v>193</v>
      </c>
    </row>
    <row r="157" spans="1:16" x14ac:dyDescent="0.25">
      <c r="A157" s="568"/>
      <c r="B157" s="569"/>
      <c r="C157" s="570"/>
      <c r="D157" s="54"/>
      <c r="E157" s="43"/>
      <c r="F157" s="54"/>
      <c r="G157" s="54"/>
      <c r="H157" s="425"/>
      <c r="I157" s="54"/>
      <c r="J157" s="54"/>
      <c r="K157" s="43"/>
      <c r="L157" s="54"/>
      <c r="M157" s="571"/>
      <c r="N157" s="343"/>
    </row>
    <row r="158" spans="1:16" ht="17.25" x14ac:dyDescent="0.25">
      <c r="A158" s="1043" t="s">
        <v>735</v>
      </c>
      <c r="B158" s="1044"/>
      <c r="C158" s="345">
        <f>C159+C188+C194</f>
        <v>181820485</v>
      </c>
      <c r="D158" s="345">
        <f>D159+D188+D194</f>
        <v>148125943</v>
      </c>
      <c r="E158" s="467">
        <f>C158/D158*100</f>
        <v>122.74722531217913</v>
      </c>
      <c r="F158" s="345">
        <f>F159+F188+F194</f>
        <v>20403337</v>
      </c>
      <c r="G158" s="345">
        <f>G159+G188+G194</f>
        <v>20577061</v>
      </c>
      <c r="H158" s="467">
        <f>F158/G158*100</f>
        <v>99.155739490688205</v>
      </c>
      <c r="I158" s="345">
        <f>I159+I188+I194</f>
        <v>177519012</v>
      </c>
      <c r="J158" s="345">
        <f>J159+J188+J194</f>
        <v>141490563</v>
      </c>
      <c r="K158" s="467">
        <f>I158/J158*100</f>
        <v>125.46349963990178</v>
      </c>
      <c r="L158" s="345">
        <f>L159+L188+L194</f>
        <v>77630785</v>
      </c>
      <c r="M158" s="345">
        <f>M159+M188+M194</f>
        <v>70546136</v>
      </c>
      <c r="N158" s="467">
        <f>L158/M158*100</f>
        <v>110.04257554233729</v>
      </c>
    </row>
    <row r="159" spans="1:16" ht="17.25" x14ac:dyDescent="0.25">
      <c r="A159" s="1062" t="s">
        <v>736</v>
      </c>
      <c r="B159" s="1063" t="s">
        <v>119</v>
      </c>
      <c r="C159" s="254">
        <f>SUM(C160:C186)</f>
        <v>62188680</v>
      </c>
      <c r="D159" s="254">
        <f>SUM(D160:D186)</f>
        <v>55457364</v>
      </c>
      <c r="E159" s="451">
        <f>C159/D159*100</f>
        <v>112.13782176880964</v>
      </c>
      <c r="F159" s="254">
        <f>SUM(F160:F186)</f>
        <v>8367800</v>
      </c>
      <c r="G159" s="254">
        <f>SUM(G160:G186)</f>
        <v>8055896</v>
      </c>
      <c r="H159" s="451">
        <f>F159/G159*100</f>
        <v>103.87174809605288</v>
      </c>
      <c r="I159" s="254">
        <f>SUM(I160:I186)</f>
        <v>62009185</v>
      </c>
      <c r="J159" s="254">
        <f>SUM(J160:J186)</f>
        <v>53958863</v>
      </c>
      <c r="K159" s="451">
        <f>I159/J159*100</f>
        <v>114.91936922392156</v>
      </c>
      <c r="L159" s="254">
        <f>SUM(L160:L186)</f>
        <v>36957149</v>
      </c>
      <c r="M159" s="254">
        <f>SUM(M160:M186)</f>
        <v>40836327</v>
      </c>
      <c r="N159" s="451">
        <f>L159/M159*100</f>
        <v>90.500668681588337</v>
      </c>
    </row>
    <row r="160" spans="1:16" ht="34.5" x14ac:dyDescent="0.25">
      <c r="A160" s="7">
        <v>1</v>
      </c>
      <c r="B160" s="545" t="s">
        <v>676</v>
      </c>
      <c r="C160" s="247">
        <v>16494645</v>
      </c>
      <c r="D160" s="247">
        <v>18507528</v>
      </c>
      <c r="E160" s="425">
        <f t="shared" ref="E160:E186" si="45">C160/D160*100</f>
        <v>89.123977010868231</v>
      </c>
      <c r="F160" s="247">
        <v>2297965</v>
      </c>
      <c r="G160" s="247">
        <v>3053944</v>
      </c>
      <c r="H160" s="425">
        <f t="shared" ref="H160:H186" si="46">F160/G160*100</f>
        <v>75.245813282758306</v>
      </c>
      <c r="I160" s="247">
        <v>16057272</v>
      </c>
      <c r="J160" s="247">
        <v>17446259</v>
      </c>
      <c r="K160" s="425">
        <f t="shared" ref="K160:K186" si="47">I160/J160*100</f>
        <v>92.038482290100134</v>
      </c>
      <c r="L160" s="247">
        <v>13680607</v>
      </c>
      <c r="M160" s="247">
        <v>15374660</v>
      </c>
      <c r="N160" s="425">
        <f t="shared" ref="N160:N186" si="48">L160/M160*100</f>
        <v>88.981525445115537</v>
      </c>
      <c r="O160" s="126">
        <v>272</v>
      </c>
      <c r="P160" s="126">
        <v>190</v>
      </c>
    </row>
    <row r="161" spans="1:16" ht="17.25" x14ac:dyDescent="0.25">
      <c r="A161" s="7">
        <v>2</v>
      </c>
      <c r="B161" s="572" t="s">
        <v>677</v>
      </c>
      <c r="C161" s="247">
        <v>2151707</v>
      </c>
      <c r="D161" s="247">
        <v>2871522</v>
      </c>
      <c r="E161" s="425">
        <f t="shared" si="45"/>
        <v>74.932631545222364</v>
      </c>
      <c r="F161" s="247">
        <v>498323</v>
      </c>
      <c r="G161" s="247">
        <v>180871</v>
      </c>
      <c r="H161" s="425">
        <f t="shared" si="46"/>
        <v>275.51293463297048</v>
      </c>
      <c r="I161" s="247">
        <v>2100396</v>
      </c>
      <c r="J161" s="247">
        <v>2885189</v>
      </c>
      <c r="K161" s="425">
        <f t="shared" si="47"/>
        <v>72.799251626149967</v>
      </c>
      <c r="L161" s="247">
        <v>1630679</v>
      </c>
      <c r="M161" s="247">
        <v>2345525</v>
      </c>
      <c r="N161" s="425">
        <f t="shared" si="48"/>
        <v>69.522985259163733</v>
      </c>
      <c r="O161" s="126">
        <v>132</v>
      </c>
      <c r="P161" s="126">
        <v>152</v>
      </c>
    </row>
    <row r="162" spans="1:16" ht="17.25" x14ac:dyDescent="0.25">
      <c r="A162" s="7">
        <v>3</v>
      </c>
      <c r="B162" s="572" t="s">
        <v>678</v>
      </c>
      <c r="C162" s="247">
        <v>482253</v>
      </c>
      <c r="D162" s="247">
        <v>741228</v>
      </c>
      <c r="E162" s="425">
        <f t="shared" si="45"/>
        <v>65.061357638945111</v>
      </c>
      <c r="F162" s="247">
        <v>125325</v>
      </c>
      <c r="G162" s="247">
        <v>81944</v>
      </c>
      <c r="H162" s="425">
        <f t="shared" si="46"/>
        <v>152.93981255491556</v>
      </c>
      <c r="I162" s="247">
        <v>597765</v>
      </c>
      <c r="J162" s="247">
        <v>153014</v>
      </c>
      <c r="K162" s="425">
        <f t="shared" si="47"/>
        <v>390.66033173435113</v>
      </c>
      <c r="L162" s="247">
        <v>532308</v>
      </c>
      <c r="M162" s="247">
        <v>690175</v>
      </c>
      <c r="N162" s="425">
        <f t="shared" si="48"/>
        <v>77.126525881117104</v>
      </c>
      <c r="O162" s="126">
        <v>61</v>
      </c>
      <c r="P162" s="126">
        <v>146</v>
      </c>
    </row>
    <row r="163" spans="1:16" ht="17.25" x14ac:dyDescent="0.2">
      <c r="A163" s="7">
        <v>4</v>
      </c>
      <c r="B163" s="572" t="s">
        <v>679</v>
      </c>
      <c r="C163" s="247">
        <v>1056745</v>
      </c>
      <c r="D163" s="256">
        <v>0</v>
      </c>
      <c r="E163" s="425" t="e">
        <f t="shared" si="45"/>
        <v>#DIV/0!</v>
      </c>
      <c r="F163" s="247">
        <v>207953</v>
      </c>
      <c r="G163" s="256">
        <v>0</v>
      </c>
      <c r="H163" s="425" t="e">
        <f t="shared" si="46"/>
        <v>#DIV/0!</v>
      </c>
      <c r="I163" s="247">
        <v>1684948</v>
      </c>
      <c r="J163" s="256">
        <v>0</v>
      </c>
      <c r="K163" s="425" t="e">
        <f t="shared" si="47"/>
        <v>#DIV/0!</v>
      </c>
      <c r="L163" s="247">
        <v>1107772</v>
      </c>
      <c r="M163" s="256">
        <v>0</v>
      </c>
      <c r="N163" s="425" t="e">
        <f t="shared" si="48"/>
        <v>#DIV/0!</v>
      </c>
      <c r="O163" s="126">
        <v>214</v>
      </c>
      <c r="P163" s="126">
        <v>127</v>
      </c>
    </row>
    <row r="164" spans="1:16" ht="37.5" customHeight="1" x14ac:dyDescent="0.25">
      <c r="A164" s="7">
        <v>5</v>
      </c>
      <c r="B164" s="545" t="s">
        <v>680</v>
      </c>
      <c r="C164" s="247">
        <v>4718321</v>
      </c>
      <c r="D164" s="247">
        <v>7985073</v>
      </c>
      <c r="E164" s="425">
        <f t="shared" si="45"/>
        <v>59.089265683607408</v>
      </c>
      <c r="F164" s="247">
        <v>982542</v>
      </c>
      <c r="G164" s="247">
        <v>1031389</v>
      </c>
      <c r="H164" s="425">
        <f t="shared" si="46"/>
        <v>95.263959572964225</v>
      </c>
      <c r="I164" s="247">
        <v>4551280</v>
      </c>
      <c r="J164" s="247">
        <v>7380832</v>
      </c>
      <c r="K164" s="425">
        <f t="shared" si="47"/>
        <v>61.663508937745767</v>
      </c>
      <c r="L164" s="247">
        <v>4551280</v>
      </c>
      <c r="M164" s="247">
        <v>7380823</v>
      </c>
      <c r="N164" s="425">
        <f t="shared" si="48"/>
        <v>61.663584128761798</v>
      </c>
      <c r="O164" s="126">
        <v>281</v>
      </c>
      <c r="P164" s="126">
        <v>190</v>
      </c>
    </row>
    <row r="165" spans="1:16" ht="34.5" x14ac:dyDescent="0.25">
      <c r="A165" s="7">
        <v>6</v>
      </c>
      <c r="B165" s="545" t="s">
        <v>681</v>
      </c>
      <c r="C165" s="247">
        <v>6282301</v>
      </c>
      <c r="D165" s="247">
        <v>4877991</v>
      </c>
      <c r="E165" s="425">
        <f t="shared" si="45"/>
        <v>128.78869600210413</v>
      </c>
      <c r="F165" s="247">
        <v>811495</v>
      </c>
      <c r="G165" s="247">
        <v>675560</v>
      </c>
      <c r="H165" s="425">
        <f t="shared" si="46"/>
        <v>120.12182485641543</v>
      </c>
      <c r="I165" s="247">
        <v>5964795</v>
      </c>
      <c r="J165" s="247">
        <v>4877991</v>
      </c>
      <c r="K165" s="425">
        <f t="shared" si="47"/>
        <v>122.27974590359022</v>
      </c>
      <c r="L165" s="247">
        <v>455657</v>
      </c>
      <c r="M165" s="247">
        <v>3115898</v>
      </c>
      <c r="N165" s="425">
        <f t="shared" si="48"/>
        <v>14.623617332788172</v>
      </c>
      <c r="O165" s="126">
        <v>275</v>
      </c>
      <c r="P165" s="126">
        <v>100</v>
      </c>
    </row>
    <row r="166" spans="1:16" ht="17.25" x14ac:dyDescent="0.25">
      <c r="A166" s="7">
        <v>7</v>
      </c>
      <c r="B166" s="572" t="s">
        <v>233</v>
      </c>
      <c r="C166" s="247">
        <v>2555605</v>
      </c>
      <c r="D166" s="247">
        <v>555689</v>
      </c>
      <c r="E166" s="425">
        <f t="shared" si="45"/>
        <v>459.89843239653834</v>
      </c>
      <c r="F166" s="247">
        <v>178480</v>
      </c>
      <c r="G166" s="247">
        <v>258740</v>
      </c>
      <c r="H166" s="425">
        <f t="shared" si="46"/>
        <v>68.980443688644982</v>
      </c>
      <c r="I166" s="247">
        <v>3238100</v>
      </c>
      <c r="J166" s="247">
        <v>978918</v>
      </c>
      <c r="K166" s="425">
        <f t="shared" si="47"/>
        <v>330.78357942136114</v>
      </c>
      <c r="L166" s="247">
        <v>1587201</v>
      </c>
      <c r="M166" s="247">
        <v>876117</v>
      </c>
      <c r="N166" s="425">
        <f t="shared" si="48"/>
        <v>181.16313232136804</v>
      </c>
      <c r="O166" s="126">
        <v>234</v>
      </c>
      <c r="P166" s="127">
        <v>93</v>
      </c>
    </row>
    <row r="167" spans="1:16" s="573" customFormat="1" ht="17.25" x14ac:dyDescent="0.25">
      <c r="A167" s="7">
        <v>8</v>
      </c>
      <c r="B167" s="546" t="s">
        <v>682</v>
      </c>
      <c r="C167" s="247">
        <v>2865423</v>
      </c>
      <c r="D167" s="247">
        <v>2014337</v>
      </c>
      <c r="E167" s="425">
        <f t="shared" si="45"/>
        <v>142.25142069077816</v>
      </c>
      <c r="F167" s="247">
        <v>322263</v>
      </c>
      <c r="G167" s="247">
        <v>450000</v>
      </c>
      <c r="H167" s="425">
        <f t="shared" si="46"/>
        <v>71.614000000000004</v>
      </c>
      <c r="I167" s="247">
        <v>2827791</v>
      </c>
      <c r="J167" s="247">
        <v>2063369</v>
      </c>
      <c r="K167" s="425">
        <f t="shared" si="47"/>
        <v>137.04727559636692</v>
      </c>
      <c r="L167" s="247">
        <v>6598</v>
      </c>
      <c r="M167" s="247">
        <v>16014</v>
      </c>
      <c r="N167" s="425">
        <f t="shared" si="48"/>
        <v>41.201448732359189</v>
      </c>
      <c r="O167" s="584">
        <v>274</v>
      </c>
      <c r="P167" s="574">
        <v>85</v>
      </c>
    </row>
    <row r="168" spans="1:16" s="573" customFormat="1" ht="36.75" customHeight="1" x14ac:dyDescent="0.25">
      <c r="A168" s="7">
        <v>9</v>
      </c>
      <c r="B168" s="547" t="s">
        <v>683</v>
      </c>
      <c r="C168" s="247">
        <v>9545802</v>
      </c>
      <c r="D168" s="247">
        <v>7911068</v>
      </c>
      <c r="E168" s="425">
        <f t="shared" si="45"/>
        <v>120.66388507847488</v>
      </c>
      <c r="F168" s="247">
        <v>711602</v>
      </c>
      <c r="G168" s="247">
        <v>837933</v>
      </c>
      <c r="H168" s="425">
        <f t="shared" si="46"/>
        <v>84.923496269988178</v>
      </c>
      <c r="I168" s="247">
        <v>9545802</v>
      </c>
      <c r="J168" s="247">
        <v>7911068</v>
      </c>
      <c r="K168" s="425">
        <f t="shared" si="47"/>
        <v>120.66388507847488</v>
      </c>
      <c r="L168" s="247">
        <v>9544898</v>
      </c>
      <c r="M168" s="247">
        <v>7821503</v>
      </c>
      <c r="N168" s="425">
        <f t="shared" si="48"/>
        <v>122.03406429684934</v>
      </c>
      <c r="O168" s="584">
        <v>83</v>
      </c>
      <c r="P168" s="574">
        <v>235</v>
      </c>
    </row>
    <row r="169" spans="1:16" s="573" customFormat="1" ht="38.25" customHeight="1" x14ac:dyDescent="0.25">
      <c r="A169" s="7">
        <v>10</v>
      </c>
      <c r="B169" s="547" t="s">
        <v>539</v>
      </c>
      <c r="C169" s="247">
        <v>650555</v>
      </c>
      <c r="D169" s="247">
        <v>941822</v>
      </c>
      <c r="E169" s="425">
        <f t="shared" si="45"/>
        <v>69.074092556767624</v>
      </c>
      <c r="F169" s="247">
        <v>109140</v>
      </c>
      <c r="G169" s="247">
        <v>90499</v>
      </c>
      <c r="H169" s="425">
        <f t="shared" si="46"/>
        <v>120.59801765765368</v>
      </c>
      <c r="I169" s="247">
        <v>652703</v>
      </c>
      <c r="J169" s="247">
        <v>932790</v>
      </c>
      <c r="K169" s="425">
        <f t="shared" si="47"/>
        <v>69.973198683519328</v>
      </c>
      <c r="L169" s="247">
        <v>336044</v>
      </c>
      <c r="M169" s="247">
        <v>604847</v>
      </c>
      <c r="N169" s="425">
        <f t="shared" si="48"/>
        <v>55.55851314464649</v>
      </c>
      <c r="O169" s="584">
        <v>204</v>
      </c>
      <c r="P169" s="574"/>
    </row>
    <row r="170" spans="1:16" s="575" customFormat="1" ht="34.5" x14ac:dyDescent="0.25">
      <c r="A170" s="7">
        <v>11</v>
      </c>
      <c r="B170" s="547" t="s">
        <v>684</v>
      </c>
      <c r="C170" s="247">
        <v>53816</v>
      </c>
      <c r="D170" s="247">
        <v>62225</v>
      </c>
      <c r="E170" s="425">
        <f t="shared" si="45"/>
        <v>86.486139011651261</v>
      </c>
      <c r="F170" s="247">
        <v>13209</v>
      </c>
      <c r="G170" s="247">
        <v>14066</v>
      </c>
      <c r="H170" s="425">
        <f t="shared" si="46"/>
        <v>93.907294184558509</v>
      </c>
      <c r="I170" s="247">
        <v>53816</v>
      </c>
      <c r="J170" s="247">
        <v>62225</v>
      </c>
      <c r="K170" s="425">
        <f t="shared" si="47"/>
        <v>86.486139011651261</v>
      </c>
      <c r="L170" s="247">
        <v>25507</v>
      </c>
      <c r="M170" s="247">
        <v>37675</v>
      </c>
      <c r="N170" s="425">
        <f t="shared" si="48"/>
        <v>67.702720637027198</v>
      </c>
      <c r="O170" s="645">
        <v>9</v>
      </c>
      <c r="P170" s="574">
        <v>80</v>
      </c>
    </row>
    <row r="171" spans="1:16" s="573" customFormat="1" ht="17.25" x14ac:dyDescent="0.25">
      <c r="A171" s="7">
        <v>12</v>
      </c>
      <c r="B171" s="546" t="s">
        <v>301</v>
      </c>
      <c r="C171" s="247">
        <v>4072558</v>
      </c>
      <c r="D171" s="247">
        <v>3326230</v>
      </c>
      <c r="E171" s="425">
        <f t="shared" si="45"/>
        <v>122.43765464204219</v>
      </c>
      <c r="F171" s="247">
        <v>485839</v>
      </c>
      <c r="G171" s="247">
        <v>450446</v>
      </c>
      <c r="H171" s="425">
        <f t="shared" si="46"/>
        <v>107.85732363035747</v>
      </c>
      <c r="I171" s="247">
        <v>3921792</v>
      </c>
      <c r="J171" s="247">
        <v>3318835</v>
      </c>
      <c r="K171" s="425">
        <f t="shared" si="47"/>
        <v>118.16773054400113</v>
      </c>
      <c r="L171" s="247">
        <v>497561</v>
      </c>
      <c r="M171" s="247">
        <v>690081</v>
      </c>
      <c r="N171" s="425">
        <f t="shared" si="48"/>
        <v>72.101825727704423</v>
      </c>
      <c r="O171" s="584">
        <v>697</v>
      </c>
      <c r="P171" s="574"/>
    </row>
    <row r="172" spans="1:16" s="573" customFormat="1" ht="34.5" x14ac:dyDescent="0.25">
      <c r="A172" s="7">
        <v>13</v>
      </c>
      <c r="B172" s="547" t="s">
        <v>750</v>
      </c>
      <c r="C172" s="247">
        <v>74139</v>
      </c>
      <c r="D172" s="247">
        <v>16869</v>
      </c>
      <c r="E172" s="425">
        <f t="shared" si="45"/>
        <v>439.49848835141381</v>
      </c>
      <c r="F172" s="247">
        <v>2245</v>
      </c>
      <c r="G172" s="247">
        <v>5186</v>
      </c>
      <c r="H172" s="425">
        <f t="shared" si="46"/>
        <v>43.289625915927502</v>
      </c>
      <c r="I172" s="247">
        <v>74139</v>
      </c>
      <c r="J172" s="247">
        <v>16869</v>
      </c>
      <c r="K172" s="425">
        <f t="shared" si="47"/>
        <v>439.49848835141381</v>
      </c>
      <c r="L172" s="247">
        <v>56363</v>
      </c>
      <c r="M172" s="247">
        <v>6751</v>
      </c>
      <c r="N172" s="425">
        <f t="shared" si="48"/>
        <v>834.88372093023258</v>
      </c>
      <c r="O172" s="584">
        <v>45</v>
      </c>
      <c r="P172" s="574"/>
    </row>
    <row r="173" spans="1:16" s="573" customFormat="1" ht="17.25" x14ac:dyDescent="0.25">
      <c r="A173" s="7">
        <v>14</v>
      </c>
      <c r="B173" s="546" t="s">
        <v>237</v>
      </c>
      <c r="C173" s="247">
        <v>1155764</v>
      </c>
      <c r="D173" s="247">
        <v>325606</v>
      </c>
      <c r="E173" s="425">
        <f t="shared" si="45"/>
        <v>354.95783247237461</v>
      </c>
      <c r="F173" s="247">
        <v>192299</v>
      </c>
      <c r="G173" s="247">
        <v>79648</v>
      </c>
      <c r="H173" s="425">
        <f t="shared" si="46"/>
        <v>241.43606870229007</v>
      </c>
      <c r="I173" s="247">
        <v>1155764</v>
      </c>
      <c r="J173" s="247">
        <v>325606</v>
      </c>
      <c r="K173" s="425">
        <f t="shared" si="47"/>
        <v>354.95783247237461</v>
      </c>
      <c r="L173" s="247">
        <v>1079418</v>
      </c>
      <c r="M173" s="247">
        <v>187968</v>
      </c>
      <c r="N173" s="425">
        <f t="shared" si="48"/>
        <v>574.25625638406541</v>
      </c>
      <c r="O173" s="584">
        <v>32</v>
      </c>
      <c r="P173" s="574">
        <v>110</v>
      </c>
    </row>
    <row r="174" spans="1:16" s="573" customFormat="1" ht="17.25" x14ac:dyDescent="0.25">
      <c r="A174" s="7">
        <v>15</v>
      </c>
      <c r="B174" s="546" t="s">
        <v>229</v>
      </c>
      <c r="C174" s="247">
        <v>5400375</v>
      </c>
      <c r="D174" s="247">
        <v>2465172</v>
      </c>
      <c r="E174" s="425">
        <f t="shared" si="45"/>
        <v>219.06686429993525</v>
      </c>
      <c r="F174" s="247">
        <v>742208</v>
      </c>
      <c r="G174" s="247">
        <v>448388</v>
      </c>
      <c r="H174" s="425">
        <f t="shared" si="46"/>
        <v>165.5280694398601</v>
      </c>
      <c r="I174" s="247">
        <v>5177883</v>
      </c>
      <c r="J174" s="247">
        <v>2741847</v>
      </c>
      <c r="K174" s="425">
        <f t="shared" si="47"/>
        <v>188.84653301223591</v>
      </c>
      <c r="L174" s="247">
        <v>1464144</v>
      </c>
      <c r="M174" s="247">
        <v>727032</v>
      </c>
      <c r="N174" s="425">
        <f t="shared" si="48"/>
        <v>201.38645891790185</v>
      </c>
      <c r="O174" s="584">
        <v>349</v>
      </c>
      <c r="P174" s="574">
        <v>115</v>
      </c>
    </row>
    <row r="175" spans="1:16" ht="36.75" customHeight="1" x14ac:dyDescent="0.25">
      <c r="A175" s="7">
        <v>16</v>
      </c>
      <c r="B175" s="545" t="s">
        <v>230</v>
      </c>
      <c r="C175" s="247">
        <v>1824256</v>
      </c>
      <c r="D175" s="247">
        <v>1267017</v>
      </c>
      <c r="E175" s="425">
        <f t="shared" si="45"/>
        <v>143.98038858200007</v>
      </c>
      <c r="F175" s="247">
        <v>293933</v>
      </c>
      <c r="G175" s="247">
        <v>124896</v>
      </c>
      <c r="H175" s="425">
        <f t="shared" si="46"/>
        <v>235.34220471432232</v>
      </c>
      <c r="I175" s="247">
        <v>1755767</v>
      </c>
      <c r="J175" s="247">
        <v>1237430</v>
      </c>
      <c r="K175" s="425">
        <f t="shared" si="47"/>
        <v>141.88818761465296</v>
      </c>
      <c r="L175" s="247">
        <v>5218</v>
      </c>
      <c r="M175" s="247">
        <v>7217</v>
      </c>
      <c r="N175" s="425">
        <f t="shared" si="48"/>
        <v>72.301510322848827</v>
      </c>
      <c r="O175" s="573">
        <v>50</v>
      </c>
      <c r="P175" s="576">
        <v>85</v>
      </c>
    </row>
    <row r="176" spans="1:16" ht="27" customHeight="1" x14ac:dyDescent="0.25">
      <c r="A176" s="7">
        <v>17</v>
      </c>
      <c r="B176" s="572" t="s">
        <v>298</v>
      </c>
      <c r="C176" s="247">
        <v>107421</v>
      </c>
      <c r="D176" s="247">
        <v>80254</v>
      </c>
      <c r="E176" s="425">
        <f t="shared" si="45"/>
        <v>133.85127221073091</v>
      </c>
      <c r="F176" s="247">
        <v>0</v>
      </c>
      <c r="G176" s="247">
        <v>0</v>
      </c>
      <c r="H176" s="425" t="e">
        <f t="shared" si="46"/>
        <v>#DIV/0!</v>
      </c>
      <c r="I176" s="247">
        <v>107421</v>
      </c>
      <c r="J176" s="247">
        <v>80254</v>
      </c>
      <c r="K176" s="425">
        <f t="shared" si="47"/>
        <v>133.85127221073091</v>
      </c>
      <c r="L176" s="247">
        <v>65142</v>
      </c>
      <c r="M176" s="247">
        <v>590029</v>
      </c>
      <c r="N176" s="425">
        <f t="shared" si="48"/>
        <v>11.040474281772591</v>
      </c>
      <c r="O176" s="126">
        <v>11</v>
      </c>
      <c r="P176" s="576">
        <v>80</v>
      </c>
    </row>
    <row r="177" spans="1:16" ht="34.5" x14ac:dyDescent="0.25">
      <c r="A177" s="7">
        <v>18</v>
      </c>
      <c r="B177" s="545" t="s">
        <v>239</v>
      </c>
      <c r="C177" s="247">
        <v>2429918</v>
      </c>
      <c r="D177" s="247">
        <v>1224885</v>
      </c>
      <c r="E177" s="425">
        <f t="shared" si="45"/>
        <v>198.37927642186816</v>
      </c>
      <c r="F177" s="247">
        <v>356779</v>
      </c>
      <c r="G177" s="247">
        <v>243270</v>
      </c>
      <c r="H177" s="425">
        <f t="shared" si="46"/>
        <v>146.65967854647099</v>
      </c>
      <c r="I177" s="247">
        <v>2274675</v>
      </c>
      <c r="J177" s="247">
        <v>1263519</v>
      </c>
      <c r="K177" s="425">
        <f t="shared" si="47"/>
        <v>180.02697228929679</v>
      </c>
      <c r="L177" s="247">
        <v>213272</v>
      </c>
      <c r="M177" s="247">
        <v>255622</v>
      </c>
      <c r="N177" s="425">
        <f t="shared" si="48"/>
        <v>83.432568401780742</v>
      </c>
      <c r="O177" s="126">
        <v>321</v>
      </c>
      <c r="P177" s="127"/>
    </row>
    <row r="178" spans="1:16" ht="17.25" x14ac:dyDescent="0.25">
      <c r="A178" s="7">
        <v>19</v>
      </c>
      <c r="B178" s="545" t="s">
        <v>751</v>
      </c>
      <c r="C178" s="247"/>
      <c r="D178" s="247"/>
      <c r="E178" s="425" t="e">
        <f t="shared" si="45"/>
        <v>#DIV/0!</v>
      </c>
      <c r="F178" s="247"/>
      <c r="G178" s="247"/>
      <c r="H178" s="425" t="e">
        <f t="shared" si="46"/>
        <v>#DIV/0!</v>
      </c>
      <c r="I178" s="247"/>
      <c r="J178" s="247"/>
      <c r="K178" s="425" t="e">
        <f t="shared" si="47"/>
        <v>#DIV/0!</v>
      </c>
      <c r="L178" s="247"/>
      <c r="M178" s="247"/>
      <c r="N178" s="425" t="e">
        <f t="shared" si="48"/>
        <v>#DIV/0!</v>
      </c>
      <c r="O178" s="126">
        <v>7</v>
      </c>
      <c r="P178" s="127">
        <v>87</v>
      </c>
    </row>
    <row r="179" spans="1:16" ht="34.5" x14ac:dyDescent="0.25">
      <c r="A179" s="7">
        <v>20</v>
      </c>
      <c r="B179" s="548" t="s">
        <v>548</v>
      </c>
      <c r="C179" s="247"/>
      <c r="D179" s="247"/>
      <c r="E179" s="425" t="e">
        <f t="shared" si="45"/>
        <v>#DIV/0!</v>
      </c>
      <c r="F179" s="247"/>
      <c r="G179" s="247"/>
      <c r="H179" s="425" t="e">
        <f t="shared" si="46"/>
        <v>#DIV/0!</v>
      </c>
      <c r="I179" s="247"/>
      <c r="J179" s="247"/>
      <c r="K179" s="425" t="e">
        <f t="shared" si="47"/>
        <v>#DIV/0!</v>
      </c>
      <c r="L179" s="247"/>
      <c r="M179" s="247"/>
      <c r="N179" s="425" t="e">
        <f t="shared" si="48"/>
        <v>#DIV/0!</v>
      </c>
      <c r="P179" s="127"/>
    </row>
    <row r="180" spans="1:16" ht="34.5" x14ac:dyDescent="0.25">
      <c r="A180" s="7">
        <v>21</v>
      </c>
      <c r="B180" s="548" t="s">
        <v>552</v>
      </c>
      <c r="C180" s="247"/>
      <c r="D180" s="247"/>
      <c r="E180" s="425" t="e">
        <f t="shared" si="45"/>
        <v>#DIV/0!</v>
      </c>
      <c r="F180" s="247"/>
      <c r="G180" s="247"/>
      <c r="H180" s="425" t="e">
        <f t="shared" si="46"/>
        <v>#DIV/0!</v>
      </c>
      <c r="I180" s="247"/>
      <c r="J180" s="247"/>
      <c r="K180" s="425" t="e">
        <f t="shared" si="47"/>
        <v>#DIV/0!</v>
      </c>
      <c r="L180" s="247"/>
      <c r="M180" s="247"/>
      <c r="N180" s="425" t="e">
        <f t="shared" si="48"/>
        <v>#DIV/0!</v>
      </c>
      <c r="P180" s="127"/>
    </row>
    <row r="181" spans="1:16" ht="17.25" x14ac:dyDescent="0.25">
      <c r="A181" s="7">
        <v>22</v>
      </c>
      <c r="B181" s="548" t="s">
        <v>562</v>
      </c>
      <c r="C181" s="247">
        <v>150678</v>
      </c>
      <c r="D181" s="247">
        <v>139463</v>
      </c>
      <c r="E181" s="425">
        <f t="shared" si="45"/>
        <v>108.04155941002274</v>
      </c>
      <c r="F181" s="247">
        <v>25657</v>
      </c>
      <c r="G181" s="247">
        <v>7885</v>
      </c>
      <c r="H181" s="425">
        <f t="shared" si="46"/>
        <v>325.38998097653774</v>
      </c>
      <c r="I181" s="247">
        <v>150678</v>
      </c>
      <c r="J181" s="247">
        <v>139463</v>
      </c>
      <c r="K181" s="425">
        <f t="shared" si="47"/>
        <v>108.04155941002274</v>
      </c>
      <c r="L181" s="247">
        <v>117480</v>
      </c>
      <c r="M181" s="247">
        <v>108390</v>
      </c>
      <c r="N181" s="425">
        <f t="shared" si="48"/>
        <v>108.38638250761142</v>
      </c>
      <c r="O181" s="126">
        <v>13</v>
      </c>
      <c r="P181" s="127">
        <v>88</v>
      </c>
    </row>
    <row r="182" spans="1:16" ht="17.25" x14ac:dyDescent="0.25">
      <c r="A182" s="7">
        <v>23</v>
      </c>
      <c r="B182" s="548" t="s">
        <v>757</v>
      </c>
      <c r="C182" s="247"/>
      <c r="D182" s="247"/>
      <c r="E182" s="425" t="e">
        <f t="shared" si="45"/>
        <v>#DIV/0!</v>
      </c>
      <c r="F182" s="247"/>
      <c r="G182" s="247"/>
      <c r="H182" s="425" t="e">
        <f t="shared" si="46"/>
        <v>#DIV/0!</v>
      </c>
      <c r="I182" s="247"/>
      <c r="J182" s="247"/>
      <c r="K182" s="425" t="e">
        <f t="shared" si="47"/>
        <v>#DIV/0!</v>
      </c>
      <c r="L182" s="247"/>
      <c r="M182" s="247"/>
      <c r="N182" s="425" t="e">
        <f t="shared" si="48"/>
        <v>#DIV/0!</v>
      </c>
      <c r="O182" s="126">
        <v>25</v>
      </c>
      <c r="P182" s="127">
        <v>123</v>
      </c>
    </row>
    <row r="183" spans="1:16" ht="34.5" x14ac:dyDescent="0.25">
      <c r="A183" s="7">
        <v>24</v>
      </c>
      <c r="B183" s="548" t="s">
        <v>564</v>
      </c>
      <c r="C183" s="247"/>
      <c r="D183" s="247"/>
      <c r="E183" s="425" t="e">
        <f t="shared" si="45"/>
        <v>#DIV/0!</v>
      </c>
      <c r="F183" s="247"/>
      <c r="G183" s="247"/>
      <c r="H183" s="425" t="e">
        <f t="shared" si="46"/>
        <v>#DIV/0!</v>
      </c>
      <c r="I183" s="247"/>
      <c r="J183" s="247"/>
      <c r="K183" s="425" t="e">
        <f t="shared" si="47"/>
        <v>#DIV/0!</v>
      </c>
      <c r="L183" s="247"/>
      <c r="M183" s="247"/>
      <c r="N183" s="425" t="e">
        <f t="shared" si="48"/>
        <v>#DIV/0!</v>
      </c>
      <c r="O183" s="126">
        <v>54</v>
      </c>
      <c r="P183" s="127">
        <v>120</v>
      </c>
    </row>
    <row r="184" spans="1:16" ht="34.5" x14ac:dyDescent="0.25">
      <c r="A184" s="7">
        <v>25</v>
      </c>
      <c r="B184" s="548" t="s">
        <v>753</v>
      </c>
      <c r="C184" s="247"/>
      <c r="D184" s="247"/>
      <c r="E184" s="425" t="e">
        <f t="shared" si="45"/>
        <v>#DIV/0!</v>
      </c>
      <c r="F184" s="247"/>
      <c r="G184" s="247"/>
      <c r="H184" s="425" t="e">
        <f t="shared" si="46"/>
        <v>#DIV/0!</v>
      </c>
      <c r="I184" s="247"/>
      <c r="J184" s="247"/>
      <c r="K184" s="425" t="e">
        <f t="shared" si="47"/>
        <v>#DIV/0!</v>
      </c>
      <c r="L184" s="247"/>
      <c r="M184" s="247"/>
      <c r="N184" s="425" t="e">
        <f t="shared" si="48"/>
        <v>#DIV/0!</v>
      </c>
      <c r="O184" s="126">
        <v>8</v>
      </c>
      <c r="P184" s="127">
        <v>150</v>
      </c>
    </row>
    <row r="185" spans="1:16" ht="17.25" x14ac:dyDescent="0.25">
      <c r="A185" s="7">
        <v>26</v>
      </c>
      <c r="B185" s="548" t="s">
        <v>754</v>
      </c>
      <c r="C185" s="247">
        <v>116398</v>
      </c>
      <c r="D185" s="247">
        <v>143385</v>
      </c>
      <c r="E185" s="425">
        <f t="shared" si="45"/>
        <v>81.178644907068389</v>
      </c>
      <c r="F185" s="247">
        <v>10543</v>
      </c>
      <c r="G185" s="247">
        <v>21231</v>
      </c>
      <c r="H185" s="425">
        <f t="shared" si="46"/>
        <v>49.658518204512269</v>
      </c>
      <c r="I185" s="247">
        <v>116398</v>
      </c>
      <c r="J185" s="247">
        <v>143385</v>
      </c>
      <c r="K185" s="425">
        <f t="shared" si="47"/>
        <v>81.178644907068389</v>
      </c>
      <c r="L185" s="247">
        <v>0</v>
      </c>
      <c r="M185" s="247">
        <v>0</v>
      </c>
      <c r="N185" s="425" t="e">
        <f t="shared" si="48"/>
        <v>#DIV/0!</v>
      </c>
      <c r="O185" s="126">
        <v>31</v>
      </c>
      <c r="P185" s="127">
        <v>120</v>
      </c>
    </row>
    <row r="186" spans="1:16" ht="17.25" x14ac:dyDescent="0.25">
      <c r="A186" s="7">
        <v>27</v>
      </c>
      <c r="B186" s="548" t="s">
        <v>686</v>
      </c>
      <c r="C186" s="247"/>
      <c r="D186" s="247"/>
      <c r="E186" s="425" t="e">
        <f t="shared" si="45"/>
        <v>#DIV/0!</v>
      </c>
      <c r="F186" s="247"/>
      <c r="G186" s="247"/>
      <c r="H186" s="425" t="e">
        <f t="shared" si="46"/>
        <v>#DIV/0!</v>
      </c>
      <c r="I186" s="247"/>
      <c r="J186" s="247"/>
      <c r="K186" s="425" t="e">
        <f t="shared" si="47"/>
        <v>#DIV/0!</v>
      </c>
      <c r="L186" s="247"/>
      <c r="M186" s="247"/>
      <c r="N186" s="425" t="e">
        <f t="shared" si="48"/>
        <v>#DIV/0!</v>
      </c>
      <c r="O186" s="126">
        <v>157</v>
      </c>
      <c r="P186" s="127">
        <v>111</v>
      </c>
    </row>
    <row r="188" spans="1:16" x14ac:dyDescent="0.25">
      <c r="A188" s="1033" t="s">
        <v>364</v>
      </c>
      <c r="B188" s="1034" t="s">
        <v>155</v>
      </c>
      <c r="C188" s="254">
        <f>SUM(C189:C192)</f>
        <v>44756645</v>
      </c>
      <c r="D188" s="254">
        <f>SUM(D189:D192)</f>
        <v>26580784</v>
      </c>
      <c r="E188" s="451">
        <f t="shared" ref="E188:E192" si="49">C188/D188*100</f>
        <v>168.37970241961258</v>
      </c>
      <c r="F188" s="254">
        <f>SUM(F189:F192)</f>
        <v>6312283</v>
      </c>
      <c r="G188" s="254">
        <f>SUM(G189:G192)</f>
        <v>4280195</v>
      </c>
      <c r="H188" s="451">
        <f t="shared" ref="H188:H192" si="50">F188/G188*100</f>
        <v>147.47652852264906</v>
      </c>
      <c r="I188" s="254">
        <f>SUM(I189:I192)</f>
        <v>46074411</v>
      </c>
      <c r="J188" s="254">
        <f>SUM(J189:J192)</f>
        <v>28858473</v>
      </c>
      <c r="K188" s="451">
        <f t="shared" ref="K188:K192" si="51">I188/J188*100</f>
        <v>159.65644128156055</v>
      </c>
      <c r="L188" s="254">
        <f>SUM(L189:L192)</f>
        <v>33132875</v>
      </c>
      <c r="M188" s="254">
        <f>SUM(M189:M192)</f>
        <v>20825683</v>
      </c>
      <c r="N188" s="451">
        <f t="shared" ref="N188:N192" si="52">L188/M188*100</f>
        <v>159.0962226785071</v>
      </c>
    </row>
    <row r="189" spans="1:16" ht="17.25" x14ac:dyDescent="0.25">
      <c r="A189" s="272">
        <v>1</v>
      </c>
      <c r="B189" s="577" t="s">
        <v>687</v>
      </c>
      <c r="C189" s="282">
        <v>21699608</v>
      </c>
      <c r="D189" s="282">
        <v>9019930</v>
      </c>
      <c r="E189" s="425">
        <f t="shared" si="49"/>
        <v>240.5740177584527</v>
      </c>
      <c r="F189" s="282">
        <v>3121179</v>
      </c>
      <c r="G189" s="282">
        <v>1503981</v>
      </c>
      <c r="H189" s="425">
        <f t="shared" si="50"/>
        <v>207.52782116263435</v>
      </c>
      <c r="I189" s="282">
        <v>18131185</v>
      </c>
      <c r="J189" s="282">
        <v>8241651</v>
      </c>
      <c r="K189" s="425">
        <f t="shared" si="51"/>
        <v>219.99457390272897</v>
      </c>
      <c r="L189" s="282">
        <v>9147371</v>
      </c>
      <c r="M189" s="282">
        <v>3047801</v>
      </c>
      <c r="N189" s="425">
        <f t="shared" si="52"/>
        <v>300.13019222711722</v>
      </c>
      <c r="O189" s="126">
        <v>845</v>
      </c>
    </row>
    <row r="190" spans="1:16" ht="17.25" x14ac:dyDescent="0.25">
      <c r="A190" s="272">
        <v>2</v>
      </c>
      <c r="B190" s="577" t="s">
        <v>299</v>
      </c>
      <c r="C190" s="282">
        <v>731</v>
      </c>
      <c r="D190" s="282">
        <v>499906</v>
      </c>
      <c r="E190" s="425">
        <f t="shared" si="49"/>
        <v>0.14622749076826444</v>
      </c>
      <c r="F190" s="282">
        <v>0</v>
      </c>
      <c r="G190" s="282">
        <v>336069</v>
      </c>
      <c r="H190" s="425">
        <f t="shared" si="50"/>
        <v>0</v>
      </c>
      <c r="I190" s="282">
        <v>1059212</v>
      </c>
      <c r="J190" s="282">
        <v>713260</v>
      </c>
      <c r="K190" s="425">
        <f t="shared" si="51"/>
        <v>148.50293020777835</v>
      </c>
      <c r="L190" s="282">
        <v>0</v>
      </c>
      <c r="M190" s="282">
        <v>0</v>
      </c>
      <c r="N190" s="425" t="e">
        <f t="shared" si="52"/>
        <v>#DIV/0!</v>
      </c>
      <c r="O190" s="126">
        <v>199</v>
      </c>
    </row>
    <row r="191" spans="1:16" ht="17.25" x14ac:dyDescent="0.25">
      <c r="A191" s="272">
        <v>3</v>
      </c>
      <c r="B191" s="577" t="s">
        <v>244</v>
      </c>
      <c r="C191" s="282">
        <v>237722</v>
      </c>
      <c r="D191" s="282">
        <v>107178</v>
      </c>
      <c r="E191" s="425">
        <f t="shared" si="49"/>
        <v>221.80111590065127</v>
      </c>
      <c r="F191" s="282">
        <v>35813</v>
      </c>
      <c r="G191" s="282">
        <v>11400</v>
      </c>
      <c r="H191" s="425">
        <f t="shared" si="50"/>
        <v>314.14912280701753</v>
      </c>
      <c r="I191" s="282">
        <v>245565</v>
      </c>
      <c r="J191" s="282">
        <v>104744</v>
      </c>
      <c r="K191" s="425">
        <f t="shared" si="51"/>
        <v>234.44302298938365</v>
      </c>
      <c r="L191" s="282">
        <v>237451</v>
      </c>
      <c r="M191" s="282">
        <v>104744</v>
      </c>
      <c r="N191" s="425">
        <f t="shared" si="52"/>
        <v>226.69651722294356</v>
      </c>
      <c r="O191" s="126">
        <v>110</v>
      </c>
      <c r="P191" s="126">
        <v>184</v>
      </c>
    </row>
    <row r="192" spans="1:16" ht="34.5" x14ac:dyDescent="0.25">
      <c r="A192" s="272">
        <v>4</v>
      </c>
      <c r="B192" s="578" t="s">
        <v>688</v>
      </c>
      <c r="C192" s="282">
        <v>22818584</v>
      </c>
      <c r="D192" s="282">
        <v>16953770</v>
      </c>
      <c r="E192" s="425">
        <f t="shared" si="49"/>
        <v>134.59297843488497</v>
      </c>
      <c r="F192" s="282">
        <v>3155291</v>
      </c>
      <c r="G192" s="282">
        <v>2428745</v>
      </c>
      <c r="H192" s="425">
        <f t="shared" si="50"/>
        <v>129.9144619958044</v>
      </c>
      <c r="I192" s="282">
        <v>26638449</v>
      </c>
      <c r="J192" s="282">
        <v>19798818</v>
      </c>
      <c r="K192" s="425">
        <f t="shared" si="51"/>
        <v>134.54565317990193</v>
      </c>
      <c r="L192" s="282">
        <v>23748053</v>
      </c>
      <c r="M192" s="282">
        <v>17673138</v>
      </c>
      <c r="N192" s="425">
        <f t="shared" si="52"/>
        <v>134.37372016220323</v>
      </c>
      <c r="O192" s="126">
        <v>1146</v>
      </c>
      <c r="P192" s="126">
        <v>163</v>
      </c>
    </row>
    <row r="193" spans="1:16" x14ac:dyDescent="0.25">
      <c r="A193" s="579"/>
      <c r="B193" s="579"/>
      <c r="C193" s="579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</row>
    <row r="194" spans="1:16" x14ac:dyDescent="0.25">
      <c r="A194" s="1033" t="s">
        <v>363</v>
      </c>
      <c r="B194" s="1034" t="s">
        <v>119</v>
      </c>
      <c r="C194" s="254">
        <f>SUM(C195:C234)</f>
        <v>74875160</v>
      </c>
      <c r="D194" s="254">
        <f>SUM(D195:D234)</f>
        <v>66087795</v>
      </c>
      <c r="E194" s="451">
        <f>C194/D194*100</f>
        <v>113.29650202431478</v>
      </c>
      <c r="F194" s="254">
        <f>SUM(F195:F234)</f>
        <v>5723254</v>
      </c>
      <c r="G194" s="254">
        <f>SUM(G195:G234)</f>
        <v>8240970</v>
      </c>
      <c r="H194" s="451">
        <f>F194/G194*100</f>
        <v>69.448790615667804</v>
      </c>
      <c r="I194" s="254">
        <f>SUM(I195:I234)</f>
        <v>69435416</v>
      </c>
      <c r="J194" s="254">
        <f>SUM(J195:J234)</f>
        <v>58673227</v>
      </c>
      <c r="K194" s="451">
        <f>I194/J194*100</f>
        <v>118.34258920171546</v>
      </c>
      <c r="L194" s="254">
        <f>SUM(L195:L234)</f>
        <v>7540761</v>
      </c>
      <c r="M194" s="254">
        <f>SUM(M195:M234)</f>
        <v>8884126</v>
      </c>
      <c r="N194" s="451">
        <f>L194/M194*100</f>
        <v>84.879041562445195</v>
      </c>
    </row>
    <row r="195" spans="1:16" ht="17.25" x14ac:dyDescent="0.25">
      <c r="A195" s="53">
        <v>1</v>
      </c>
      <c r="B195" s="545" t="s">
        <v>689</v>
      </c>
      <c r="C195" s="247">
        <v>69938</v>
      </c>
      <c r="D195" s="247">
        <v>78241</v>
      </c>
      <c r="E195" s="425">
        <f t="shared" ref="E195:E234" si="53">C195/D195*100</f>
        <v>89.387916821104028</v>
      </c>
      <c r="F195" s="247">
        <v>13262</v>
      </c>
      <c r="G195" s="247">
        <v>6855</v>
      </c>
      <c r="H195" s="425">
        <f t="shared" ref="H195:H234" si="54">F195/G195*100</f>
        <v>193.46462436177973</v>
      </c>
      <c r="I195" s="247">
        <v>105274</v>
      </c>
      <c r="J195" s="247">
        <v>73532</v>
      </c>
      <c r="K195" s="425">
        <f t="shared" ref="K195:K234" si="55">I195/J195*100</f>
        <v>143.16760050046238</v>
      </c>
      <c r="L195" s="247">
        <v>103879</v>
      </c>
      <c r="M195" s="247">
        <v>69241</v>
      </c>
      <c r="N195" s="425">
        <f t="shared" ref="N195:N234" si="56">L195/M195*100</f>
        <v>150.02527404283589</v>
      </c>
      <c r="O195" s="126">
        <v>52</v>
      </c>
      <c r="P195" s="126">
        <v>109</v>
      </c>
    </row>
    <row r="196" spans="1:16" ht="34.5" x14ac:dyDescent="0.25">
      <c r="A196" s="53">
        <v>2</v>
      </c>
      <c r="B196" s="545" t="s">
        <v>690</v>
      </c>
      <c r="C196" s="247">
        <v>1222323</v>
      </c>
      <c r="D196" s="247">
        <v>1055828</v>
      </c>
      <c r="E196" s="425">
        <f t="shared" si="53"/>
        <v>115.7691404281758</v>
      </c>
      <c r="F196" s="247">
        <v>203774</v>
      </c>
      <c r="G196" s="247">
        <v>106061</v>
      </c>
      <c r="H196" s="425">
        <f t="shared" si="54"/>
        <v>192.12905780635671</v>
      </c>
      <c r="I196" s="247">
        <v>1260454</v>
      </c>
      <c r="J196" s="247">
        <v>973861</v>
      </c>
      <c r="K196" s="425">
        <f t="shared" si="55"/>
        <v>129.42853240862914</v>
      </c>
      <c r="L196" s="247">
        <v>649807</v>
      </c>
      <c r="M196" s="247">
        <v>446211</v>
      </c>
      <c r="N196" s="425">
        <f t="shared" si="56"/>
        <v>145.62774113592002</v>
      </c>
      <c r="O196" s="126">
        <v>113</v>
      </c>
      <c r="P196" s="126">
        <v>71</v>
      </c>
    </row>
    <row r="197" spans="1:16" ht="17.25" x14ac:dyDescent="0.25">
      <c r="A197" s="53">
        <v>3</v>
      </c>
      <c r="B197" s="545" t="s">
        <v>692</v>
      </c>
      <c r="C197" s="247">
        <v>382783</v>
      </c>
      <c r="D197" s="247">
        <v>290722</v>
      </c>
      <c r="E197" s="425">
        <f t="shared" si="53"/>
        <v>131.66633416115738</v>
      </c>
      <c r="F197" s="247">
        <v>95965</v>
      </c>
      <c r="G197" s="247">
        <v>76335</v>
      </c>
      <c r="H197" s="425">
        <f t="shared" si="54"/>
        <v>125.71559572935089</v>
      </c>
      <c r="I197" s="247">
        <v>565315</v>
      </c>
      <c r="J197" s="247">
        <v>406568</v>
      </c>
      <c r="K197" s="425">
        <f t="shared" si="55"/>
        <v>139.04562090474411</v>
      </c>
      <c r="L197" s="247">
        <v>465206</v>
      </c>
      <c r="M197" s="247">
        <v>330942</v>
      </c>
      <c r="N197" s="425">
        <f t="shared" si="56"/>
        <v>140.57025098053435</v>
      </c>
      <c r="O197" s="126">
        <v>190</v>
      </c>
      <c r="P197" s="126">
        <v>104</v>
      </c>
    </row>
    <row r="198" spans="1:16" ht="17.25" x14ac:dyDescent="0.25">
      <c r="A198" s="53">
        <v>4</v>
      </c>
      <c r="B198" s="545" t="s">
        <v>691</v>
      </c>
      <c r="C198" s="247">
        <v>2058975</v>
      </c>
      <c r="D198" s="247">
        <v>2359057</v>
      </c>
      <c r="E198" s="425">
        <f t="shared" si="53"/>
        <v>87.279578238253677</v>
      </c>
      <c r="F198" s="247">
        <v>343712</v>
      </c>
      <c r="G198" s="247">
        <v>241465</v>
      </c>
      <c r="H198" s="425">
        <f t="shared" si="54"/>
        <v>142.34443915267224</v>
      </c>
      <c r="I198" s="247">
        <v>2074208</v>
      </c>
      <c r="J198" s="247">
        <v>2290305</v>
      </c>
      <c r="K198" s="425">
        <f t="shared" si="55"/>
        <v>90.564706447394556</v>
      </c>
      <c r="L198" s="247">
        <v>1499013</v>
      </c>
      <c r="M198" s="247">
        <v>1149275</v>
      </c>
      <c r="N198" s="425">
        <f t="shared" si="56"/>
        <v>130.43118487742271</v>
      </c>
      <c r="O198" s="126">
        <v>270</v>
      </c>
      <c r="P198" s="126">
        <v>230</v>
      </c>
    </row>
    <row r="199" spans="1:16" ht="17.25" x14ac:dyDescent="0.25">
      <c r="A199" s="53">
        <v>5</v>
      </c>
      <c r="B199" s="545" t="s">
        <v>693</v>
      </c>
      <c r="C199" s="247">
        <v>35866314</v>
      </c>
      <c r="D199" s="247">
        <v>33048160</v>
      </c>
      <c r="E199" s="425">
        <f t="shared" si="53"/>
        <v>108.52741574720044</v>
      </c>
      <c r="F199" s="247">
        <v>611649</v>
      </c>
      <c r="G199" s="247">
        <v>3449064</v>
      </c>
      <c r="H199" s="425">
        <f t="shared" si="54"/>
        <v>17.733767770038479</v>
      </c>
      <c r="I199" s="247">
        <v>32773961</v>
      </c>
      <c r="J199" s="247">
        <v>26245303</v>
      </c>
      <c r="K199" s="425">
        <f t="shared" si="55"/>
        <v>124.8755291565885</v>
      </c>
      <c r="L199" s="247">
        <v>300795</v>
      </c>
      <c r="M199" s="247">
        <v>1868676</v>
      </c>
      <c r="N199" s="425">
        <f t="shared" si="56"/>
        <v>16.096690919132048</v>
      </c>
      <c r="O199" s="126">
        <v>597</v>
      </c>
      <c r="P199" s="126">
        <v>150</v>
      </c>
    </row>
    <row r="200" spans="1:16" ht="17.25" x14ac:dyDescent="0.25">
      <c r="A200" s="53">
        <v>6</v>
      </c>
      <c r="B200" s="545" t="s">
        <v>694</v>
      </c>
      <c r="C200" s="247">
        <v>5155734</v>
      </c>
      <c r="D200" s="247">
        <v>4072003</v>
      </c>
      <c r="E200" s="425">
        <f t="shared" si="53"/>
        <v>126.61419944926367</v>
      </c>
      <c r="F200" s="247">
        <v>644414</v>
      </c>
      <c r="G200" s="247">
        <v>685950</v>
      </c>
      <c r="H200" s="425">
        <f t="shared" si="54"/>
        <v>93.944748159486849</v>
      </c>
      <c r="I200" s="247">
        <v>2937805</v>
      </c>
      <c r="J200" s="247">
        <v>3692195</v>
      </c>
      <c r="K200" s="425">
        <f t="shared" si="55"/>
        <v>79.56798056440681</v>
      </c>
      <c r="L200" s="247">
        <v>456162</v>
      </c>
      <c r="M200" s="247">
        <v>915718</v>
      </c>
      <c r="N200" s="425">
        <f t="shared" si="56"/>
        <v>49.814680938891669</v>
      </c>
      <c r="O200" s="126">
        <v>491</v>
      </c>
      <c r="P200" s="126">
        <v>143</v>
      </c>
    </row>
    <row r="201" spans="1:16" ht="17.25" x14ac:dyDescent="0.25">
      <c r="A201" s="53">
        <v>7</v>
      </c>
      <c r="B201" s="545" t="s">
        <v>695</v>
      </c>
      <c r="C201" s="247">
        <v>1298775</v>
      </c>
      <c r="D201" s="247">
        <v>1460119</v>
      </c>
      <c r="E201" s="425">
        <f t="shared" si="53"/>
        <v>88.94994175132301</v>
      </c>
      <c r="F201" s="247">
        <v>161396</v>
      </c>
      <c r="G201" s="247">
        <v>160585</v>
      </c>
      <c r="H201" s="425">
        <f t="shared" si="54"/>
        <v>100.50502848958496</v>
      </c>
      <c r="I201" s="247">
        <v>1268339</v>
      </c>
      <c r="J201" s="247">
        <v>1318793</v>
      </c>
      <c r="K201" s="425">
        <f t="shared" si="55"/>
        <v>96.174229010921351</v>
      </c>
      <c r="L201" s="247">
        <v>163774</v>
      </c>
      <c r="M201" s="247">
        <v>53709</v>
      </c>
      <c r="N201" s="425">
        <f t="shared" si="56"/>
        <v>304.92841050848091</v>
      </c>
      <c r="O201" s="126">
        <v>165</v>
      </c>
      <c r="P201" s="126">
        <v>105</v>
      </c>
    </row>
    <row r="202" spans="1:16" ht="17.25" x14ac:dyDescent="0.25">
      <c r="A202" s="53">
        <v>8</v>
      </c>
      <c r="B202" s="545" t="s">
        <v>696</v>
      </c>
      <c r="C202" s="247">
        <v>170746</v>
      </c>
      <c r="D202" s="247">
        <v>305358</v>
      </c>
      <c r="E202" s="425">
        <f t="shared" si="53"/>
        <v>55.916661754399755</v>
      </c>
      <c r="F202" s="247">
        <v>22555</v>
      </c>
      <c r="G202" s="247">
        <v>43181</v>
      </c>
      <c r="H202" s="425">
        <f t="shared" si="54"/>
        <v>52.233621268613504</v>
      </c>
      <c r="I202" s="247">
        <v>231881</v>
      </c>
      <c r="J202" s="247">
        <v>446148</v>
      </c>
      <c r="K202" s="425">
        <f t="shared" si="55"/>
        <v>51.974008624940602</v>
      </c>
      <c r="L202" s="247">
        <v>152234</v>
      </c>
      <c r="M202" s="247">
        <v>388011</v>
      </c>
      <c r="N202" s="425">
        <f t="shared" si="56"/>
        <v>39.234454693294779</v>
      </c>
      <c r="O202" s="126">
        <v>42</v>
      </c>
      <c r="P202" s="126">
        <v>80</v>
      </c>
    </row>
    <row r="203" spans="1:16" ht="17.25" x14ac:dyDescent="0.25">
      <c r="A203" s="53">
        <v>9</v>
      </c>
      <c r="B203" s="545" t="s">
        <v>697</v>
      </c>
      <c r="C203" s="247">
        <v>2196938</v>
      </c>
      <c r="D203" s="247">
        <v>1324785</v>
      </c>
      <c r="E203" s="425">
        <f t="shared" si="53"/>
        <v>165.8335503496794</v>
      </c>
      <c r="F203" s="247">
        <v>354569</v>
      </c>
      <c r="G203" s="247">
        <v>200523</v>
      </c>
      <c r="H203" s="425">
        <f t="shared" si="54"/>
        <v>176.82211018187439</v>
      </c>
      <c r="I203" s="247">
        <v>2190726</v>
      </c>
      <c r="J203" s="247">
        <v>1321432</v>
      </c>
      <c r="K203" s="425">
        <f t="shared" si="55"/>
        <v>165.78424012737696</v>
      </c>
      <c r="L203" s="247">
        <v>41987</v>
      </c>
      <c r="M203" s="247">
        <v>0</v>
      </c>
      <c r="N203" s="425" t="e">
        <f t="shared" si="56"/>
        <v>#DIV/0!</v>
      </c>
      <c r="O203" s="126">
        <v>153</v>
      </c>
      <c r="P203" s="126">
        <v>110</v>
      </c>
    </row>
    <row r="204" spans="1:16" ht="17.25" x14ac:dyDescent="0.25">
      <c r="A204" s="53">
        <v>10</v>
      </c>
      <c r="B204" s="545" t="s">
        <v>227</v>
      </c>
      <c r="C204" s="247">
        <v>794823</v>
      </c>
      <c r="D204" s="247">
        <v>727367</v>
      </c>
      <c r="E204" s="425">
        <f t="shared" si="53"/>
        <v>109.27399785802766</v>
      </c>
      <c r="F204" s="247">
        <v>139940</v>
      </c>
      <c r="G204" s="247">
        <v>73344</v>
      </c>
      <c r="H204" s="425">
        <f t="shared" si="54"/>
        <v>190.79952006980804</v>
      </c>
      <c r="I204" s="247">
        <v>794823</v>
      </c>
      <c r="J204" s="247">
        <v>727367</v>
      </c>
      <c r="K204" s="425">
        <f t="shared" si="55"/>
        <v>109.27399785802766</v>
      </c>
      <c r="L204" s="247">
        <v>489662</v>
      </c>
      <c r="M204" s="247">
        <v>608002</v>
      </c>
      <c r="N204" s="425">
        <f t="shared" si="56"/>
        <v>80.536248236025543</v>
      </c>
      <c r="O204" s="126">
        <v>123</v>
      </c>
      <c r="P204" s="126">
        <v>85</v>
      </c>
    </row>
    <row r="205" spans="1:16" ht="17.25" x14ac:dyDescent="0.25">
      <c r="A205" s="53">
        <v>11</v>
      </c>
      <c r="B205" s="545" t="s">
        <v>235</v>
      </c>
      <c r="C205" s="247">
        <v>190441</v>
      </c>
      <c r="D205" s="247">
        <v>144453</v>
      </c>
      <c r="E205" s="425">
        <f t="shared" si="53"/>
        <v>131.83596048541739</v>
      </c>
      <c r="F205" s="247">
        <v>28381</v>
      </c>
      <c r="G205" s="247">
        <v>24412</v>
      </c>
      <c r="H205" s="425">
        <f t="shared" si="54"/>
        <v>116.2583975094216</v>
      </c>
      <c r="I205" s="247">
        <v>0</v>
      </c>
      <c r="J205" s="247">
        <v>0</v>
      </c>
      <c r="K205" s="425" t="e">
        <f t="shared" si="55"/>
        <v>#DIV/0!</v>
      </c>
      <c r="L205" s="247">
        <v>0</v>
      </c>
      <c r="M205" s="247">
        <v>0</v>
      </c>
      <c r="N205" s="425" t="e">
        <f t="shared" si="56"/>
        <v>#DIV/0!</v>
      </c>
      <c r="O205" s="126">
        <v>17</v>
      </c>
      <c r="P205" s="126">
        <v>80</v>
      </c>
    </row>
    <row r="206" spans="1:16" ht="17.25" x14ac:dyDescent="0.25">
      <c r="A206" s="53">
        <v>12</v>
      </c>
      <c r="B206" s="545" t="s">
        <v>698</v>
      </c>
      <c r="C206" s="247">
        <v>1649433</v>
      </c>
      <c r="D206" s="247">
        <v>1284628</v>
      </c>
      <c r="E206" s="425">
        <f t="shared" si="53"/>
        <v>128.39771513621062</v>
      </c>
      <c r="F206" s="247">
        <v>249439</v>
      </c>
      <c r="G206" s="247">
        <v>182978</v>
      </c>
      <c r="H206" s="425">
        <f t="shared" si="54"/>
        <v>136.32185290034869</v>
      </c>
      <c r="I206" s="247">
        <v>1649433</v>
      </c>
      <c r="J206" s="247">
        <v>1284628</v>
      </c>
      <c r="K206" s="425">
        <f t="shared" si="55"/>
        <v>128.39771513621062</v>
      </c>
      <c r="L206" s="247">
        <v>216188</v>
      </c>
      <c r="M206" s="247">
        <v>183558</v>
      </c>
      <c r="N206" s="425">
        <f t="shared" si="56"/>
        <v>117.77639765087875</v>
      </c>
      <c r="O206" s="126">
        <v>173</v>
      </c>
      <c r="P206" s="126">
        <v>115</v>
      </c>
    </row>
    <row r="207" spans="1:16" ht="17.25" x14ac:dyDescent="0.25">
      <c r="A207" s="53">
        <v>13</v>
      </c>
      <c r="B207" s="545" t="s">
        <v>699</v>
      </c>
      <c r="C207" s="247">
        <v>378074</v>
      </c>
      <c r="D207" s="247">
        <v>234917</v>
      </c>
      <c r="E207" s="425">
        <f t="shared" si="53"/>
        <v>160.93939561632408</v>
      </c>
      <c r="F207" s="247">
        <v>38654</v>
      </c>
      <c r="G207" s="247">
        <v>49751</v>
      </c>
      <c r="H207" s="425">
        <f t="shared" si="54"/>
        <v>77.694920705111457</v>
      </c>
      <c r="I207" s="247">
        <v>392535</v>
      </c>
      <c r="J207" s="247">
        <v>233620</v>
      </c>
      <c r="K207" s="425">
        <f t="shared" si="55"/>
        <v>168.02285763205205</v>
      </c>
      <c r="L207" s="247">
        <v>0</v>
      </c>
      <c r="M207" s="247">
        <v>0</v>
      </c>
      <c r="N207" s="425" t="e">
        <f t="shared" si="56"/>
        <v>#DIV/0!</v>
      </c>
      <c r="O207" s="126">
        <v>131</v>
      </c>
      <c r="P207" s="126">
        <v>115</v>
      </c>
    </row>
    <row r="208" spans="1:16" ht="17.25" x14ac:dyDescent="0.25">
      <c r="A208" s="53">
        <v>14</v>
      </c>
      <c r="B208" s="545" t="s">
        <v>700</v>
      </c>
      <c r="C208" s="247">
        <v>4731</v>
      </c>
      <c r="D208" s="247">
        <v>12407</v>
      </c>
      <c r="E208" s="425">
        <f t="shared" si="53"/>
        <v>38.131699846860641</v>
      </c>
      <c r="F208" s="247">
        <v>0</v>
      </c>
      <c r="G208" s="247">
        <v>0</v>
      </c>
      <c r="H208" s="425" t="e">
        <f t="shared" si="54"/>
        <v>#DIV/0!</v>
      </c>
      <c r="I208" s="247">
        <v>5200</v>
      </c>
      <c r="J208" s="247">
        <v>13500</v>
      </c>
      <c r="K208" s="425">
        <f t="shared" si="55"/>
        <v>38.518518518518519</v>
      </c>
      <c r="L208" s="247">
        <v>0</v>
      </c>
      <c r="M208" s="247">
        <v>0</v>
      </c>
      <c r="N208" s="425" t="e">
        <f t="shared" si="56"/>
        <v>#DIV/0!</v>
      </c>
      <c r="O208" s="126">
        <v>38</v>
      </c>
      <c r="P208" s="126">
        <v>80</v>
      </c>
    </row>
    <row r="209" spans="1:16" ht="34.5" x14ac:dyDescent="0.25">
      <c r="A209" s="53">
        <v>15</v>
      </c>
      <c r="B209" s="545" t="s">
        <v>701</v>
      </c>
      <c r="C209" s="247">
        <v>3055686</v>
      </c>
      <c r="D209" s="247">
        <v>2622510</v>
      </c>
      <c r="E209" s="425">
        <f t="shared" si="53"/>
        <v>116.51761099099718</v>
      </c>
      <c r="F209" s="247">
        <v>323183</v>
      </c>
      <c r="G209" s="247">
        <v>195428</v>
      </c>
      <c r="H209" s="425">
        <f t="shared" si="54"/>
        <v>165.3719016722271</v>
      </c>
      <c r="I209" s="247">
        <v>2240138</v>
      </c>
      <c r="J209" s="247">
        <v>1864577</v>
      </c>
      <c r="K209" s="425">
        <f t="shared" si="55"/>
        <v>120.14188740931588</v>
      </c>
      <c r="L209" s="247">
        <v>0</v>
      </c>
      <c r="M209" s="247">
        <v>0</v>
      </c>
      <c r="N209" s="425" t="e">
        <f t="shared" si="56"/>
        <v>#DIV/0!</v>
      </c>
      <c r="O209" s="126">
        <v>403</v>
      </c>
      <c r="P209" s="126">
        <v>100</v>
      </c>
    </row>
    <row r="210" spans="1:16" ht="17.25" x14ac:dyDescent="0.25">
      <c r="A210" s="53">
        <v>16</v>
      </c>
      <c r="B210" s="545" t="s">
        <v>702</v>
      </c>
      <c r="C210" s="247">
        <v>15687409</v>
      </c>
      <c r="D210" s="247">
        <v>12768417</v>
      </c>
      <c r="E210" s="425">
        <f t="shared" si="53"/>
        <v>122.86103281244651</v>
      </c>
      <c r="F210" s="247">
        <v>1857836</v>
      </c>
      <c r="G210" s="247">
        <v>1682923</v>
      </c>
      <c r="H210" s="425">
        <f t="shared" si="54"/>
        <v>110.39340480818196</v>
      </c>
      <c r="I210" s="247">
        <v>16239552</v>
      </c>
      <c r="J210" s="247">
        <v>13263140</v>
      </c>
      <c r="K210" s="425">
        <f t="shared" si="55"/>
        <v>122.44123186515409</v>
      </c>
      <c r="L210" s="247">
        <v>840858</v>
      </c>
      <c r="M210" s="247">
        <v>569732</v>
      </c>
      <c r="N210" s="425">
        <f t="shared" si="56"/>
        <v>147.58833978080924</v>
      </c>
      <c r="O210" s="126">
        <v>1732</v>
      </c>
      <c r="P210" s="126">
        <v>168</v>
      </c>
    </row>
    <row r="211" spans="1:16" ht="34.5" x14ac:dyDescent="0.25">
      <c r="A211" s="53">
        <v>17</v>
      </c>
      <c r="B211" s="545" t="s">
        <v>547</v>
      </c>
      <c r="C211" s="247"/>
      <c r="D211" s="247"/>
      <c r="E211" s="425" t="e">
        <f t="shared" si="53"/>
        <v>#DIV/0!</v>
      </c>
      <c r="F211" s="247"/>
      <c r="G211" s="247"/>
      <c r="H211" s="425" t="e">
        <f t="shared" si="54"/>
        <v>#DIV/0!</v>
      </c>
      <c r="I211" s="247"/>
      <c r="J211" s="247"/>
      <c r="K211" s="425" t="e">
        <f t="shared" si="55"/>
        <v>#DIV/0!</v>
      </c>
      <c r="L211" s="247"/>
      <c r="M211" s="247"/>
      <c r="N211" s="425" t="e">
        <f t="shared" si="56"/>
        <v>#DIV/0!</v>
      </c>
    </row>
    <row r="212" spans="1:16" ht="17.25" x14ac:dyDescent="0.25">
      <c r="A212" s="53">
        <v>18</v>
      </c>
      <c r="B212" s="545" t="s">
        <v>549</v>
      </c>
      <c r="C212" s="247">
        <v>119492</v>
      </c>
      <c r="D212" s="247">
        <v>140981</v>
      </c>
      <c r="E212" s="425">
        <f t="shared" si="53"/>
        <v>84.757520516949086</v>
      </c>
      <c r="F212" s="247">
        <v>46697</v>
      </c>
      <c r="G212" s="247">
        <v>63589</v>
      </c>
      <c r="H212" s="425">
        <f t="shared" si="54"/>
        <v>73.43565711050654</v>
      </c>
      <c r="I212" s="247">
        <v>135322</v>
      </c>
      <c r="J212" s="247">
        <v>252932</v>
      </c>
      <c r="K212" s="425">
        <f t="shared" si="55"/>
        <v>53.501336327550483</v>
      </c>
      <c r="L212" s="247">
        <v>58844</v>
      </c>
      <c r="M212" s="247">
        <v>176598</v>
      </c>
      <c r="N212" s="425">
        <f t="shared" si="56"/>
        <v>33.320875661106015</v>
      </c>
      <c r="O212" s="126">
        <v>121</v>
      </c>
      <c r="P212" s="126">
        <v>107</v>
      </c>
    </row>
    <row r="213" spans="1:16" ht="17.25" x14ac:dyDescent="0.25">
      <c r="A213" s="53">
        <v>19</v>
      </c>
      <c r="B213" s="545" t="s">
        <v>550</v>
      </c>
      <c r="C213" s="247">
        <v>10182</v>
      </c>
      <c r="D213" s="247">
        <v>15246</v>
      </c>
      <c r="E213" s="425">
        <f t="shared" si="53"/>
        <v>66.784730421094068</v>
      </c>
      <c r="F213" s="247">
        <v>1189</v>
      </c>
      <c r="G213" s="247">
        <v>3308</v>
      </c>
      <c r="H213" s="425">
        <f>F213/G213*100</f>
        <v>35.943168077388151</v>
      </c>
      <c r="I213" s="247">
        <v>14588</v>
      </c>
      <c r="J213" s="247">
        <v>14974</v>
      </c>
      <c r="K213" s="425">
        <f t="shared" si="55"/>
        <v>97.422198477360752</v>
      </c>
      <c r="L213" s="247">
        <v>0</v>
      </c>
      <c r="M213" s="247">
        <v>0</v>
      </c>
      <c r="N213" s="425" t="e">
        <f t="shared" si="56"/>
        <v>#DIV/0!</v>
      </c>
      <c r="O213" s="126">
        <v>6</v>
      </c>
      <c r="P213" s="126">
        <v>83</v>
      </c>
    </row>
    <row r="214" spans="1:16" ht="17.25" x14ac:dyDescent="0.25">
      <c r="A214" s="53">
        <v>20</v>
      </c>
      <c r="B214" s="545" t="s">
        <v>551</v>
      </c>
      <c r="C214" s="247">
        <v>999556</v>
      </c>
      <c r="D214" s="247">
        <v>664389</v>
      </c>
      <c r="E214" s="425">
        <f t="shared" si="53"/>
        <v>150.44740355424307</v>
      </c>
      <c r="F214" s="247">
        <v>131199</v>
      </c>
      <c r="G214" s="247">
        <v>90774</v>
      </c>
      <c r="H214" s="425">
        <f t="shared" si="54"/>
        <v>144.53367704408751</v>
      </c>
      <c r="I214" s="247">
        <v>952001</v>
      </c>
      <c r="J214" s="247">
        <v>645509</v>
      </c>
      <c r="K214" s="425">
        <f t="shared" si="55"/>
        <v>147.48067029274571</v>
      </c>
      <c r="L214" s="247">
        <v>14005</v>
      </c>
      <c r="M214" s="247">
        <v>6722</v>
      </c>
      <c r="N214" s="425">
        <f t="shared" si="56"/>
        <v>208.34573043736984</v>
      </c>
      <c r="O214" s="126">
        <v>296</v>
      </c>
      <c r="P214" s="126">
        <v>97</v>
      </c>
    </row>
    <row r="215" spans="1:16" ht="17.25" x14ac:dyDescent="0.25">
      <c r="A215" s="53">
        <v>21</v>
      </c>
      <c r="B215" s="545" t="s">
        <v>553</v>
      </c>
      <c r="C215" s="247"/>
      <c r="D215" s="247"/>
      <c r="E215" s="425" t="e">
        <f t="shared" si="53"/>
        <v>#DIV/0!</v>
      </c>
      <c r="F215" s="247"/>
      <c r="G215" s="247"/>
      <c r="H215" s="425" t="e">
        <f t="shared" si="54"/>
        <v>#DIV/0!</v>
      </c>
      <c r="I215" s="247"/>
      <c r="J215" s="247"/>
      <c r="K215" s="425" t="e">
        <f t="shared" si="55"/>
        <v>#DIV/0!</v>
      </c>
      <c r="L215" s="247"/>
      <c r="M215" s="247"/>
      <c r="N215" s="425" t="e">
        <f t="shared" si="56"/>
        <v>#DIV/0!</v>
      </c>
    </row>
    <row r="216" spans="1:16" ht="17.25" x14ac:dyDescent="0.25">
      <c r="A216" s="53">
        <v>22</v>
      </c>
      <c r="B216" s="545" t="s">
        <v>554</v>
      </c>
      <c r="C216" s="247"/>
      <c r="D216" s="247"/>
      <c r="E216" s="425" t="e">
        <f t="shared" si="53"/>
        <v>#DIV/0!</v>
      </c>
      <c r="F216" s="247"/>
      <c r="G216" s="247"/>
      <c r="H216" s="425" t="e">
        <f t="shared" si="54"/>
        <v>#DIV/0!</v>
      </c>
      <c r="I216" s="247"/>
      <c r="J216" s="247"/>
      <c r="K216" s="425" t="e">
        <f t="shared" si="55"/>
        <v>#DIV/0!</v>
      </c>
      <c r="L216" s="247"/>
      <c r="M216" s="247"/>
      <c r="N216" s="425" t="e">
        <f t="shared" si="56"/>
        <v>#DIV/0!</v>
      </c>
    </row>
    <row r="217" spans="1:16" ht="34.5" x14ac:dyDescent="0.25">
      <c r="A217" s="53">
        <v>23</v>
      </c>
      <c r="B217" s="545" t="s">
        <v>575</v>
      </c>
      <c r="C217" s="247"/>
      <c r="D217" s="247"/>
      <c r="E217" s="425" t="e">
        <f t="shared" si="53"/>
        <v>#DIV/0!</v>
      </c>
      <c r="F217" s="247"/>
      <c r="G217" s="247"/>
      <c r="H217" s="425" t="e">
        <f t="shared" si="54"/>
        <v>#DIV/0!</v>
      </c>
      <c r="I217" s="247"/>
      <c r="J217" s="247"/>
      <c r="K217" s="425" t="e">
        <f t="shared" si="55"/>
        <v>#DIV/0!</v>
      </c>
      <c r="L217" s="247"/>
      <c r="M217" s="247"/>
      <c r="N217" s="425" t="e">
        <f t="shared" si="56"/>
        <v>#DIV/0!</v>
      </c>
    </row>
    <row r="218" spans="1:16" ht="17.25" x14ac:dyDescent="0.25">
      <c r="A218" s="53">
        <v>24</v>
      </c>
      <c r="B218" s="545" t="s">
        <v>576</v>
      </c>
      <c r="C218" s="247">
        <v>39271</v>
      </c>
      <c r="D218" s="247">
        <v>38098</v>
      </c>
      <c r="E218" s="425">
        <f t="shared" si="53"/>
        <v>103.07890177962098</v>
      </c>
      <c r="F218" s="247">
        <v>5873</v>
      </c>
      <c r="G218" s="247">
        <v>4174</v>
      </c>
      <c r="H218" s="425">
        <f t="shared" si="54"/>
        <v>140.70436032582654</v>
      </c>
      <c r="I218" s="247">
        <v>38378</v>
      </c>
      <c r="J218" s="247">
        <v>38510</v>
      </c>
      <c r="K218" s="425">
        <f t="shared" si="55"/>
        <v>99.657231887821339</v>
      </c>
      <c r="L218" s="247">
        <v>0</v>
      </c>
      <c r="M218" s="247">
        <v>0</v>
      </c>
      <c r="N218" s="425" t="e">
        <f t="shared" si="56"/>
        <v>#DIV/0!</v>
      </c>
      <c r="O218" s="126">
        <v>3</v>
      </c>
      <c r="P218" s="126">
        <v>81</v>
      </c>
    </row>
    <row r="219" spans="1:16" ht="17.25" x14ac:dyDescent="0.25">
      <c r="A219" s="53">
        <v>25</v>
      </c>
      <c r="B219" s="545" t="s">
        <v>755</v>
      </c>
      <c r="C219" s="247">
        <v>429048</v>
      </c>
      <c r="D219" s="247">
        <v>335460</v>
      </c>
      <c r="E219" s="425">
        <f t="shared" si="53"/>
        <v>127.89840815596494</v>
      </c>
      <c r="F219" s="247">
        <v>37885</v>
      </c>
      <c r="G219" s="247">
        <v>335460</v>
      </c>
      <c r="H219" s="425">
        <f t="shared" si="54"/>
        <v>11.293447803016752</v>
      </c>
      <c r="I219" s="247">
        <v>427353</v>
      </c>
      <c r="J219" s="247">
        <v>252361</v>
      </c>
      <c r="K219" s="425">
        <f t="shared" si="55"/>
        <v>169.34193476805052</v>
      </c>
      <c r="L219" s="247">
        <v>270695</v>
      </c>
      <c r="M219" s="247">
        <v>192215</v>
      </c>
      <c r="N219" s="425">
        <f t="shared" si="56"/>
        <v>140.82927971282157</v>
      </c>
      <c r="O219" s="126">
        <v>25</v>
      </c>
      <c r="P219" s="126">
        <v>87</v>
      </c>
    </row>
    <row r="220" spans="1:16" ht="34.5" x14ac:dyDescent="0.25">
      <c r="A220" s="53">
        <v>26</v>
      </c>
      <c r="B220" s="545" t="s">
        <v>703</v>
      </c>
      <c r="C220" s="247"/>
      <c r="D220" s="247"/>
      <c r="E220" s="425" t="e">
        <f t="shared" si="53"/>
        <v>#DIV/0!</v>
      </c>
      <c r="F220" s="247"/>
      <c r="G220" s="247"/>
      <c r="H220" s="425" t="e">
        <f t="shared" si="54"/>
        <v>#DIV/0!</v>
      </c>
      <c r="I220" s="247"/>
      <c r="J220" s="247"/>
      <c r="K220" s="425" t="e">
        <f t="shared" si="55"/>
        <v>#DIV/0!</v>
      </c>
      <c r="L220" s="247"/>
      <c r="M220" s="247"/>
      <c r="N220" s="425" t="e">
        <f t="shared" si="56"/>
        <v>#DIV/0!</v>
      </c>
    </row>
    <row r="221" spans="1:16" ht="34.5" x14ac:dyDescent="0.25">
      <c r="A221" s="53">
        <v>27</v>
      </c>
      <c r="B221" s="545" t="s">
        <v>557</v>
      </c>
      <c r="C221" s="247">
        <v>613253</v>
      </c>
      <c r="D221" s="247">
        <v>870679</v>
      </c>
      <c r="E221" s="425">
        <f t="shared" si="53"/>
        <v>70.433879765102873</v>
      </c>
      <c r="F221" s="247">
        <v>43809</v>
      </c>
      <c r="G221" s="247">
        <v>216637</v>
      </c>
      <c r="H221" s="425">
        <f t="shared" si="54"/>
        <v>20.222307362084962</v>
      </c>
      <c r="I221" s="247">
        <v>670795</v>
      </c>
      <c r="J221" s="247">
        <v>912089</v>
      </c>
      <c r="K221" s="425">
        <f t="shared" si="55"/>
        <v>73.544906253666028</v>
      </c>
      <c r="L221" s="247">
        <v>16532</v>
      </c>
      <c r="M221" s="247">
        <v>338590</v>
      </c>
      <c r="N221" s="425">
        <f t="shared" si="56"/>
        <v>4.8826013762958151</v>
      </c>
      <c r="O221" s="126">
        <v>82</v>
      </c>
      <c r="P221" s="126">
        <v>119</v>
      </c>
    </row>
    <row r="222" spans="1:16" ht="17.25" x14ac:dyDescent="0.25">
      <c r="A222" s="53">
        <v>28</v>
      </c>
      <c r="B222" s="545" t="s">
        <v>558</v>
      </c>
      <c r="C222" s="247">
        <v>1801301</v>
      </c>
      <c r="D222" s="247">
        <v>1586926</v>
      </c>
      <c r="E222" s="425">
        <f t="shared" si="53"/>
        <v>113.50882145733323</v>
      </c>
      <c r="F222" s="247">
        <v>295936</v>
      </c>
      <c r="G222" s="247">
        <v>303802</v>
      </c>
      <c r="H222" s="425">
        <f t="shared" si="54"/>
        <v>97.410813622030133</v>
      </c>
      <c r="I222" s="247">
        <v>1801301</v>
      </c>
      <c r="J222" s="247">
        <v>1586926</v>
      </c>
      <c r="K222" s="425">
        <f t="shared" si="55"/>
        <v>113.50882145733323</v>
      </c>
      <c r="L222" s="247">
        <v>1801120</v>
      </c>
      <c r="M222" s="247">
        <v>1586926</v>
      </c>
      <c r="N222" s="425">
        <f t="shared" si="56"/>
        <v>113.49741575851678</v>
      </c>
      <c r="O222" s="126">
        <v>48</v>
      </c>
      <c r="P222" s="126">
        <v>130</v>
      </c>
    </row>
    <row r="223" spans="1:16" ht="17.25" x14ac:dyDescent="0.25">
      <c r="A223" s="53">
        <v>30</v>
      </c>
      <c r="B223" s="545" t="s">
        <v>560</v>
      </c>
      <c r="C223" s="247">
        <v>474452</v>
      </c>
      <c r="D223" s="593">
        <v>456704</v>
      </c>
      <c r="E223" s="425">
        <f t="shared" si="53"/>
        <v>103.88610566143497</v>
      </c>
      <c r="F223" s="593">
        <v>46840</v>
      </c>
      <c r="G223" s="593">
        <v>22792</v>
      </c>
      <c r="H223" s="425">
        <f t="shared" si="54"/>
        <v>205.51070551070549</v>
      </c>
      <c r="I223" s="593">
        <v>460552</v>
      </c>
      <c r="J223" s="593">
        <v>624617</v>
      </c>
      <c r="K223" s="425">
        <f t="shared" si="55"/>
        <v>73.733503891184512</v>
      </c>
      <c r="L223" s="247">
        <v>0</v>
      </c>
      <c r="M223" s="247">
        <v>0</v>
      </c>
      <c r="N223" s="425" t="e">
        <f t="shared" si="56"/>
        <v>#DIV/0!</v>
      </c>
      <c r="O223" s="126">
        <v>57</v>
      </c>
      <c r="P223" s="126">
        <v>95</v>
      </c>
    </row>
    <row r="224" spans="1:16" ht="17.25" x14ac:dyDescent="0.25">
      <c r="A224" s="53">
        <v>31</v>
      </c>
      <c r="B224" s="545" t="s">
        <v>561</v>
      </c>
      <c r="C224" s="247"/>
      <c r="D224" s="247"/>
      <c r="E224" s="425" t="e">
        <f t="shared" si="53"/>
        <v>#DIV/0!</v>
      </c>
      <c r="F224" s="247"/>
      <c r="G224" s="247"/>
      <c r="H224" s="425" t="e">
        <f t="shared" si="54"/>
        <v>#DIV/0!</v>
      </c>
      <c r="I224" s="247"/>
      <c r="J224" s="247"/>
      <c r="K224" s="425" t="e">
        <f t="shared" si="55"/>
        <v>#DIV/0!</v>
      </c>
      <c r="L224" s="247"/>
      <c r="M224" s="247"/>
      <c r="N224" s="425" t="e">
        <f t="shared" si="56"/>
        <v>#DIV/0!</v>
      </c>
    </row>
    <row r="225" spans="1:16" ht="34.5" x14ac:dyDescent="0.25">
      <c r="A225" s="53">
        <v>32</v>
      </c>
      <c r="B225" s="545" t="s">
        <v>565</v>
      </c>
      <c r="C225" s="247"/>
      <c r="D225" s="247"/>
      <c r="E225" s="425" t="e">
        <f t="shared" si="53"/>
        <v>#DIV/0!</v>
      </c>
      <c r="F225" s="247"/>
      <c r="G225" s="247"/>
      <c r="H225" s="425" t="e">
        <f t="shared" si="54"/>
        <v>#DIV/0!</v>
      </c>
      <c r="I225" s="247"/>
      <c r="J225" s="247"/>
      <c r="K225" s="425" t="e">
        <f t="shared" si="55"/>
        <v>#DIV/0!</v>
      </c>
      <c r="L225" s="247"/>
      <c r="M225" s="247"/>
      <c r="N225" s="425" t="e">
        <f t="shared" si="56"/>
        <v>#DIV/0!</v>
      </c>
      <c r="O225" s="126">
        <v>16</v>
      </c>
      <c r="P225" s="126">
        <v>97</v>
      </c>
    </row>
    <row r="226" spans="1:16" ht="17.25" x14ac:dyDescent="0.25">
      <c r="A226" s="53">
        <v>33</v>
      </c>
      <c r="B226" s="545" t="s">
        <v>566</v>
      </c>
      <c r="C226" s="247">
        <v>205482</v>
      </c>
      <c r="D226" s="247">
        <v>190340</v>
      </c>
      <c r="E226" s="425">
        <f t="shared" si="53"/>
        <v>107.95523799516656</v>
      </c>
      <c r="F226" s="425">
        <v>25097</v>
      </c>
      <c r="G226" s="247">
        <v>21579</v>
      </c>
      <c r="H226" s="425">
        <f t="shared" si="54"/>
        <v>116.3028870661291</v>
      </c>
      <c r="I226" s="247">
        <v>205482</v>
      </c>
      <c r="J226" s="247">
        <v>190340</v>
      </c>
      <c r="K226" s="425">
        <f t="shared" si="55"/>
        <v>107.95523799516656</v>
      </c>
      <c r="L226" s="247">
        <v>0</v>
      </c>
      <c r="M226" s="247">
        <v>0</v>
      </c>
      <c r="N226" s="425" t="e">
        <f t="shared" si="56"/>
        <v>#DIV/0!</v>
      </c>
      <c r="O226" s="126">
        <v>26</v>
      </c>
      <c r="P226" s="126">
        <v>120</v>
      </c>
    </row>
    <row r="227" spans="1:16" ht="34.5" x14ac:dyDescent="0.25">
      <c r="A227" s="53">
        <v>34</v>
      </c>
      <c r="B227" s="545" t="s">
        <v>567</v>
      </c>
      <c r="C227" s="247"/>
      <c r="D227" s="247"/>
      <c r="E227" s="425" t="e">
        <f t="shared" si="53"/>
        <v>#DIV/0!</v>
      </c>
      <c r="F227" s="247"/>
      <c r="G227" s="247"/>
      <c r="H227" s="425" t="e">
        <f t="shared" si="54"/>
        <v>#DIV/0!</v>
      </c>
      <c r="I227" s="247"/>
      <c r="J227" s="247"/>
      <c r="K227" s="425" t="e">
        <f t="shared" si="55"/>
        <v>#DIV/0!</v>
      </c>
      <c r="L227" s="247"/>
      <c r="M227" s="247"/>
      <c r="N227" s="425" t="e">
        <f t="shared" si="56"/>
        <v>#DIV/0!</v>
      </c>
    </row>
    <row r="228" spans="1:16" ht="34.5" x14ac:dyDescent="0.25">
      <c r="A228" s="53">
        <v>35</v>
      </c>
      <c r="B228" s="545" t="s">
        <v>574</v>
      </c>
      <c r="C228" s="247"/>
      <c r="D228" s="247"/>
      <c r="E228" s="425" t="e">
        <f t="shared" si="53"/>
        <v>#DIV/0!</v>
      </c>
      <c r="F228" s="247"/>
      <c r="G228" s="247"/>
      <c r="H228" s="425" t="e">
        <f t="shared" si="54"/>
        <v>#DIV/0!</v>
      </c>
      <c r="I228" s="247"/>
      <c r="J228" s="247"/>
      <c r="K228" s="425" t="e">
        <f t="shared" si="55"/>
        <v>#DIV/0!</v>
      </c>
      <c r="L228" s="247"/>
      <c r="M228" s="247"/>
      <c r="N228" s="425" t="e">
        <f t="shared" si="56"/>
        <v>#DIV/0!</v>
      </c>
    </row>
    <row r="229" spans="1:16" ht="17.25" x14ac:dyDescent="0.25">
      <c r="A229" s="53">
        <v>36</v>
      </c>
      <c r="B229" s="545" t="s">
        <v>569</v>
      </c>
      <c r="C229" s="247"/>
      <c r="D229" s="247"/>
      <c r="E229" s="425" t="e">
        <f t="shared" si="53"/>
        <v>#DIV/0!</v>
      </c>
      <c r="F229" s="247"/>
      <c r="G229" s="247"/>
      <c r="H229" s="425" t="e">
        <f t="shared" si="54"/>
        <v>#DIV/0!</v>
      </c>
      <c r="I229" s="247"/>
      <c r="J229" s="247"/>
      <c r="K229" s="425" t="e">
        <f t="shared" si="55"/>
        <v>#DIV/0!</v>
      </c>
      <c r="L229" s="247"/>
      <c r="M229" s="247"/>
      <c r="N229" s="425" t="e">
        <f t="shared" si="56"/>
        <v>#DIV/0!</v>
      </c>
      <c r="O229" s="126">
        <v>1</v>
      </c>
      <c r="P229" s="126">
        <v>67</v>
      </c>
    </row>
    <row r="230" spans="1:16" ht="17.25" x14ac:dyDescent="0.25">
      <c r="A230" s="53">
        <v>37</v>
      </c>
      <c r="B230" s="545" t="s">
        <v>704</v>
      </c>
      <c r="C230" s="247"/>
      <c r="D230" s="247"/>
      <c r="E230" s="425" t="e">
        <f t="shared" si="53"/>
        <v>#DIV/0!</v>
      </c>
      <c r="F230" s="247"/>
      <c r="G230" s="247"/>
      <c r="H230" s="425" t="e">
        <f t="shared" si="54"/>
        <v>#DIV/0!</v>
      </c>
      <c r="I230" s="247"/>
      <c r="J230" s="247"/>
      <c r="K230" s="425" t="e">
        <f t="shared" si="55"/>
        <v>#DIV/0!</v>
      </c>
      <c r="L230" s="247"/>
      <c r="M230" s="247"/>
      <c r="N230" s="425" t="e">
        <f t="shared" si="56"/>
        <v>#DIV/0!</v>
      </c>
    </row>
    <row r="231" spans="1:16" ht="17.25" x14ac:dyDescent="0.25">
      <c r="A231" s="53">
        <v>38</v>
      </c>
      <c r="B231" s="545" t="s">
        <v>705</v>
      </c>
      <c r="C231" s="247"/>
      <c r="D231" s="247"/>
      <c r="E231" s="425" t="e">
        <f t="shared" si="53"/>
        <v>#DIV/0!</v>
      </c>
      <c r="F231" s="247"/>
      <c r="G231" s="247"/>
      <c r="H231" s="425" t="e">
        <f t="shared" si="54"/>
        <v>#DIV/0!</v>
      </c>
      <c r="I231" s="247"/>
      <c r="J231" s="247"/>
      <c r="K231" s="425" t="e">
        <f t="shared" si="55"/>
        <v>#DIV/0!</v>
      </c>
      <c r="L231" s="247"/>
      <c r="M231" s="247"/>
      <c r="N231" s="425" t="e">
        <f t="shared" si="56"/>
        <v>#DIV/0!</v>
      </c>
      <c r="O231" s="126">
        <v>14</v>
      </c>
      <c r="P231" s="126">
        <v>69</v>
      </c>
    </row>
    <row r="232" spans="1:16" ht="34.5" x14ac:dyDescent="0.25">
      <c r="A232" s="53">
        <v>39</v>
      </c>
      <c r="B232" s="545" t="s">
        <v>752</v>
      </c>
      <c r="C232" s="247"/>
      <c r="D232" s="247"/>
      <c r="E232" s="425" t="e">
        <f t="shared" si="53"/>
        <v>#DIV/0!</v>
      </c>
      <c r="F232" s="247"/>
      <c r="G232" s="247"/>
      <c r="H232" s="425" t="e">
        <f t="shared" si="54"/>
        <v>#DIV/0!</v>
      </c>
      <c r="I232" s="247"/>
      <c r="J232" s="247"/>
      <c r="K232" s="425" t="e">
        <f t="shared" si="55"/>
        <v>#DIV/0!</v>
      </c>
      <c r="L232" s="247"/>
      <c r="M232" s="247"/>
      <c r="N232" s="425" t="e">
        <f t="shared" si="56"/>
        <v>#DIV/0!</v>
      </c>
      <c r="O232" s="126">
        <v>146</v>
      </c>
      <c r="P232" s="126">
        <v>103</v>
      </c>
    </row>
    <row r="233" spans="1:16" ht="17.25" x14ac:dyDescent="0.25">
      <c r="A233" s="53">
        <v>40</v>
      </c>
      <c r="B233" s="545" t="s">
        <v>756</v>
      </c>
      <c r="C233" s="247"/>
      <c r="D233" s="247"/>
      <c r="E233" s="425" t="e">
        <f t="shared" si="53"/>
        <v>#DIV/0!</v>
      </c>
      <c r="F233" s="247"/>
      <c r="G233" s="247"/>
      <c r="H233" s="425" t="e">
        <f t="shared" si="54"/>
        <v>#DIV/0!</v>
      </c>
      <c r="I233" s="247"/>
      <c r="J233" s="247"/>
      <c r="K233" s="425" t="e">
        <f t="shared" si="55"/>
        <v>#DIV/0!</v>
      </c>
      <c r="L233" s="247"/>
      <c r="M233" s="247"/>
      <c r="N233" s="425" t="e">
        <f t="shared" si="56"/>
        <v>#DIV/0!</v>
      </c>
      <c r="O233" s="126">
        <v>220</v>
      </c>
      <c r="P233" s="126">
        <v>114</v>
      </c>
    </row>
    <row r="234" spans="1:16" ht="17.25" x14ac:dyDescent="0.25">
      <c r="A234" s="53">
        <v>41</v>
      </c>
      <c r="B234" s="549" t="s">
        <v>706</v>
      </c>
      <c r="C234" s="247"/>
      <c r="D234" s="247"/>
      <c r="E234" s="425" t="e">
        <f t="shared" si="53"/>
        <v>#DIV/0!</v>
      </c>
      <c r="F234" s="247"/>
      <c r="G234" s="247"/>
      <c r="H234" s="425" t="e">
        <f t="shared" si="54"/>
        <v>#DIV/0!</v>
      </c>
      <c r="I234" s="247"/>
      <c r="J234" s="247"/>
      <c r="K234" s="425" t="e">
        <f t="shared" si="55"/>
        <v>#DIV/0!</v>
      </c>
      <c r="L234" s="247"/>
      <c r="M234" s="247"/>
      <c r="N234" s="425" t="e">
        <f t="shared" si="56"/>
        <v>#DIV/0!</v>
      </c>
      <c r="O234" s="126">
        <v>9</v>
      </c>
      <c r="P234" s="126">
        <v>90</v>
      </c>
    </row>
    <row r="236" spans="1:16" ht="51.75" x14ac:dyDescent="0.25">
      <c r="A236" s="414"/>
      <c r="B236" s="552" t="s">
        <v>732</v>
      </c>
      <c r="C236" s="345">
        <f>C237+C246</f>
        <v>10941863</v>
      </c>
      <c r="D236" s="345">
        <f>D237+D246</f>
        <v>11183733</v>
      </c>
      <c r="E236" s="345">
        <f>C236/D236*100</f>
        <v>97.837305307628498</v>
      </c>
      <c r="F236" s="345">
        <f>F237+F246</f>
        <v>1177276</v>
      </c>
      <c r="G236" s="345">
        <f>G237+G246</f>
        <v>1067524</v>
      </c>
      <c r="H236" s="345">
        <f>F236/G236*100</f>
        <v>110.28098665697445</v>
      </c>
      <c r="I236" s="345">
        <f>I237+I246</f>
        <v>10853784</v>
      </c>
      <c r="J236" s="345">
        <f>J237+J246</f>
        <v>10954211</v>
      </c>
      <c r="K236" s="345">
        <f>I236/J236*100</f>
        <v>99.083211013554518</v>
      </c>
      <c r="L236" s="345">
        <f>L237+L246</f>
        <v>5952632</v>
      </c>
      <c r="M236" s="345">
        <f>M237+M246</f>
        <v>5420364</v>
      </c>
      <c r="N236" s="345">
        <f>L236/M236*100</f>
        <v>109.81978332082494</v>
      </c>
    </row>
    <row r="237" spans="1:16" ht="17.25" x14ac:dyDescent="0.25">
      <c r="A237" s="1062" t="s">
        <v>340</v>
      </c>
      <c r="B237" s="1063" t="s">
        <v>155</v>
      </c>
      <c r="C237" s="254">
        <f>SUM(C238:C244)</f>
        <v>8210012</v>
      </c>
      <c r="D237" s="254">
        <f>SUM(D238:D244)</f>
        <v>8955791</v>
      </c>
      <c r="E237" s="254">
        <f>C237/D237*100</f>
        <v>91.672661856445743</v>
      </c>
      <c r="F237" s="254">
        <f>SUM(F238:F244)</f>
        <v>743754</v>
      </c>
      <c r="G237" s="254">
        <f>SUM(G238:G244)</f>
        <v>866869</v>
      </c>
      <c r="H237" s="254">
        <f>F237/G237*100</f>
        <v>85.797738758682101</v>
      </c>
      <c r="I237" s="254">
        <f>SUM(I238:I244)</f>
        <v>8223974</v>
      </c>
      <c r="J237" s="254">
        <f>SUM(J238:J244)</f>
        <v>8915863</v>
      </c>
      <c r="K237" s="254">
        <f>I237/J237*100</f>
        <v>92.239797762706772</v>
      </c>
      <c r="L237" s="254">
        <f>SUM(L238:L244)</f>
        <v>3626944</v>
      </c>
      <c r="M237" s="254">
        <f>SUM(M238:M244)</f>
        <v>3712974</v>
      </c>
      <c r="N237" s="254">
        <f>L237/M237*100</f>
        <v>97.682989431113711</v>
      </c>
    </row>
    <row r="238" spans="1:16" ht="17.25" x14ac:dyDescent="0.25">
      <c r="A238" s="568">
        <v>1</v>
      </c>
      <c r="B238" s="545" t="s">
        <v>707</v>
      </c>
      <c r="C238" s="247">
        <v>653029</v>
      </c>
      <c r="D238" s="247">
        <v>938338</v>
      </c>
      <c r="E238" s="425">
        <f t="shared" ref="E238:E244" si="57">C238/D238*100</f>
        <v>69.594218714365184</v>
      </c>
      <c r="F238" s="247">
        <v>66363</v>
      </c>
      <c r="G238" s="247">
        <v>28550</v>
      </c>
      <c r="H238" s="425">
        <f t="shared" ref="H238:H244" si="58">F238/G238*100</f>
        <v>232.44483362521891</v>
      </c>
      <c r="I238" s="247">
        <v>653029</v>
      </c>
      <c r="J238" s="247">
        <v>938338</v>
      </c>
      <c r="K238" s="425">
        <f t="shared" ref="K238:K244" si="59">I238/J238*100</f>
        <v>69.594218714365184</v>
      </c>
      <c r="L238" s="247">
        <v>653029</v>
      </c>
      <c r="M238" s="247">
        <v>1108518</v>
      </c>
      <c r="N238" s="425">
        <f t="shared" ref="N238:N244" si="60">L238/M238*100</f>
        <v>58.910094378259984</v>
      </c>
      <c r="O238" s="126">
        <v>125</v>
      </c>
      <c r="P238" s="126">
        <v>180</v>
      </c>
    </row>
    <row r="239" spans="1:16" ht="17.25" x14ac:dyDescent="0.25">
      <c r="A239" s="568">
        <v>2</v>
      </c>
      <c r="B239" s="545" t="s">
        <v>708</v>
      </c>
      <c r="C239" s="247">
        <v>0</v>
      </c>
      <c r="D239" s="247">
        <v>0</v>
      </c>
      <c r="E239" s="425" t="e">
        <f t="shared" si="57"/>
        <v>#DIV/0!</v>
      </c>
      <c r="F239" s="247">
        <v>0</v>
      </c>
      <c r="G239" s="247">
        <v>0</v>
      </c>
      <c r="H239" s="425" t="e">
        <f t="shared" si="58"/>
        <v>#DIV/0!</v>
      </c>
      <c r="I239" s="247">
        <v>0</v>
      </c>
      <c r="J239" s="247">
        <v>0</v>
      </c>
      <c r="K239" s="425" t="e">
        <f t="shared" si="59"/>
        <v>#DIV/0!</v>
      </c>
      <c r="L239" s="247">
        <v>0</v>
      </c>
      <c r="M239" s="247">
        <v>0</v>
      </c>
      <c r="N239" s="425" t="e">
        <f t="shared" si="60"/>
        <v>#DIV/0!</v>
      </c>
      <c r="O239" s="126">
        <v>0</v>
      </c>
      <c r="P239" s="126">
        <v>0</v>
      </c>
    </row>
    <row r="240" spans="1:16" ht="17.25" x14ac:dyDescent="0.25">
      <c r="A240" s="568">
        <v>3</v>
      </c>
      <c r="B240" s="545" t="s">
        <v>709</v>
      </c>
      <c r="C240" s="247">
        <v>4174668</v>
      </c>
      <c r="D240" s="247">
        <v>4587632</v>
      </c>
      <c r="E240" s="425">
        <f t="shared" si="57"/>
        <v>90.998318958451762</v>
      </c>
      <c r="F240" s="247">
        <v>279179</v>
      </c>
      <c r="G240" s="247">
        <v>502447</v>
      </c>
      <c r="H240" s="425">
        <f t="shared" si="58"/>
        <v>55.563870418173458</v>
      </c>
      <c r="I240" s="247">
        <v>4174668</v>
      </c>
      <c r="J240" s="247">
        <v>4587632</v>
      </c>
      <c r="K240" s="425">
        <f t="shared" si="59"/>
        <v>90.998318958451762</v>
      </c>
      <c r="L240" s="247">
        <v>0</v>
      </c>
      <c r="M240" s="247">
        <v>0</v>
      </c>
      <c r="N240" s="425" t="e">
        <f t="shared" si="60"/>
        <v>#DIV/0!</v>
      </c>
      <c r="O240" s="126">
        <v>102</v>
      </c>
      <c r="P240" s="126">
        <v>189</v>
      </c>
    </row>
    <row r="241" spans="1:16" ht="17.25" x14ac:dyDescent="0.25">
      <c r="A241" s="568">
        <v>4</v>
      </c>
      <c r="B241" s="545" t="s">
        <v>710</v>
      </c>
      <c r="C241" s="247">
        <v>321159</v>
      </c>
      <c r="D241" s="247">
        <v>742628</v>
      </c>
      <c r="E241" s="425">
        <f t="shared" si="57"/>
        <v>43.24628212240853</v>
      </c>
      <c r="F241" s="247">
        <v>39140</v>
      </c>
      <c r="G241" s="247">
        <v>71200</v>
      </c>
      <c r="H241" s="425">
        <f t="shared" si="58"/>
        <v>54.971910112359545</v>
      </c>
      <c r="I241" s="247">
        <v>422362</v>
      </c>
      <c r="J241" s="247">
        <v>750042</v>
      </c>
      <c r="K241" s="425">
        <f t="shared" si="59"/>
        <v>56.311779873660406</v>
      </c>
      <c r="L241" s="247">
        <v>0</v>
      </c>
      <c r="M241" s="247">
        <v>0</v>
      </c>
      <c r="N241" s="425" t="e">
        <f t="shared" si="60"/>
        <v>#DIV/0!</v>
      </c>
      <c r="O241" s="126">
        <v>46</v>
      </c>
      <c r="P241" s="126">
        <v>95</v>
      </c>
    </row>
    <row r="242" spans="1:16" ht="17.25" x14ac:dyDescent="0.25">
      <c r="A242" s="568">
        <v>5</v>
      </c>
      <c r="B242" s="545" t="s">
        <v>711</v>
      </c>
      <c r="C242" s="247">
        <v>3061156</v>
      </c>
      <c r="D242" s="247">
        <v>2651798</v>
      </c>
      <c r="E242" s="425">
        <f t="shared" si="57"/>
        <v>115.43699784071033</v>
      </c>
      <c r="F242" s="247">
        <v>359072</v>
      </c>
      <c r="G242" s="247">
        <v>255757</v>
      </c>
      <c r="H242" s="425">
        <f>F242/G242*100</f>
        <v>140.39576629378666</v>
      </c>
      <c r="I242" s="247">
        <v>2973915</v>
      </c>
      <c r="J242" s="247">
        <v>2604456</v>
      </c>
      <c r="K242" s="425">
        <f>I242/J242*100</f>
        <v>114.185649517596</v>
      </c>
      <c r="L242" s="247">
        <v>2973915</v>
      </c>
      <c r="M242" s="247">
        <v>2604456</v>
      </c>
      <c r="N242" s="425">
        <f t="shared" si="60"/>
        <v>114.185649517596</v>
      </c>
      <c r="O242" s="126">
        <v>57</v>
      </c>
      <c r="P242" s="126">
        <v>128</v>
      </c>
    </row>
    <row r="243" spans="1:16" ht="17.25" x14ac:dyDescent="0.25">
      <c r="A243" s="568">
        <v>6</v>
      </c>
      <c r="B243" s="545" t="s">
        <v>712</v>
      </c>
      <c r="C243" s="247">
        <v>0</v>
      </c>
      <c r="D243" s="247">
        <v>35395</v>
      </c>
      <c r="E243" s="425">
        <f t="shared" si="57"/>
        <v>0</v>
      </c>
      <c r="F243" s="247">
        <v>0</v>
      </c>
      <c r="G243" s="247">
        <v>8915</v>
      </c>
      <c r="H243" s="425">
        <f t="shared" si="58"/>
        <v>0</v>
      </c>
      <c r="I243" s="247">
        <v>0</v>
      </c>
      <c r="J243" s="247">
        <v>35395</v>
      </c>
      <c r="K243" s="425">
        <f t="shared" si="59"/>
        <v>0</v>
      </c>
      <c r="L243" s="247">
        <v>0</v>
      </c>
      <c r="M243" s="247">
        <v>0</v>
      </c>
      <c r="N243" s="425" t="e">
        <f t="shared" si="60"/>
        <v>#DIV/0!</v>
      </c>
      <c r="O243" s="126">
        <v>3</v>
      </c>
      <c r="P243" s="126">
        <v>143</v>
      </c>
    </row>
    <row r="244" spans="1:16" ht="17.25" x14ac:dyDescent="0.25">
      <c r="A244" s="568">
        <v>7</v>
      </c>
      <c r="B244" s="545" t="s">
        <v>713</v>
      </c>
      <c r="C244" s="247">
        <v>0</v>
      </c>
      <c r="D244" s="247">
        <v>0</v>
      </c>
      <c r="E244" s="425" t="e">
        <f t="shared" si="57"/>
        <v>#DIV/0!</v>
      </c>
      <c r="F244" s="247">
        <v>0</v>
      </c>
      <c r="G244" s="247">
        <v>0</v>
      </c>
      <c r="H244" s="425" t="e">
        <f t="shared" si="58"/>
        <v>#DIV/0!</v>
      </c>
      <c r="I244" s="247">
        <v>0</v>
      </c>
      <c r="J244" s="247">
        <v>0</v>
      </c>
      <c r="K244" s="425" t="e">
        <f t="shared" si="59"/>
        <v>#DIV/0!</v>
      </c>
      <c r="L244" s="247">
        <v>0</v>
      </c>
      <c r="M244" s="247">
        <v>0</v>
      </c>
      <c r="N244" s="425" t="e">
        <f t="shared" si="60"/>
        <v>#DIV/0!</v>
      </c>
    </row>
    <row r="246" spans="1:16" ht="17.25" x14ac:dyDescent="0.25">
      <c r="A246" s="1062" t="s">
        <v>541</v>
      </c>
      <c r="B246" s="1063" t="s">
        <v>155</v>
      </c>
      <c r="C246" s="254">
        <f>SUM(C247:C251)</f>
        <v>2731851</v>
      </c>
      <c r="D246" s="254">
        <f>SUM(D247:D251)</f>
        <v>2227942</v>
      </c>
      <c r="E246" s="329">
        <f>C246/D246*100</f>
        <v>122.61768932943498</v>
      </c>
      <c r="F246" s="254">
        <f>SUM(F247:F251)</f>
        <v>433522</v>
      </c>
      <c r="G246" s="254">
        <f>SUM(G247:G251)</f>
        <v>200655</v>
      </c>
      <c r="H246" s="329">
        <f>F246/G246*100</f>
        <v>216.05342503301688</v>
      </c>
      <c r="I246" s="254">
        <f>SUM(I247:I251)</f>
        <v>2629810</v>
      </c>
      <c r="J246" s="254">
        <f>SUM(J247:J251)</f>
        <v>2038348</v>
      </c>
      <c r="K246" s="329">
        <f>I246/J246*100</f>
        <v>129.01673315842044</v>
      </c>
      <c r="L246" s="254">
        <f>SUM(L247:L251)</f>
        <v>2325688</v>
      </c>
      <c r="M246" s="254">
        <f>SUM(M247:M251)</f>
        <v>1707390</v>
      </c>
      <c r="N246" s="329">
        <f>L246/M246*100</f>
        <v>136.21305032827883</v>
      </c>
    </row>
    <row r="247" spans="1:16" ht="17.25" x14ac:dyDescent="0.25">
      <c r="A247" s="581">
        <v>1</v>
      </c>
      <c r="B247" s="545" t="s">
        <v>714</v>
      </c>
      <c r="C247" s="247">
        <v>1547018</v>
      </c>
      <c r="D247" s="247">
        <v>1453789</v>
      </c>
      <c r="E247" s="425">
        <f t="shared" ref="E247:E251" si="61">C247/D247*100</f>
        <v>106.41282882178913</v>
      </c>
      <c r="F247" s="247">
        <v>167395</v>
      </c>
      <c r="G247" s="247">
        <v>183885</v>
      </c>
      <c r="H247" s="425">
        <f t="shared" ref="H247:H251" si="62">F247/G247*100</f>
        <v>91.03243875248117</v>
      </c>
      <c r="I247" s="247">
        <v>1420121</v>
      </c>
      <c r="J247" s="247">
        <v>1226243</v>
      </c>
      <c r="K247" s="425">
        <f t="shared" ref="K247:K251" si="63">I247/J247*100</f>
        <v>115.8107324567806</v>
      </c>
      <c r="L247" s="247">
        <v>1142727</v>
      </c>
      <c r="M247" s="247">
        <v>935471</v>
      </c>
      <c r="N247" s="425">
        <f t="shared" ref="N247:N251" si="64">L247/M247*100</f>
        <v>122.15525654990908</v>
      </c>
      <c r="O247" s="126">
        <v>145</v>
      </c>
      <c r="P247" s="126">
        <v>159</v>
      </c>
    </row>
    <row r="248" spans="1:16" ht="17.25" x14ac:dyDescent="0.25">
      <c r="A248" s="581">
        <v>2</v>
      </c>
      <c r="B248" s="545" t="s">
        <v>715</v>
      </c>
      <c r="C248" s="247">
        <v>1872</v>
      </c>
      <c r="D248" s="247">
        <v>2234</v>
      </c>
      <c r="E248" s="425">
        <f t="shared" si="61"/>
        <v>83.79588182632051</v>
      </c>
      <c r="F248" s="247">
        <v>0</v>
      </c>
      <c r="G248" s="247">
        <v>149</v>
      </c>
      <c r="H248" s="425">
        <f t="shared" si="62"/>
        <v>0</v>
      </c>
      <c r="I248" s="247">
        <v>26728</v>
      </c>
      <c r="J248" s="247">
        <v>40186</v>
      </c>
      <c r="K248" s="425">
        <f t="shared" si="63"/>
        <v>66.510725128154078</v>
      </c>
      <c r="L248" s="247">
        <v>0</v>
      </c>
      <c r="M248" s="247">
        <v>0</v>
      </c>
      <c r="N248" s="425" t="e">
        <f t="shared" si="64"/>
        <v>#DIV/0!</v>
      </c>
      <c r="O248" s="126">
        <v>65</v>
      </c>
      <c r="P248" s="126">
        <v>132</v>
      </c>
    </row>
    <row r="249" spans="1:16" ht="17.25" x14ac:dyDescent="0.25">
      <c r="A249" s="581">
        <v>3</v>
      </c>
      <c r="B249" s="545" t="s">
        <v>716</v>
      </c>
      <c r="C249" s="247">
        <v>0</v>
      </c>
      <c r="D249" s="247">
        <v>0</v>
      </c>
      <c r="E249" s="425" t="e">
        <f t="shared" si="61"/>
        <v>#DIV/0!</v>
      </c>
      <c r="F249" s="247">
        <v>0</v>
      </c>
      <c r="G249" s="247">
        <v>0</v>
      </c>
      <c r="H249" s="425" t="e">
        <f t="shared" si="62"/>
        <v>#DIV/0!</v>
      </c>
      <c r="I249" s="247">
        <v>0</v>
      </c>
      <c r="J249" s="247">
        <v>0</v>
      </c>
      <c r="K249" s="425" t="e">
        <f t="shared" si="63"/>
        <v>#DIV/0!</v>
      </c>
      <c r="L249" s="247">
        <v>0</v>
      </c>
      <c r="M249" s="247">
        <v>0</v>
      </c>
      <c r="N249" s="425" t="e">
        <f t="shared" si="64"/>
        <v>#DIV/0!</v>
      </c>
      <c r="O249" s="126">
        <v>0</v>
      </c>
      <c r="P249" s="126">
        <v>0</v>
      </c>
    </row>
    <row r="250" spans="1:16" ht="17.25" x14ac:dyDescent="0.25">
      <c r="A250" s="581">
        <v>4</v>
      </c>
      <c r="B250" s="545" t="s">
        <v>717</v>
      </c>
      <c r="C250" s="247">
        <v>878636</v>
      </c>
      <c r="D250" s="247">
        <v>611117</v>
      </c>
      <c r="E250" s="425">
        <f t="shared" si="61"/>
        <v>143.77541452782364</v>
      </c>
      <c r="F250" s="247">
        <v>221236</v>
      </c>
      <c r="G250" s="247">
        <v>0</v>
      </c>
      <c r="H250" s="425" t="e">
        <f t="shared" si="62"/>
        <v>#DIV/0!</v>
      </c>
      <c r="I250" s="247">
        <v>878636</v>
      </c>
      <c r="J250" s="247">
        <v>611117</v>
      </c>
      <c r="K250" s="425">
        <f t="shared" si="63"/>
        <v>143.77541452782364</v>
      </c>
      <c r="L250" s="247">
        <v>878636</v>
      </c>
      <c r="M250" s="247">
        <v>611117</v>
      </c>
      <c r="N250" s="425">
        <f t="shared" si="64"/>
        <v>143.77541452782364</v>
      </c>
      <c r="O250" s="126">
        <v>32</v>
      </c>
      <c r="P250" s="126">
        <v>125</v>
      </c>
    </row>
    <row r="251" spans="1:16" ht="17.25" x14ac:dyDescent="0.25">
      <c r="A251" s="581">
        <v>5</v>
      </c>
      <c r="B251" s="582" t="s">
        <v>718</v>
      </c>
      <c r="C251" s="594">
        <v>304325</v>
      </c>
      <c r="D251" s="594">
        <v>160802</v>
      </c>
      <c r="E251" s="425">
        <f t="shared" si="61"/>
        <v>189.25448688449148</v>
      </c>
      <c r="F251" s="594">
        <v>44891</v>
      </c>
      <c r="G251" s="594">
        <v>16621</v>
      </c>
      <c r="H251" s="425">
        <f t="shared" si="62"/>
        <v>270.08603573792192</v>
      </c>
      <c r="I251" s="594">
        <v>304325</v>
      </c>
      <c r="J251" s="594">
        <v>160802</v>
      </c>
      <c r="K251" s="425">
        <f t="shared" si="63"/>
        <v>189.25448688449148</v>
      </c>
      <c r="L251" s="594">
        <v>304325</v>
      </c>
      <c r="M251" s="594">
        <v>160802</v>
      </c>
      <c r="N251" s="425">
        <f t="shared" si="64"/>
        <v>189.25448688449148</v>
      </c>
      <c r="O251" s="126">
        <v>40</v>
      </c>
      <c r="P251" s="126">
        <v>140</v>
      </c>
    </row>
    <row r="252" spans="1:16" x14ac:dyDescent="0.25">
      <c r="O252" s="584"/>
    </row>
    <row r="253" spans="1:16" ht="34.5" x14ac:dyDescent="0.25">
      <c r="A253" s="348"/>
      <c r="B253" s="553" t="s">
        <v>733</v>
      </c>
      <c r="C253" s="254">
        <f>SUM(C254:C262)</f>
        <v>839006.1</v>
      </c>
      <c r="D253" s="254">
        <f>SUM(D254:D262)</f>
        <v>800763.3</v>
      </c>
      <c r="E253" s="452">
        <f>C253/D253*100</f>
        <v>104.77579329622124</v>
      </c>
      <c r="F253" s="254">
        <f>SUM(F254:F262)</f>
        <v>76935.600000000006</v>
      </c>
      <c r="G253" s="254">
        <f>SUM(G254:G262)</f>
        <v>99630.9</v>
      </c>
      <c r="H253" s="452">
        <f>F253/G253*100</f>
        <v>77.220621313267273</v>
      </c>
      <c r="I253" s="254">
        <f>SUM(I254:I262)</f>
        <v>572512.19999999995</v>
      </c>
      <c r="J253" s="254">
        <f>SUM(J254:J262)</f>
        <v>469259.1</v>
      </c>
      <c r="K253" s="452">
        <f>I253/J253*100</f>
        <v>122.00343051418714</v>
      </c>
      <c r="L253" s="254">
        <f>SUM(L254:L262)</f>
        <v>18691</v>
      </c>
      <c r="M253" s="254">
        <f>SUM(M254:M262)</f>
        <v>3595</v>
      </c>
      <c r="N253" s="452">
        <f>L253/M253*100</f>
        <v>519.91655076495135</v>
      </c>
    </row>
    <row r="254" spans="1:16" ht="34.5" x14ac:dyDescent="0.2">
      <c r="A254" s="7">
        <v>1</v>
      </c>
      <c r="B254" s="545" t="s">
        <v>719</v>
      </c>
      <c r="C254" s="647">
        <v>618413.1</v>
      </c>
      <c r="D254" s="647">
        <v>584008.30000000005</v>
      </c>
      <c r="E254" s="425">
        <f>C254/D254*100</f>
        <v>105.89114914976379</v>
      </c>
      <c r="F254" s="652">
        <v>52465.599999999999</v>
      </c>
      <c r="G254" s="652">
        <v>69312.899999999994</v>
      </c>
      <c r="H254" s="425">
        <f t="shared" ref="H254:H262" si="65">F254/G254*100</f>
        <v>75.693846311436985</v>
      </c>
      <c r="I254" s="652">
        <v>471990.2</v>
      </c>
      <c r="J254" s="652">
        <v>356442.1</v>
      </c>
      <c r="K254" s="425">
        <f t="shared" ref="K254:K262" si="66">I254/J254*100</f>
        <v>132.41707418960894</v>
      </c>
      <c r="L254" s="658">
        <v>0</v>
      </c>
      <c r="M254" s="658">
        <v>0</v>
      </c>
      <c r="N254" s="425" t="e">
        <f t="shared" ref="N254:N262" si="67">L254/M254*100</f>
        <v>#DIV/0!</v>
      </c>
      <c r="O254" s="647">
        <v>258</v>
      </c>
      <c r="P254" s="647">
        <v>265</v>
      </c>
    </row>
    <row r="255" spans="1:16" ht="34.5" x14ac:dyDescent="0.2">
      <c r="A255" s="291">
        <v>2</v>
      </c>
      <c r="B255" s="545" t="s">
        <v>720</v>
      </c>
      <c r="C255" s="648">
        <v>96068</v>
      </c>
      <c r="D255" s="648">
        <v>97983</v>
      </c>
      <c r="E255" s="425">
        <f t="shared" ref="E255:E262" si="68">C255/D255*100</f>
        <v>98.045579335190808</v>
      </c>
      <c r="F255" s="653">
        <v>12194</v>
      </c>
      <c r="G255" s="653">
        <v>11131</v>
      </c>
      <c r="H255" s="425">
        <f t="shared" si="65"/>
        <v>109.54990566885274</v>
      </c>
      <c r="I255" s="654">
        <v>0</v>
      </c>
      <c r="J255" s="654">
        <v>0</v>
      </c>
      <c r="K255" s="425" t="e">
        <f t="shared" si="66"/>
        <v>#DIV/0!</v>
      </c>
      <c r="L255" s="654">
        <v>0</v>
      </c>
      <c r="M255" s="654">
        <v>0</v>
      </c>
      <c r="N255" s="425" t="e">
        <f t="shared" si="67"/>
        <v>#DIV/0!</v>
      </c>
      <c r="O255" s="651">
        <v>88</v>
      </c>
      <c r="P255" s="651">
        <v>106</v>
      </c>
    </row>
    <row r="256" spans="1:16" ht="34.5" x14ac:dyDescent="0.2">
      <c r="A256" s="7">
        <v>3</v>
      </c>
      <c r="B256" s="545" t="s">
        <v>721</v>
      </c>
      <c r="C256" s="649">
        <v>0</v>
      </c>
      <c r="D256" s="650">
        <v>990</v>
      </c>
      <c r="E256" s="425">
        <f t="shared" si="68"/>
        <v>0</v>
      </c>
      <c r="F256" s="654">
        <v>0</v>
      </c>
      <c r="G256" s="655">
        <v>75</v>
      </c>
      <c r="H256" s="425">
        <f t="shared" si="65"/>
        <v>0</v>
      </c>
      <c r="I256" s="656">
        <v>0</v>
      </c>
      <c r="J256" s="657">
        <v>990</v>
      </c>
      <c r="K256" s="425">
        <f t="shared" si="66"/>
        <v>0</v>
      </c>
      <c r="L256" s="654">
        <v>0</v>
      </c>
      <c r="M256" s="654">
        <v>0</v>
      </c>
      <c r="N256" s="425" t="e">
        <f t="shared" si="67"/>
        <v>#DIV/0!</v>
      </c>
      <c r="O256" s="651">
        <v>4</v>
      </c>
      <c r="P256" s="651">
        <v>52.5</v>
      </c>
    </row>
    <row r="257" spans="1:16" ht="17.25" x14ac:dyDescent="0.2">
      <c r="A257" s="291">
        <v>4</v>
      </c>
      <c r="B257" s="545" t="s">
        <v>722</v>
      </c>
      <c r="C257" s="651">
        <v>21265</v>
      </c>
      <c r="D257" s="651">
        <v>26132</v>
      </c>
      <c r="E257" s="425">
        <f t="shared" si="68"/>
        <v>81.375325271697534</v>
      </c>
      <c r="F257" s="655">
        <v>2179</v>
      </c>
      <c r="G257" s="655">
        <v>3240</v>
      </c>
      <c r="H257" s="425">
        <f t="shared" si="65"/>
        <v>67.253086419753089</v>
      </c>
      <c r="I257" s="655">
        <v>21265</v>
      </c>
      <c r="J257" s="655">
        <v>26132</v>
      </c>
      <c r="K257" s="425">
        <f t="shared" si="66"/>
        <v>81.375325271697534</v>
      </c>
      <c r="L257" s="654">
        <v>0</v>
      </c>
      <c r="M257" s="654">
        <v>0</v>
      </c>
      <c r="N257" s="425" t="e">
        <f t="shared" si="67"/>
        <v>#DIV/0!</v>
      </c>
      <c r="O257" s="651">
        <v>13</v>
      </c>
      <c r="P257" s="651">
        <v>71</v>
      </c>
    </row>
    <row r="258" spans="1:16" ht="17.25" x14ac:dyDescent="0.2">
      <c r="A258" s="7">
        <v>5</v>
      </c>
      <c r="B258" s="545" t="s">
        <v>723</v>
      </c>
      <c r="C258" s="651">
        <v>7990</v>
      </c>
      <c r="D258" s="651">
        <v>8090</v>
      </c>
      <c r="E258" s="425">
        <f t="shared" si="68"/>
        <v>98.763906056860321</v>
      </c>
      <c r="F258" s="655">
        <v>360</v>
      </c>
      <c r="G258" s="655">
        <v>930</v>
      </c>
      <c r="H258" s="425">
        <f t="shared" si="65"/>
        <v>38.70967741935484</v>
      </c>
      <c r="I258" s="651">
        <v>0</v>
      </c>
      <c r="J258" s="651">
        <v>0</v>
      </c>
      <c r="K258" s="425" t="e">
        <f t="shared" si="66"/>
        <v>#DIV/0!</v>
      </c>
      <c r="L258" s="654">
        <v>0</v>
      </c>
      <c r="M258" s="654">
        <v>0</v>
      </c>
      <c r="N258" s="425" t="e">
        <f t="shared" si="67"/>
        <v>#DIV/0!</v>
      </c>
      <c r="O258" s="651">
        <v>10</v>
      </c>
      <c r="P258" s="651">
        <v>78</v>
      </c>
    </row>
    <row r="259" spans="1:16" ht="17.25" x14ac:dyDescent="0.2">
      <c r="A259" s="291">
        <v>6</v>
      </c>
      <c r="B259" s="545" t="s">
        <v>724</v>
      </c>
      <c r="C259" s="651">
        <v>60283</v>
      </c>
      <c r="D259" s="651">
        <v>64120</v>
      </c>
      <c r="E259" s="425">
        <f t="shared" si="68"/>
        <v>94.015907673112906</v>
      </c>
      <c r="F259" s="655">
        <v>8100</v>
      </c>
      <c r="G259" s="655">
        <v>13310</v>
      </c>
      <c r="H259" s="425">
        <f t="shared" si="65"/>
        <v>60.856498873027796</v>
      </c>
      <c r="I259" s="655">
        <v>43307</v>
      </c>
      <c r="J259" s="655">
        <v>66053</v>
      </c>
      <c r="K259" s="425">
        <f t="shared" si="66"/>
        <v>65.564016774408429</v>
      </c>
      <c r="L259" s="654">
        <v>0</v>
      </c>
      <c r="M259" s="654">
        <v>0</v>
      </c>
      <c r="N259" s="425" t="e">
        <f t="shared" si="67"/>
        <v>#DIV/0!</v>
      </c>
      <c r="O259" s="651">
        <v>20</v>
      </c>
      <c r="P259" s="651">
        <v>166.4</v>
      </c>
    </row>
    <row r="260" spans="1:16" ht="34.5" x14ac:dyDescent="0.2">
      <c r="A260" s="7">
        <v>7</v>
      </c>
      <c r="B260" s="545" t="s">
        <v>725</v>
      </c>
      <c r="C260" s="651">
        <v>18691</v>
      </c>
      <c r="D260" s="651">
        <v>3595</v>
      </c>
      <c r="E260" s="425">
        <f t="shared" si="68"/>
        <v>519.91655076495135</v>
      </c>
      <c r="F260" s="655">
        <v>0</v>
      </c>
      <c r="G260" s="655">
        <v>0</v>
      </c>
      <c r="H260" s="425" t="e">
        <f t="shared" si="65"/>
        <v>#DIV/0!</v>
      </c>
      <c r="I260" s="655">
        <v>18691</v>
      </c>
      <c r="J260" s="655">
        <v>3595</v>
      </c>
      <c r="K260" s="425">
        <f t="shared" si="66"/>
        <v>519.91655076495135</v>
      </c>
      <c r="L260" s="655">
        <v>18691</v>
      </c>
      <c r="M260" s="655">
        <v>3595</v>
      </c>
      <c r="N260" s="425">
        <f t="shared" si="67"/>
        <v>519.91655076495135</v>
      </c>
      <c r="O260" s="651">
        <v>8</v>
      </c>
      <c r="P260" s="651">
        <v>115.2</v>
      </c>
    </row>
    <row r="261" spans="1:16" ht="17.25" x14ac:dyDescent="0.2">
      <c r="A261" s="291">
        <v>8</v>
      </c>
      <c r="B261" s="545" t="s">
        <v>726</v>
      </c>
      <c r="C261" s="651">
        <v>2502</v>
      </c>
      <c r="D261" s="651">
        <v>3215</v>
      </c>
      <c r="E261" s="425">
        <f t="shared" si="68"/>
        <v>77.822706065318812</v>
      </c>
      <c r="F261" s="655">
        <v>255</v>
      </c>
      <c r="G261" s="655">
        <v>255</v>
      </c>
      <c r="H261" s="425">
        <f t="shared" si="65"/>
        <v>100</v>
      </c>
      <c r="I261" s="655">
        <v>3465</v>
      </c>
      <c r="J261" s="655">
        <v>3417</v>
      </c>
      <c r="K261" s="425">
        <f t="shared" si="66"/>
        <v>101.40474100087798</v>
      </c>
      <c r="L261" s="654">
        <v>0</v>
      </c>
      <c r="M261" s="654">
        <v>0</v>
      </c>
      <c r="N261" s="425" t="e">
        <f t="shared" si="67"/>
        <v>#DIV/0!</v>
      </c>
      <c r="O261" s="651">
        <v>21</v>
      </c>
      <c r="P261" s="651">
        <v>72.599999999999994</v>
      </c>
    </row>
    <row r="262" spans="1:16" ht="17.25" x14ac:dyDescent="0.2">
      <c r="A262" s="7">
        <v>9</v>
      </c>
      <c r="B262" s="545" t="s">
        <v>727</v>
      </c>
      <c r="C262" s="651">
        <v>13794</v>
      </c>
      <c r="D262" s="651">
        <v>12630</v>
      </c>
      <c r="E262" s="425">
        <f t="shared" si="68"/>
        <v>109.21615201900237</v>
      </c>
      <c r="F262" s="655">
        <v>1382</v>
      </c>
      <c r="G262" s="655">
        <v>1377</v>
      </c>
      <c r="H262" s="425">
        <f t="shared" si="65"/>
        <v>100.36310820624546</v>
      </c>
      <c r="I262" s="655">
        <v>13794</v>
      </c>
      <c r="J262" s="655">
        <v>12630</v>
      </c>
      <c r="K262" s="425">
        <f t="shared" si="66"/>
        <v>109.21615201900237</v>
      </c>
      <c r="L262" s="654">
        <v>0</v>
      </c>
      <c r="M262" s="654">
        <v>0</v>
      </c>
      <c r="N262" s="425" t="e">
        <f t="shared" si="67"/>
        <v>#DIV/0!</v>
      </c>
      <c r="O262" s="651">
        <v>11</v>
      </c>
      <c r="P262" s="651">
        <v>75.7</v>
      </c>
    </row>
    <row r="264" spans="1:16" s="339" customFormat="1" ht="16.5" x14ac:dyDescent="0.25">
      <c r="A264" s="339">
        <v>2</v>
      </c>
      <c r="B264" s="418" t="s">
        <v>345</v>
      </c>
      <c r="C264" s="366"/>
    </row>
    <row r="265" spans="1:16" ht="17.25" x14ac:dyDescent="0.25">
      <c r="A265" s="1059" t="s">
        <v>734</v>
      </c>
      <c r="B265" s="1059" t="s">
        <v>155</v>
      </c>
      <c r="C265" s="254">
        <f>SUM(C266:C283)</f>
        <v>0</v>
      </c>
      <c r="D265" s="254">
        <f>SUM(D266:D283)</f>
        <v>0</v>
      </c>
      <c r="E265" s="57" t="e">
        <f t="shared" ref="E265:E283" si="69">C265/D265*100</f>
        <v>#DIV/0!</v>
      </c>
      <c r="F265" s="254">
        <f>SUM(F266:F283)</f>
        <v>0</v>
      </c>
      <c r="G265" s="254">
        <f>SUM(G266:G283)</f>
        <v>0</v>
      </c>
      <c r="H265" s="57" t="e">
        <f t="shared" ref="H265:H283" si="70">F265/G265*100</f>
        <v>#DIV/0!</v>
      </c>
      <c r="I265" s="254">
        <f>SUM(I266:I283)</f>
        <v>0</v>
      </c>
      <c r="J265" s="254">
        <f>SUM(J266:J283)</f>
        <v>0</v>
      </c>
      <c r="K265" s="57" t="e">
        <f t="shared" ref="K265:K283" si="71">I265/J265*100</f>
        <v>#DIV/0!</v>
      </c>
      <c r="L265" s="254">
        <f>SUM(L266:L283)</f>
        <v>0</v>
      </c>
      <c r="M265" s="254">
        <f>SUM(M266:M283)</f>
        <v>0</v>
      </c>
      <c r="N265" s="57" t="e">
        <f t="shared" ref="N265:N283" si="72">L265/M265*100</f>
        <v>#DIV/0!</v>
      </c>
    </row>
    <row r="266" spans="1:16" ht="17.25" x14ac:dyDescent="0.25">
      <c r="A266" s="272">
        <v>2</v>
      </c>
      <c r="B266" s="550" t="s">
        <v>306</v>
      </c>
      <c r="C266" s="601"/>
      <c r="D266" s="601"/>
      <c r="E266" s="602" t="e">
        <f t="shared" si="69"/>
        <v>#DIV/0!</v>
      </c>
      <c r="F266" s="601"/>
      <c r="G266" s="601"/>
      <c r="H266" s="602" t="e">
        <f t="shared" si="70"/>
        <v>#DIV/0!</v>
      </c>
      <c r="I266" s="601"/>
      <c r="J266" s="601"/>
      <c r="K266" s="602" t="e">
        <f t="shared" si="71"/>
        <v>#DIV/0!</v>
      </c>
      <c r="L266" s="604"/>
      <c r="M266" s="604"/>
      <c r="N266" s="606"/>
      <c r="O266" s="605">
        <v>1779</v>
      </c>
      <c r="P266" s="605">
        <v>289</v>
      </c>
    </row>
    <row r="267" spans="1:16" ht="17.25" x14ac:dyDescent="0.25">
      <c r="A267" s="272">
        <v>3</v>
      </c>
      <c r="B267" s="550" t="s">
        <v>307</v>
      </c>
      <c r="C267" s="607"/>
      <c r="D267" s="601"/>
      <c r="E267" s="602" t="e">
        <f t="shared" si="69"/>
        <v>#DIV/0!</v>
      </c>
      <c r="F267" s="601"/>
      <c r="G267" s="601"/>
      <c r="H267" s="602" t="e">
        <f t="shared" si="70"/>
        <v>#DIV/0!</v>
      </c>
      <c r="I267" s="601"/>
      <c r="J267" s="601"/>
      <c r="K267" s="602" t="e">
        <f t="shared" si="71"/>
        <v>#DIV/0!</v>
      </c>
      <c r="L267" s="601"/>
      <c r="M267" s="601"/>
      <c r="N267" s="602" t="e">
        <f t="shared" ref="N267:N278" si="73">L267/M267*100</f>
        <v>#DIV/0!</v>
      </c>
      <c r="O267" s="605">
        <v>448</v>
      </c>
      <c r="P267" s="605">
        <v>191</v>
      </c>
    </row>
    <row r="268" spans="1:16" ht="17.25" x14ac:dyDescent="0.25">
      <c r="A268" s="272">
        <v>14</v>
      </c>
      <c r="B268" s="550" t="s">
        <v>318</v>
      </c>
      <c r="C268" s="607"/>
      <c r="D268" s="601"/>
      <c r="E268" s="602" t="e">
        <f>C268/D268*100</f>
        <v>#DIV/0!</v>
      </c>
      <c r="F268" s="601"/>
      <c r="G268" s="601"/>
      <c r="H268" s="602" t="e">
        <f>F268/G268*100</f>
        <v>#DIV/0!</v>
      </c>
      <c r="I268" s="601"/>
      <c r="J268" s="601"/>
      <c r="K268" s="602" t="e">
        <f>I268/J268*100</f>
        <v>#DIV/0!</v>
      </c>
      <c r="L268" s="604"/>
      <c r="M268" s="604"/>
      <c r="N268" s="602" t="e">
        <f t="shared" si="73"/>
        <v>#DIV/0!</v>
      </c>
      <c r="O268" s="605">
        <v>681</v>
      </c>
      <c r="P268" s="605">
        <v>153</v>
      </c>
    </row>
    <row r="269" spans="1:16" ht="17.25" x14ac:dyDescent="0.25">
      <c r="A269" s="272">
        <v>4</v>
      </c>
      <c r="B269" s="550" t="s">
        <v>308</v>
      </c>
      <c r="C269" s="607"/>
      <c r="D269" s="601"/>
      <c r="E269" s="602" t="e">
        <f t="shared" si="69"/>
        <v>#DIV/0!</v>
      </c>
      <c r="F269" s="601"/>
      <c r="G269" s="601"/>
      <c r="H269" s="602" t="e">
        <f t="shared" si="70"/>
        <v>#DIV/0!</v>
      </c>
      <c r="I269" s="601"/>
      <c r="J269" s="601"/>
      <c r="K269" s="602" t="e">
        <f t="shared" si="71"/>
        <v>#DIV/0!</v>
      </c>
      <c r="L269" s="604"/>
      <c r="M269" s="604"/>
      <c r="N269" s="602" t="e">
        <f t="shared" si="73"/>
        <v>#DIV/0!</v>
      </c>
      <c r="O269" s="605">
        <v>209</v>
      </c>
      <c r="P269" s="605">
        <v>194</v>
      </c>
    </row>
    <row r="270" spans="1:16" ht="34.5" x14ac:dyDescent="0.25">
      <c r="A270" s="272">
        <v>13</v>
      </c>
      <c r="B270" s="549" t="s">
        <v>317</v>
      </c>
      <c r="C270" s="607"/>
      <c r="D270" s="601"/>
      <c r="E270" s="602" t="e">
        <f>C270/D270*100</f>
        <v>#DIV/0!</v>
      </c>
      <c r="F270" s="601"/>
      <c r="G270" s="601"/>
      <c r="H270" s="602" t="e">
        <f>F270/G270*100</f>
        <v>#DIV/0!</v>
      </c>
      <c r="I270" s="601"/>
      <c r="J270" s="601"/>
      <c r="K270" s="602" t="e">
        <f>I270/J270*100</f>
        <v>#DIV/0!</v>
      </c>
      <c r="L270" s="604"/>
      <c r="M270" s="604"/>
      <c r="N270" s="602" t="e">
        <f t="shared" si="73"/>
        <v>#DIV/0!</v>
      </c>
      <c r="O270" s="605">
        <v>462</v>
      </c>
      <c r="P270" s="605">
        <v>216</v>
      </c>
    </row>
    <row r="271" spans="1:16" ht="34.5" x14ac:dyDescent="0.25">
      <c r="A271" s="272">
        <v>1</v>
      </c>
      <c r="B271" s="642" t="s">
        <v>571</v>
      </c>
      <c r="C271" s="607"/>
      <c r="D271" s="601"/>
      <c r="E271" s="602" t="e">
        <f>C271/D271*100</f>
        <v>#DIV/0!</v>
      </c>
      <c r="F271" s="601"/>
      <c r="G271" s="601"/>
      <c r="H271" s="602" t="e">
        <f>F271/G271*100</f>
        <v>#DIV/0!</v>
      </c>
      <c r="I271" s="601"/>
      <c r="J271" s="601"/>
      <c r="K271" s="602" t="e">
        <f>I271/J271*100</f>
        <v>#DIV/0!</v>
      </c>
      <c r="L271" s="604"/>
      <c r="M271" s="604"/>
      <c r="N271" s="606"/>
      <c r="O271" s="643">
        <v>1490</v>
      </c>
      <c r="P271" s="603">
        <v>112</v>
      </c>
    </row>
    <row r="272" spans="1:16" ht="17.25" x14ac:dyDescent="0.25">
      <c r="A272" s="272">
        <v>15</v>
      </c>
      <c r="B272" s="550" t="s">
        <v>570</v>
      </c>
      <c r="C272" s="607"/>
      <c r="D272" s="601"/>
      <c r="E272" s="602" t="e">
        <f>C272/D272*100</f>
        <v>#DIV/0!</v>
      </c>
      <c r="F272" s="601"/>
      <c r="G272" s="601"/>
      <c r="H272" s="602" t="e">
        <f>F272/G272*100</f>
        <v>#DIV/0!</v>
      </c>
      <c r="I272" s="601"/>
      <c r="J272" s="601"/>
      <c r="K272" s="602" t="e">
        <f>I272/J272*100</f>
        <v>#DIV/0!</v>
      </c>
      <c r="L272" s="604"/>
      <c r="M272" s="604"/>
      <c r="N272" s="602" t="e">
        <f t="shared" si="73"/>
        <v>#DIV/0!</v>
      </c>
      <c r="O272" s="605">
        <v>1490</v>
      </c>
      <c r="P272" s="605">
        <v>112</v>
      </c>
    </row>
    <row r="273" spans="1:16" ht="17.25" x14ac:dyDescent="0.25">
      <c r="A273" s="272">
        <v>5</v>
      </c>
      <c r="B273" s="550" t="s">
        <v>309</v>
      </c>
      <c r="C273" s="607"/>
      <c r="D273" s="601"/>
      <c r="E273" s="602" t="e">
        <f t="shared" si="69"/>
        <v>#DIV/0!</v>
      </c>
      <c r="F273" s="601"/>
      <c r="G273" s="601"/>
      <c r="H273" s="602" t="e">
        <f t="shared" si="70"/>
        <v>#DIV/0!</v>
      </c>
      <c r="I273" s="607"/>
      <c r="J273" s="601"/>
      <c r="K273" s="602" t="e">
        <f t="shared" si="71"/>
        <v>#DIV/0!</v>
      </c>
      <c r="L273" s="604"/>
      <c r="M273" s="604"/>
      <c r="N273" s="602" t="e">
        <f t="shared" si="73"/>
        <v>#DIV/0!</v>
      </c>
      <c r="O273" s="605">
        <v>798</v>
      </c>
      <c r="P273" s="605">
        <v>223</v>
      </c>
    </row>
    <row r="274" spans="1:16" ht="34.5" x14ac:dyDescent="0.25">
      <c r="A274" s="272">
        <v>12</v>
      </c>
      <c r="B274" s="549" t="s">
        <v>316</v>
      </c>
      <c r="C274" s="604"/>
      <c r="D274" s="604"/>
      <c r="E274" s="602" t="e">
        <f>C274/D274*100</f>
        <v>#DIV/0!</v>
      </c>
      <c r="F274" s="604"/>
      <c r="G274" s="604"/>
      <c r="H274" s="602" t="e">
        <f>F274/G274*100</f>
        <v>#DIV/0!</v>
      </c>
      <c r="I274" s="604"/>
      <c r="J274" s="604"/>
      <c r="K274" s="602" t="e">
        <f>I274/J274*100</f>
        <v>#DIV/0!</v>
      </c>
      <c r="L274" s="604"/>
      <c r="M274" s="604"/>
      <c r="N274" s="602" t="e">
        <f t="shared" si="73"/>
        <v>#DIV/0!</v>
      </c>
      <c r="O274" s="605">
        <v>7755</v>
      </c>
      <c r="P274" s="605">
        <v>208</v>
      </c>
    </row>
    <row r="275" spans="1:16" ht="34.5" x14ac:dyDescent="0.25">
      <c r="A275" s="272">
        <v>16</v>
      </c>
      <c r="B275" s="549" t="s">
        <v>572</v>
      </c>
      <c r="C275" s="607"/>
      <c r="D275" s="601"/>
      <c r="E275" s="602" t="e">
        <f>C275/D275*100</f>
        <v>#DIV/0!</v>
      </c>
      <c r="F275" s="601"/>
      <c r="G275" s="601"/>
      <c r="H275" s="602" t="e">
        <f>F275/G275*100</f>
        <v>#DIV/0!</v>
      </c>
      <c r="I275" s="601"/>
      <c r="J275" s="601"/>
      <c r="K275" s="602" t="e">
        <f>I275/J275*100</f>
        <v>#DIV/0!</v>
      </c>
      <c r="L275" s="604"/>
      <c r="M275" s="604"/>
      <c r="N275" s="602" t="e">
        <f t="shared" si="73"/>
        <v>#DIV/0!</v>
      </c>
      <c r="O275" s="605">
        <v>4978</v>
      </c>
      <c r="P275" s="605">
        <v>239</v>
      </c>
    </row>
    <row r="276" spans="1:16" ht="17.25" x14ac:dyDescent="0.25">
      <c r="A276" s="272">
        <v>7</v>
      </c>
      <c r="B276" s="550" t="s">
        <v>311</v>
      </c>
      <c r="C276" s="604"/>
      <c r="D276" s="604"/>
      <c r="E276" s="602" t="e">
        <f>C276/D276*100</f>
        <v>#DIV/0!</v>
      </c>
      <c r="F276" s="604"/>
      <c r="G276" s="604"/>
      <c r="H276" s="602" t="e">
        <f>F276/G276*100</f>
        <v>#DIV/0!</v>
      </c>
      <c r="I276" s="601"/>
      <c r="J276" s="601"/>
      <c r="K276" s="602" t="e">
        <f>I276/J276*100</f>
        <v>#DIV/0!</v>
      </c>
      <c r="L276" s="604"/>
      <c r="M276" s="604"/>
      <c r="N276" s="602" t="e">
        <f t="shared" si="73"/>
        <v>#DIV/0!</v>
      </c>
      <c r="O276" s="605">
        <v>36</v>
      </c>
      <c r="P276" s="605">
        <v>207</v>
      </c>
    </row>
    <row r="277" spans="1:16" ht="34.5" x14ac:dyDescent="0.25">
      <c r="A277" s="272">
        <v>6</v>
      </c>
      <c r="B277" s="549" t="s">
        <v>310</v>
      </c>
      <c r="C277" s="604"/>
      <c r="D277" s="604"/>
      <c r="E277" s="602" t="e">
        <f t="shared" si="69"/>
        <v>#DIV/0!</v>
      </c>
      <c r="F277" s="604"/>
      <c r="G277" s="604"/>
      <c r="H277" s="602" t="e">
        <f t="shared" si="70"/>
        <v>#DIV/0!</v>
      </c>
      <c r="I277" s="601"/>
      <c r="J277" s="601"/>
      <c r="K277" s="602" t="e">
        <f t="shared" si="71"/>
        <v>#DIV/0!</v>
      </c>
      <c r="L277" s="604"/>
      <c r="M277" s="604"/>
      <c r="N277" s="602" t="e">
        <f t="shared" si="73"/>
        <v>#DIV/0!</v>
      </c>
      <c r="O277" s="605">
        <v>189</v>
      </c>
      <c r="P277" s="605">
        <v>291</v>
      </c>
    </row>
    <row r="278" spans="1:16" ht="17.25" x14ac:dyDescent="0.25">
      <c r="A278" s="272"/>
      <c r="B278" s="549"/>
      <c r="C278" s="604"/>
      <c r="D278" s="604"/>
      <c r="E278" s="602"/>
      <c r="F278" s="604"/>
      <c r="G278" s="604"/>
      <c r="H278" s="602"/>
      <c r="I278" s="601"/>
      <c r="J278" s="601"/>
      <c r="K278" s="602"/>
      <c r="L278" s="604"/>
      <c r="M278" s="604"/>
      <c r="N278" s="602" t="e">
        <f t="shared" si="73"/>
        <v>#DIV/0!</v>
      </c>
      <c r="O278" s="605"/>
      <c r="P278" s="605"/>
    </row>
    <row r="279" spans="1:16" ht="17.25" x14ac:dyDescent="0.25">
      <c r="A279" s="272">
        <v>8</v>
      </c>
      <c r="B279" s="550" t="s">
        <v>312</v>
      </c>
      <c r="C279" s="474"/>
      <c r="D279" s="474"/>
      <c r="E279" s="425" t="e">
        <f t="shared" si="69"/>
        <v>#DIV/0!</v>
      </c>
      <c r="F279" s="474"/>
      <c r="G279" s="474"/>
      <c r="H279" s="425" t="e">
        <f t="shared" si="70"/>
        <v>#DIV/0!</v>
      </c>
      <c r="I279" s="473"/>
      <c r="J279" s="473"/>
      <c r="K279" s="425" t="e">
        <f t="shared" si="71"/>
        <v>#DIV/0!</v>
      </c>
      <c r="L279" s="474"/>
      <c r="M279" s="474"/>
      <c r="N279" s="425" t="e">
        <f t="shared" si="72"/>
        <v>#DIV/0!</v>
      </c>
      <c r="O279" s="127"/>
      <c r="P279" s="127"/>
    </row>
    <row r="280" spans="1:16" ht="17.25" x14ac:dyDescent="0.25">
      <c r="A280" s="272">
        <v>10</v>
      </c>
      <c r="B280" s="550" t="s">
        <v>314</v>
      </c>
      <c r="C280" s="474"/>
      <c r="D280" s="474"/>
      <c r="E280" s="425" t="e">
        <f t="shared" si="69"/>
        <v>#DIV/0!</v>
      </c>
      <c r="F280" s="474"/>
      <c r="G280" s="474"/>
      <c r="H280" s="425" t="e">
        <f t="shared" si="70"/>
        <v>#DIV/0!</v>
      </c>
      <c r="I280" s="473"/>
      <c r="J280" s="473"/>
      <c r="K280" s="425" t="e">
        <f t="shared" si="71"/>
        <v>#DIV/0!</v>
      </c>
      <c r="L280" s="474"/>
      <c r="M280" s="474"/>
      <c r="N280" s="425" t="e">
        <f t="shared" si="72"/>
        <v>#DIV/0!</v>
      </c>
      <c r="O280" s="127"/>
      <c r="P280" s="127"/>
    </row>
    <row r="281" spans="1:16" ht="17.25" x14ac:dyDescent="0.25">
      <c r="A281" s="272">
        <v>11</v>
      </c>
      <c r="B281" s="550" t="s">
        <v>315</v>
      </c>
      <c r="C281" s="474"/>
      <c r="D281" s="474"/>
      <c r="E281" s="425" t="e">
        <f t="shared" si="69"/>
        <v>#DIV/0!</v>
      </c>
      <c r="F281" s="474"/>
      <c r="G281" s="474"/>
      <c r="H281" s="425" t="e">
        <f t="shared" si="70"/>
        <v>#DIV/0!</v>
      </c>
      <c r="I281" s="473"/>
      <c r="J281" s="473"/>
      <c r="K281" s="425" t="e">
        <f t="shared" si="71"/>
        <v>#DIV/0!</v>
      </c>
      <c r="L281" s="474"/>
      <c r="M281" s="474"/>
      <c r="N281" s="425" t="e">
        <f t="shared" si="72"/>
        <v>#DIV/0!</v>
      </c>
      <c r="O281" s="127"/>
      <c r="P281" s="127"/>
    </row>
    <row r="282" spans="1:16" ht="51.75" x14ac:dyDescent="0.25">
      <c r="A282" s="272">
        <v>9</v>
      </c>
      <c r="B282" s="549" t="s">
        <v>313</v>
      </c>
      <c r="C282" s="474"/>
      <c r="D282" s="474"/>
      <c r="E282" s="425" t="e">
        <f>C282/D282*100</f>
        <v>#DIV/0!</v>
      </c>
      <c r="F282" s="474"/>
      <c r="G282" s="474"/>
      <c r="H282" s="425" t="e">
        <f>F282/G282*100</f>
        <v>#DIV/0!</v>
      </c>
      <c r="I282" s="473"/>
      <c r="J282" s="473"/>
      <c r="K282" s="425" t="e">
        <f>I282/J282*100</f>
        <v>#DIV/0!</v>
      </c>
      <c r="L282" s="474"/>
      <c r="M282" s="474"/>
      <c r="N282" s="425" t="e">
        <f>L282/M282*100</f>
        <v>#DIV/0!</v>
      </c>
      <c r="O282" s="127"/>
      <c r="P282" s="127"/>
    </row>
    <row r="283" spans="1:16" ht="17.25" x14ac:dyDescent="0.25">
      <c r="A283" s="272">
        <v>17</v>
      </c>
      <c r="B283" s="550" t="s">
        <v>320</v>
      </c>
      <c r="C283" s="474"/>
      <c r="D283" s="474"/>
      <c r="E283" s="425" t="e">
        <f t="shared" si="69"/>
        <v>#DIV/0!</v>
      </c>
      <c r="F283" s="474"/>
      <c r="G283" s="474"/>
      <c r="H283" s="425" t="e">
        <f t="shared" si="70"/>
        <v>#DIV/0!</v>
      </c>
      <c r="I283" s="473"/>
      <c r="J283" s="473"/>
      <c r="K283" s="425" t="e">
        <f t="shared" si="71"/>
        <v>#DIV/0!</v>
      </c>
      <c r="L283" s="474"/>
      <c r="M283" s="474"/>
      <c r="N283" s="425" t="e">
        <f t="shared" si="72"/>
        <v>#DIV/0!</v>
      </c>
      <c r="O283" s="127"/>
      <c r="P283" s="127"/>
    </row>
    <row r="284" spans="1:16" ht="120" customHeight="1" x14ac:dyDescent="0.25">
      <c r="A284" s="504"/>
      <c r="B284" s="541"/>
      <c r="C284" s="542"/>
      <c r="D284" s="542"/>
      <c r="E284" s="542"/>
      <c r="F284" s="542"/>
      <c r="G284" s="542"/>
      <c r="H284" s="542"/>
      <c r="I284" s="543"/>
      <c r="J284" s="543"/>
      <c r="K284" s="542"/>
      <c r="L284" s="542"/>
      <c r="M284" s="542"/>
      <c r="N284" s="439"/>
    </row>
    <row r="285" spans="1:16" s="587" customFormat="1" ht="16.5" x14ac:dyDescent="0.25">
      <c r="A285" s="585">
        <v>3</v>
      </c>
      <c r="B285" s="586" t="s">
        <v>346</v>
      </c>
      <c r="C285" s="586"/>
      <c r="F285" s="586"/>
      <c r="G285" s="586"/>
      <c r="H285" s="586"/>
      <c r="I285" s="586"/>
      <c r="J285" s="586"/>
      <c r="K285" s="586"/>
      <c r="L285" s="586"/>
      <c r="M285" s="586"/>
      <c r="N285" s="586"/>
    </row>
    <row r="286" spans="1:16" ht="16.5" x14ac:dyDescent="0.25">
      <c r="A286" s="1060" t="s">
        <v>734</v>
      </c>
      <c r="B286" s="1061"/>
      <c r="C286" s="588">
        <f>SUM(C287:C291)</f>
        <v>1630577</v>
      </c>
      <c r="D286" s="588">
        <f>SUM(D287:D291)</f>
        <v>1591268</v>
      </c>
      <c r="E286" s="589">
        <f>C286/D286*100</f>
        <v>102.47029413021565</v>
      </c>
      <c r="F286" s="588">
        <f>SUM(F287:F291)</f>
        <v>167394</v>
      </c>
      <c r="G286" s="588">
        <f>SUM(G287:G291)</f>
        <v>177442</v>
      </c>
      <c r="H286" s="589">
        <f>F286/G286*100</f>
        <v>94.337304584033092</v>
      </c>
      <c r="I286" s="588">
        <f>SUM(I287:I291)</f>
        <v>1630577</v>
      </c>
      <c r="J286" s="588">
        <f>SUM(J287:J291)</f>
        <v>1591268</v>
      </c>
      <c r="K286" s="589">
        <f>I286/J286*100</f>
        <v>102.47029413021565</v>
      </c>
      <c r="L286" s="588">
        <f>SUM(L287:L291)</f>
        <v>281734</v>
      </c>
      <c r="M286" s="588">
        <f>SUM(M287:M291)</f>
        <v>316564</v>
      </c>
      <c r="N286" s="589">
        <f>L286/M286*100</f>
        <v>88.997485500562291</v>
      </c>
    </row>
    <row r="287" spans="1:16" ht="17.25" x14ac:dyDescent="0.25">
      <c r="A287" s="307">
        <v>1</v>
      </c>
      <c r="B287" s="548" t="s">
        <v>331</v>
      </c>
      <c r="C287" s="426">
        <v>75205</v>
      </c>
      <c r="D287" s="426">
        <v>74860</v>
      </c>
      <c r="E287" s="425">
        <f t="shared" ref="E287:E291" si="74">C287/D287*100</f>
        <v>100.46086027250868</v>
      </c>
      <c r="F287" s="426">
        <v>8393</v>
      </c>
      <c r="G287" s="426">
        <v>8525</v>
      </c>
      <c r="H287" s="425">
        <f t="shared" ref="H287:H291" si="75">F287/G287*100</f>
        <v>98.451612903225808</v>
      </c>
      <c r="I287" s="426">
        <v>75205</v>
      </c>
      <c r="J287" s="426">
        <v>74860</v>
      </c>
      <c r="K287" s="425">
        <f t="shared" ref="K287:K291" si="76">I287/J287*100</f>
        <v>100.46086027250868</v>
      </c>
      <c r="L287" s="426">
        <v>0</v>
      </c>
      <c r="M287" s="426">
        <v>0</v>
      </c>
      <c r="N287" s="659" t="e">
        <f t="shared" ref="N287:N291" si="77">L287/M287*100</f>
        <v>#DIV/0!</v>
      </c>
      <c r="O287" s="660">
        <v>34</v>
      </c>
      <c r="P287" s="660">
        <v>84.9</v>
      </c>
    </row>
    <row r="288" spans="1:16" ht="17.25" x14ac:dyDescent="0.25">
      <c r="A288" s="307">
        <v>2</v>
      </c>
      <c r="B288" s="548" t="s">
        <v>332</v>
      </c>
      <c r="C288" s="426">
        <v>184205</v>
      </c>
      <c r="D288" s="426">
        <v>190392</v>
      </c>
      <c r="E288" s="425">
        <f t="shared" si="74"/>
        <v>96.750388671792933</v>
      </c>
      <c r="F288" s="426">
        <v>20304</v>
      </c>
      <c r="G288" s="426">
        <v>21230</v>
      </c>
      <c r="H288" s="425">
        <f t="shared" si="75"/>
        <v>95.638247762600088</v>
      </c>
      <c r="I288" s="426">
        <v>184205</v>
      </c>
      <c r="J288" s="426">
        <v>190392</v>
      </c>
      <c r="K288" s="425">
        <f t="shared" si="76"/>
        <v>96.750388671792933</v>
      </c>
      <c r="L288" s="426">
        <v>0</v>
      </c>
      <c r="M288" s="426">
        <v>0</v>
      </c>
      <c r="N288" s="659" t="e">
        <f t="shared" si="77"/>
        <v>#DIV/0!</v>
      </c>
      <c r="O288" s="660">
        <v>199</v>
      </c>
      <c r="P288" s="661">
        <v>88</v>
      </c>
    </row>
    <row r="289" spans="1:16" ht="69" x14ac:dyDescent="0.25">
      <c r="A289" s="307">
        <v>3</v>
      </c>
      <c r="B289" s="548" t="s">
        <v>333</v>
      </c>
      <c r="C289" s="426">
        <v>1195192</v>
      </c>
      <c r="D289" s="426">
        <v>1263219</v>
      </c>
      <c r="E289" s="425">
        <f t="shared" si="74"/>
        <v>94.614789676216077</v>
      </c>
      <c r="F289" s="426">
        <v>131676</v>
      </c>
      <c r="G289" s="426">
        <v>139317</v>
      </c>
      <c r="H289" s="425">
        <f t="shared" si="75"/>
        <v>94.515385774887477</v>
      </c>
      <c r="I289" s="426">
        <v>1195192</v>
      </c>
      <c r="J289" s="426">
        <v>1263219</v>
      </c>
      <c r="K289" s="425">
        <f t="shared" si="76"/>
        <v>94.614789676216077</v>
      </c>
      <c r="L289" s="426">
        <v>281734</v>
      </c>
      <c r="M289" s="426">
        <v>316564</v>
      </c>
      <c r="N289" s="659">
        <f t="shared" si="77"/>
        <v>88.997485500562291</v>
      </c>
      <c r="O289" s="660">
        <v>696</v>
      </c>
      <c r="P289" s="661">
        <v>94.8</v>
      </c>
    </row>
    <row r="290" spans="1:16" ht="17.25" x14ac:dyDescent="0.25">
      <c r="A290" s="307">
        <v>4</v>
      </c>
      <c r="B290" s="548" t="s">
        <v>334</v>
      </c>
      <c r="C290" s="426">
        <v>175975</v>
      </c>
      <c r="D290" s="426">
        <v>62797</v>
      </c>
      <c r="E290" s="425">
        <f t="shared" si="74"/>
        <v>280.22835485771611</v>
      </c>
      <c r="F290" s="426">
        <v>7021</v>
      </c>
      <c r="G290" s="426">
        <v>8370</v>
      </c>
      <c r="H290" s="425">
        <f t="shared" si="75"/>
        <v>83.882915173237748</v>
      </c>
      <c r="I290" s="426">
        <v>175975</v>
      </c>
      <c r="J290" s="426">
        <v>62797</v>
      </c>
      <c r="K290" s="425">
        <f t="shared" si="76"/>
        <v>280.22835485771611</v>
      </c>
      <c r="L290" s="426">
        <v>0</v>
      </c>
      <c r="M290" s="426">
        <v>0</v>
      </c>
      <c r="N290" s="659" t="e">
        <f t="shared" si="77"/>
        <v>#DIV/0!</v>
      </c>
      <c r="O290" s="660">
        <v>37</v>
      </c>
      <c r="P290" s="661">
        <v>149</v>
      </c>
    </row>
    <row r="291" spans="1:16" ht="51.75" x14ac:dyDescent="0.25">
      <c r="A291" s="307">
        <v>5</v>
      </c>
      <c r="B291" s="548" t="s">
        <v>335</v>
      </c>
      <c r="C291" s="322">
        <v>0</v>
      </c>
      <c r="D291" s="322">
        <v>0</v>
      </c>
      <c r="E291" s="425" t="e">
        <f t="shared" si="74"/>
        <v>#DIV/0!</v>
      </c>
      <c r="F291" s="322">
        <v>0</v>
      </c>
      <c r="G291" s="322">
        <v>0</v>
      </c>
      <c r="H291" s="425" t="e">
        <f t="shared" si="75"/>
        <v>#DIV/0!</v>
      </c>
      <c r="I291" s="322">
        <v>0</v>
      </c>
      <c r="J291" s="322">
        <v>0</v>
      </c>
      <c r="K291" s="425" t="e">
        <f t="shared" si="76"/>
        <v>#DIV/0!</v>
      </c>
      <c r="L291" s="322">
        <v>0</v>
      </c>
      <c r="M291" s="322">
        <v>0</v>
      </c>
      <c r="N291" s="555" t="e">
        <f t="shared" si="77"/>
        <v>#DIV/0!</v>
      </c>
    </row>
    <row r="293" spans="1:16" ht="16.5" x14ac:dyDescent="0.25">
      <c r="A293" s="585">
        <v>4</v>
      </c>
      <c r="B293" s="590" t="s">
        <v>543</v>
      </c>
      <c r="C293" s="586"/>
      <c r="D293" s="586"/>
      <c r="E293" s="586"/>
      <c r="F293" s="586"/>
      <c r="G293" s="586"/>
      <c r="H293" s="586"/>
      <c r="I293" s="586"/>
      <c r="J293" s="586"/>
      <c r="K293" s="586"/>
      <c r="L293" s="586"/>
      <c r="M293" s="586"/>
      <c r="N293" s="586"/>
    </row>
    <row r="294" spans="1:16" ht="16.5" x14ac:dyDescent="0.25">
      <c r="A294" s="588"/>
      <c r="B294" s="591" t="s">
        <v>734</v>
      </c>
      <c r="C294" s="588">
        <f>SUM(C295:C295)</f>
        <v>0</v>
      </c>
      <c r="D294" s="588">
        <f>SUM(D295:D295)</f>
        <v>0</v>
      </c>
      <c r="E294" s="589" t="e">
        <f>C294/D294*100</f>
        <v>#DIV/0!</v>
      </c>
      <c r="F294" s="588">
        <f>SUM(F295:F295)</f>
        <v>0</v>
      </c>
      <c r="G294" s="588">
        <f>SUM(G295:G295)</f>
        <v>0</v>
      </c>
      <c r="H294" s="589" t="e">
        <f>F294/G294*100</f>
        <v>#DIV/0!</v>
      </c>
      <c r="I294" s="588">
        <f>SUM(I295:I295)</f>
        <v>0</v>
      </c>
      <c r="J294" s="588">
        <f>SUM(J295:J295)</f>
        <v>0</v>
      </c>
      <c r="K294" s="589" t="e">
        <f>I294/J294*100</f>
        <v>#DIV/0!</v>
      </c>
      <c r="L294" s="588">
        <f>SUM(L295:L295)</f>
        <v>0</v>
      </c>
      <c r="M294" s="588">
        <f>SUM(M295:M295)</f>
        <v>0</v>
      </c>
      <c r="N294" s="589">
        <v>0</v>
      </c>
    </row>
    <row r="295" spans="1:16" ht="17.25" x14ac:dyDescent="0.25">
      <c r="A295" s="307">
        <v>1</v>
      </c>
      <c r="B295" s="548" t="s">
        <v>728</v>
      </c>
      <c r="C295" s="426"/>
      <c r="D295" s="426"/>
      <c r="E295" s="323" t="e">
        <f>C295/D295*100</f>
        <v>#DIV/0!</v>
      </c>
      <c r="F295" s="426"/>
      <c r="G295" s="426"/>
      <c r="H295" s="323" t="e">
        <f>F295/G295*100</f>
        <v>#DIV/0!</v>
      </c>
      <c r="I295" s="426"/>
      <c r="J295" s="426"/>
      <c r="K295" s="323" t="e">
        <f>I295/J295*100</f>
        <v>#DIV/0!</v>
      </c>
      <c r="L295" s="426"/>
      <c r="M295" s="426"/>
      <c r="N295" s="323">
        <v>0</v>
      </c>
    </row>
  </sheetData>
  <mergeCells count="39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M4:M8"/>
    <mergeCell ref="N4:N8"/>
    <mergeCell ref="L4:L8"/>
    <mergeCell ref="G4:G8"/>
    <mergeCell ref="H4:H8"/>
    <mergeCell ref="I4:I8"/>
    <mergeCell ref="J4:J8"/>
    <mergeCell ref="K4:K8"/>
    <mergeCell ref="A29:N30"/>
    <mergeCell ref="A246:B246"/>
    <mergeCell ref="A95:B95"/>
    <mergeCell ref="A55:B55"/>
    <mergeCell ref="A69:B69"/>
    <mergeCell ref="A79:B79"/>
    <mergeCell ref="B31:B32"/>
    <mergeCell ref="C31:G31"/>
    <mergeCell ref="H31:K31"/>
    <mergeCell ref="A34:B34"/>
    <mergeCell ref="A35:B35"/>
    <mergeCell ref="A31:A32"/>
    <mergeCell ref="A265:B265"/>
    <mergeCell ref="A286:B286"/>
    <mergeCell ref="A132:B132"/>
    <mergeCell ref="A133:B133"/>
    <mergeCell ref="A158:B158"/>
    <mergeCell ref="A159:B159"/>
    <mergeCell ref="A188:B188"/>
    <mergeCell ref="A194:B194"/>
    <mergeCell ref="A237:B237"/>
  </mergeCells>
  <pageMargins left="0.25" right="0.25" top="0.25" bottom="0.25" header="0.25" footer="0.25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topLeftCell="A75" zoomScale="90" zoomScaleNormal="90" workbookViewId="0">
      <selection activeCell="L88" sqref="L88"/>
    </sheetView>
  </sheetViews>
  <sheetFormatPr defaultColWidth="11.28515625" defaultRowHeight="15" x14ac:dyDescent="0.25"/>
  <cols>
    <col min="1" max="1" width="6.85546875" style="126" customWidth="1"/>
    <col min="2" max="2" width="28.85546875" style="126" customWidth="1"/>
    <col min="3" max="3" width="14.85546875" style="126" customWidth="1"/>
    <col min="4" max="4" width="14.42578125" style="126" customWidth="1"/>
    <col min="5" max="5" width="12.5703125" style="126" customWidth="1"/>
    <col min="6" max="6" width="14.7109375" style="126" customWidth="1"/>
    <col min="7" max="7" width="12.42578125" style="126" customWidth="1"/>
    <col min="8" max="8" width="10.42578125" style="126" customWidth="1"/>
    <col min="9" max="9" width="15.28515625" style="126" customWidth="1"/>
    <col min="10" max="10" width="14.5703125" style="126" customWidth="1"/>
    <col min="11" max="11" width="8" style="126" customWidth="1"/>
    <col min="12" max="12" width="13.7109375" style="126" customWidth="1"/>
    <col min="13" max="13" width="12.28515625" style="126" customWidth="1"/>
    <col min="14" max="14" width="11" style="126" customWidth="1"/>
    <col min="15" max="16384" width="11.28515625" style="126"/>
  </cols>
  <sheetData>
    <row r="1" spans="1:14" s="556" customFormat="1" ht="16.5" x14ac:dyDescent="0.25">
      <c r="A1" s="1051" t="s">
        <v>776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</row>
    <row r="2" spans="1:14" s="556" customFormat="1" ht="21.75" customHeight="1" thickBot="1" x14ac:dyDescent="0.3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16.5" x14ac:dyDescent="0.25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</row>
    <row r="4" spans="1:14" s="556" customFormat="1" ht="16.5" customHeight="1" x14ac:dyDescent="0.25">
      <c r="A4" s="1021"/>
      <c r="B4" s="1013"/>
      <c r="C4" s="1064" t="s">
        <v>777</v>
      </c>
      <c r="D4" s="1064" t="s">
        <v>778</v>
      </c>
      <c r="E4" s="1067" t="s">
        <v>545</v>
      </c>
      <c r="F4" s="1064" t="s">
        <v>779</v>
      </c>
      <c r="G4" s="1064" t="s">
        <v>780</v>
      </c>
      <c r="H4" s="1067" t="s">
        <v>545</v>
      </c>
      <c r="I4" s="1064" t="s">
        <v>781</v>
      </c>
      <c r="J4" s="1064" t="s">
        <v>778</v>
      </c>
      <c r="K4" s="1067" t="s">
        <v>545</v>
      </c>
      <c r="L4" s="1064" t="s">
        <v>781</v>
      </c>
      <c r="M4" s="1064" t="s">
        <v>782</v>
      </c>
      <c r="N4" s="1067" t="s">
        <v>545</v>
      </c>
    </row>
    <row r="5" spans="1:14" s="556" customFormat="1" ht="16.5" x14ac:dyDescent="0.25">
      <c r="A5" s="1021"/>
      <c r="B5" s="1013"/>
      <c r="C5" s="1065"/>
      <c r="D5" s="1065"/>
      <c r="E5" s="1068"/>
      <c r="F5" s="1065"/>
      <c r="G5" s="1065"/>
      <c r="H5" s="1068"/>
      <c r="I5" s="1065"/>
      <c r="J5" s="1065"/>
      <c r="K5" s="1068"/>
      <c r="L5" s="1065"/>
      <c r="M5" s="1065"/>
      <c r="N5" s="1068"/>
    </row>
    <row r="6" spans="1:14" s="556" customFormat="1" ht="16.5" x14ac:dyDescent="0.25">
      <c r="A6" s="1021"/>
      <c r="B6" s="1013"/>
      <c r="C6" s="1065"/>
      <c r="D6" s="1065"/>
      <c r="E6" s="1068"/>
      <c r="F6" s="1065"/>
      <c r="G6" s="1065"/>
      <c r="H6" s="1068"/>
      <c r="I6" s="1065"/>
      <c r="J6" s="1065"/>
      <c r="K6" s="1068"/>
      <c r="L6" s="1065"/>
      <c r="M6" s="1065"/>
      <c r="N6" s="1068"/>
    </row>
    <row r="7" spans="1:14" s="556" customFormat="1" ht="9.75" customHeight="1" x14ac:dyDescent="0.25">
      <c r="A7" s="1021"/>
      <c r="B7" s="1013"/>
      <c r="C7" s="1065"/>
      <c r="D7" s="1065"/>
      <c r="E7" s="1068"/>
      <c r="F7" s="1065"/>
      <c r="G7" s="1065"/>
      <c r="H7" s="1068"/>
      <c r="I7" s="1065"/>
      <c r="J7" s="1065"/>
      <c r="K7" s="1068"/>
      <c r="L7" s="1065"/>
      <c r="M7" s="1065"/>
      <c r="N7" s="1068"/>
    </row>
    <row r="8" spans="1:14" s="556" customFormat="1" ht="17.25" thickBot="1" x14ac:dyDescent="0.3">
      <c r="A8" s="1022"/>
      <c r="B8" s="1014"/>
      <c r="C8" s="1066"/>
      <c r="D8" s="1066"/>
      <c r="E8" s="1069"/>
      <c r="F8" s="1066"/>
      <c r="G8" s="1066"/>
      <c r="H8" s="1069"/>
      <c r="I8" s="1066"/>
      <c r="J8" s="1066"/>
      <c r="K8" s="1069"/>
      <c r="L8" s="1066"/>
      <c r="M8" s="1066"/>
      <c r="N8" s="1069"/>
    </row>
    <row r="9" spans="1:14" s="556" customFormat="1" ht="17.25" thickBot="1" x14ac:dyDescent="0.3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</row>
    <row r="10" spans="1:14" s="557" customFormat="1" ht="34.5" x14ac:dyDescent="0.25">
      <c r="A10" s="456"/>
      <c r="B10" s="395" t="s">
        <v>348</v>
      </c>
      <c r="C10" s="396">
        <f>C11+C25</f>
        <v>730.66084379999995</v>
      </c>
      <c r="D10" s="396">
        <f>D11+D25</f>
        <v>660.09148240000002</v>
      </c>
      <c r="E10" s="397">
        <f>C10/D10*100</f>
        <v>110.69084562997536</v>
      </c>
      <c r="F10" s="396">
        <f>F11+F25</f>
        <v>96.762191000000001</v>
      </c>
      <c r="G10" s="396">
        <f>G11+G25</f>
        <v>76.9839506</v>
      </c>
      <c r="H10" s="397">
        <f>F10/G10*100</f>
        <v>125.6913814449008</v>
      </c>
      <c r="I10" s="396">
        <f>I11+I25</f>
        <v>718.16227679999997</v>
      </c>
      <c r="J10" s="396">
        <f>J11+J25</f>
        <v>657.66464369999994</v>
      </c>
      <c r="K10" s="397">
        <f>I10/J10*100</f>
        <v>109.1988574541034</v>
      </c>
      <c r="L10" s="396">
        <f>L11+L25</f>
        <v>361.72401020000001</v>
      </c>
      <c r="M10" s="396">
        <f>M11+M25</f>
        <v>363.880134</v>
      </c>
      <c r="N10" s="397">
        <f>L10/M10*100</f>
        <v>99.407463173023899</v>
      </c>
    </row>
    <row r="11" spans="1:14" ht="34.5" x14ac:dyDescent="0.25">
      <c r="A11" s="222">
        <v>1</v>
      </c>
      <c r="B11" s="373" t="s">
        <v>730</v>
      </c>
      <c r="C11" s="374">
        <f>C12+C13</f>
        <v>546.33634189999998</v>
      </c>
      <c r="D11" s="374">
        <f>D12+D13</f>
        <v>509.08443890000001</v>
      </c>
      <c r="E11" s="374">
        <f>C11/D11*100</f>
        <v>107.31743108873877</v>
      </c>
      <c r="F11" s="374">
        <f>F12+F13</f>
        <v>70.647935799999999</v>
      </c>
      <c r="G11" s="374">
        <f>G12+G13</f>
        <v>59.007585599999999</v>
      </c>
      <c r="H11" s="374">
        <f>F11/G11*100</f>
        <v>119.72687084489016</v>
      </c>
      <c r="I11" s="374">
        <f>I12+I13</f>
        <v>533.8377749</v>
      </c>
      <c r="J11" s="374">
        <f>J12+J13</f>
        <v>506.65760019999993</v>
      </c>
      <c r="K11" s="374">
        <f>I11/J11*100</f>
        <v>105.36460416053582</v>
      </c>
      <c r="L11" s="374">
        <f>L12+L13</f>
        <v>347.06562819999999</v>
      </c>
      <c r="M11" s="374">
        <f>M12+M13</f>
        <v>349.30896000000001</v>
      </c>
      <c r="N11" s="374">
        <f>L11/M11*100</f>
        <v>99.357780058089546</v>
      </c>
    </row>
    <row r="12" spans="1:14" ht="45" customHeight="1" thickBot="1" x14ac:dyDescent="0.3">
      <c r="A12" s="476">
        <v>1.1000000000000001</v>
      </c>
      <c r="B12" s="400" t="s">
        <v>527</v>
      </c>
      <c r="C12" s="390">
        <f>C134/1000000</f>
        <v>149.35375999999999</v>
      </c>
      <c r="D12" s="390">
        <f>D134/1000000</f>
        <v>151.344255</v>
      </c>
      <c r="E12" s="392">
        <f>E134</f>
        <v>98.684789852115628</v>
      </c>
      <c r="F12" s="390">
        <f>F134/1000000</f>
        <v>16.220749000000001</v>
      </c>
      <c r="G12" s="390">
        <f>G134/1000000</f>
        <v>15.626177999999999</v>
      </c>
      <c r="H12" s="391">
        <f>H134</f>
        <v>103.80496753588753</v>
      </c>
      <c r="I12" s="390">
        <f>I134/1000000</f>
        <v>139.046314</v>
      </c>
      <c r="J12" s="390">
        <f>J134/1000000</f>
        <v>167.20073099999999</v>
      </c>
      <c r="K12" s="391">
        <f>K134</f>
        <v>83.16130747059951</v>
      </c>
      <c r="L12" s="390">
        <f>L134/1000000</f>
        <v>94.485468999999995</v>
      </c>
      <c r="M12" s="390">
        <f>M134/1000000</f>
        <v>124.739361</v>
      </c>
      <c r="N12" s="392">
        <f>N134</f>
        <v>75.746314749840664</v>
      </c>
    </row>
    <row r="13" spans="1:14" ht="49.5" x14ac:dyDescent="0.25">
      <c r="A13" s="353">
        <v>1.2</v>
      </c>
      <c r="B13" s="401" t="s">
        <v>350</v>
      </c>
      <c r="C13" s="379">
        <f>SUM(C14:C24)</f>
        <v>396.98258190000001</v>
      </c>
      <c r="D13" s="379">
        <f>SUM(D14:D24)</f>
        <v>357.74018390000003</v>
      </c>
      <c r="E13" s="380">
        <f t="shared" ref="E13" si="0">C13/D13*100</f>
        <v>110.96952474619668</v>
      </c>
      <c r="F13" s="379">
        <f>SUM(F14:F24)</f>
        <v>54.427186800000001</v>
      </c>
      <c r="G13" s="379">
        <f>SUM(G14:G24)</f>
        <v>43.381407600000003</v>
      </c>
      <c r="H13" s="380">
        <f t="shared" ref="H13" si="1">F13/G13*100</f>
        <v>125.46201197952828</v>
      </c>
      <c r="I13" s="379">
        <f>SUM(I14:I24)</f>
        <v>394.7914609</v>
      </c>
      <c r="J13" s="379">
        <f>SUM(J14:J24)</f>
        <v>339.45686919999997</v>
      </c>
      <c r="K13" s="380">
        <f t="shared" ref="K13" si="2">I13/J13*100</f>
        <v>116.30091971047969</v>
      </c>
      <c r="L13" s="379">
        <f>SUM(L14:L24)</f>
        <v>252.5801592</v>
      </c>
      <c r="M13" s="379">
        <f>SUM(M14:M24)</f>
        <v>224.56959900000001</v>
      </c>
      <c r="N13" s="380">
        <f t="shared" ref="N13" si="3">L13/M13*100</f>
        <v>112.47299738020193</v>
      </c>
    </row>
    <row r="14" spans="1:14" ht="17.25" x14ac:dyDescent="0.25">
      <c r="A14" s="483" t="s">
        <v>528</v>
      </c>
      <c r="B14" s="535" t="s">
        <v>791</v>
      </c>
      <c r="C14" s="520">
        <f>C144/1000000</f>
        <v>139.34304</v>
      </c>
      <c r="D14" s="520">
        <f>D144/1000000</f>
        <v>134.32809399999999</v>
      </c>
      <c r="E14" s="521">
        <f>E144</f>
        <v>103.73335603198539</v>
      </c>
      <c r="F14" s="520">
        <f>F144/1000000</f>
        <v>14.293549000000001</v>
      </c>
      <c r="G14" s="520">
        <f>G144/1000000</f>
        <v>13.146997000000001</v>
      </c>
      <c r="H14" s="521">
        <f>H144</f>
        <v>108.72101819145468</v>
      </c>
      <c r="I14" s="520">
        <f>I144/1000000</f>
        <v>141.21067099999999</v>
      </c>
      <c r="J14" s="520">
        <f>J144/1000000</f>
        <v>129.20326700000001</v>
      </c>
      <c r="K14" s="521">
        <f>K144</f>
        <v>109.29342134978677</v>
      </c>
      <c r="L14" s="520">
        <f>L144/1000000</f>
        <v>129.269418</v>
      </c>
      <c r="M14" s="520">
        <f>M144/1000000</f>
        <v>121.99474600000001</v>
      </c>
      <c r="N14" s="521">
        <f>N144</f>
        <v>105.96310270607883</v>
      </c>
    </row>
    <row r="15" spans="1:14" ht="17.25" x14ac:dyDescent="0.25">
      <c r="A15" s="7" t="s">
        <v>529</v>
      </c>
      <c r="B15" s="535" t="s">
        <v>792</v>
      </c>
      <c r="C15" s="520">
        <f>C154/1000000</f>
        <v>11.813958</v>
      </c>
      <c r="D15" s="520">
        <f>D154/1000000</f>
        <v>12.452945</v>
      </c>
      <c r="E15" s="521">
        <f>E154</f>
        <v>94.868788065794874</v>
      </c>
      <c r="F15" s="520">
        <f>F154/1000000</f>
        <v>1.4479660000000001</v>
      </c>
      <c r="G15" s="520">
        <f>G154/1000000</f>
        <v>1.4145509999999999</v>
      </c>
      <c r="H15" s="521">
        <f>H154</f>
        <v>102.36223366990656</v>
      </c>
      <c r="I15" s="520">
        <f>I154/1000000</f>
        <v>11.908135</v>
      </c>
      <c r="J15" s="520">
        <f>J154/1000000</f>
        <v>11.641662999999999</v>
      </c>
      <c r="K15" s="521">
        <f>K154</f>
        <v>102.28895132937623</v>
      </c>
      <c r="L15" s="520">
        <f>L154/1000000</f>
        <v>4.6878830000000002</v>
      </c>
      <c r="M15" s="520">
        <f>M154/1000000</f>
        <v>5.2790559999999997</v>
      </c>
      <c r="N15" s="521">
        <f>N154</f>
        <v>88.801539517671344</v>
      </c>
    </row>
    <row r="16" spans="1:14" ht="17.25" x14ac:dyDescent="0.25">
      <c r="A16" s="483" t="s">
        <v>530</v>
      </c>
      <c r="B16" s="535" t="s">
        <v>793</v>
      </c>
      <c r="C16" s="520">
        <f>C236/1000000</f>
        <v>12.007054</v>
      </c>
      <c r="D16" s="520">
        <f>D236/1000000</f>
        <v>12.372347</v>
      </c>
      <c r="E16" s="521">
        <f>E236</f>
        <v>97.047504406399213</v>
      </c>
      <c r="F16" s="520">
        <f>F236/1000000</f>
        <v>1.0651900000000001</v>
      </c>
      <c r="G16" s="520">
        <f>G236/1000000</f>
        <v>1.288535</v>
      </c>
      <c r="H16" s="521">
        <f>H236</f>
        <v>82.666749448016546</v>
      </c>
      <c r="I16" s="520">
        <f>I236/1000000</f>
        <v>11.852239000000001</v>
      </c>
      <c r="J16" s="520">
        <f>J236/1000000</f>
        <v>12.330987</v>
      </c>
      <c r="K16" s="521">
        <f>K236</f>
        <v>96.117520844032995</v>
      </c>
      <c r="L16" s="520">
        <f>L236/1000000</f>
        <v>13.57183</v>
      </c>
      <c r="M16" s="520">
        <f>M236/1000000</f>
        <v>7.3696380000000001</v>
      </c>
      <c r="N16" s="521">
        <f>N236</f>
        <v>184.15870630280619</v>
      </c>
    </row>
    <row r="17" spans="1:14" ht="17.25" x14ac:dyDescent="0.25">
      <c r="A17" s="7" t="s">
        <v>531</v>
      </c>
      <c r="B17" s="535" t="s">
        <v>354</v>
      </c>
      <c r="C17" s="520">
        <f>C35/1000000</f>
        <v>1.729876</v>
      </c>
      <c r="D17" s="520">
        <f>D35/1000000</f>
        <v>2.5544210000000001</v>
      </c>
      <c r="E17" s="521">
        <f>E35</f>
        <v>67.720865119727719</v>
      </c>
      <c r="F17" s="520">
        <f>F35/1000000</f>
        <v>0.207922</v>
      </c>
      <c r="G17" s="520">
        <f>G35/1000000</f>
        <v>0.27135900000000002</v>
      </c>
      <c r="H17" s="521">
        <f>H35</f>
        <v>76.62248165714054</v>
      </c>
      <c r="I17" s="520">
        <f>I35/1000000</f>
        <v>1.704569</v>
      </c>
      <c r="J17" s="520">
        <f>J35/1000000</f>
        <v>2.5830989999999998</v>
      </c>
      <c r="K17" s="521">
        <f>K35</f>
        <v>65.989301997329562</v>
      </c>
      <c r="L17" s="520">
        <f>L35/1000000</f>
        <v>0.84612699999999996</v>
      </c>
      <c r="M17" s="520">
        <f>M35/1000000</f>
        <v>1.4473549999999999</v>
      </c>
      <c r="N17" s="521">
        <f>N35</f>
        <v>58.460225722093064</v>
      </c>
    </row>
    <row r="18" spans="1:14" ht="17.25" x14ac:dyDescent="0.25">
      <c r="A18" s="483" t="s">
        <v>532</v>
      </c>
      <c r="B18" s="535" t="s">
        <v>355</v>
      </c>
      <c r="C18" s="520">
        <f>C55/1000000</f>
        <v>1.703694</v>
      </c>
      <c r="D18" s="520">
        <f>D55/1000000</f>
        <v>1.5919620000000001</v>
      </c>
      <c r="E18" s="521">
        <f>E55</f>
        <v>107.01850923577321</v>
      </c>
      <c r="F18" s="520">
        <f>F55/1000000</f>
        <v>0.20491400000000001</v>
      </c>
      <c r="G18" s="520">
        <f>G55/1000000</f>
        <v>0.18948000000000001</v>
      </c>
      <c r="H18" s="521">
        <f>H55</f>
        <v>108.14545070719865</v>
      </c>
      <c r="I18" s="520">
        <f>I55/1000000</f>
        <v>1.756877</v>
      </c>
      <c r="J18" s="520">
        <f>J55/1000000</f>
        <v>1.651759</v>
      </c>
      <c r="K18" s="521">
        <f>K55</f>
        <v>106.36400346539658</v>
      </c>
      <c r="L18" s="520">
        <f>L55/1000000</f>
        <v>1.029328</v>
      </c>
      <c r="M18" s="520">
        <f>M55/1000000</f>
        <v>0.89776999999999996</v>
      </c>
      <c r="N18" s="521">
        <f>N55</f>
        <v>114.65386457555944</v>
      </c>
    </row>
    <row r="19" spans="1:14" ht="17.25" x14ac:dyDescent="0.25">
      <c r="A19" s="7" t="s">
        <v>533</v>
      </c>
      <c r="B19" s="535" t="s">
        <v>356</v>
      </c>
      <c r="C19" s="520">
        <f>C69/1000000</f>
        <v>1.1827700000000001</v>
      </c>
      <c r="D19" s="520">
        <f>D69/1000000</f>
        <v>1.3599939999999999</v>
      </c>
      <c r="E19" s="521">
        <f>E69</f>
        <v>86.968766038673692</v>
      </c>
      <c r="F19" s="520">
        <f>F69/1000000</f>
        <v>0.14611399999999999</v>
      </c>
      <c r="G19" s="520">
        <f>G69/1000000</f>
        <v>0.20782800000000001</v>
      </c>
      <c r="H19" s="521">
        <f>H69</f>
        <v>70.305252420270605</v>
      </c>
      <c r="I19" s="520">
        <f>I69/1000000</f>
        <v>1.1679409999999999</v>
      </c>
      <c r="J19" s="520">
        <f>J69/1000000</f>
        <v>1.3632230000000001</v>
      </c>
      <c r="K19" s="521">
        <f>K69</f>
        <v>85.674977608212302</v>
      </c>
      <c r="L19" s="520">
        <f>L69/1000000</f>
        <v>0.59652099999999997</v>
      </c>
      <c r="M19" s="520">
        <f>M69/1000000</f>
        <v>0.71395600000000004</v>
      </c>
      <c r="N19" s="521">
        <f>N69</f>
        <v>83.551507375804661</v>
      </c>
    </row>
    <row r="20" spans="1:14" ht="17.25" x14ac:dyDescent="0.25">
      <c r="A20" s="483" t="s">
        <v>534</v>
      </c>
      <c r="B20" s="535" t="s">
        <v>357</v>
      </c>
      <c r="C20" s="520">
        <f>C79/1000000</f>
        <v>6.3401399999999999</v>
      </c>
      <c r="D20" s="520">
        <f>D79/1000000</f>
        <v>8.9023190000000003</v>
      </c>
      <c r="E20" s="521">
        <f>E79</f>
        <v>71.218971146731548</v>
      </c>
      <c r="F20" s="520">
        <f>F79/1000000</f>
        <v>0.65023900000000001</v>
      </c>
      <c r="G20" s="520">
        <f>G79/1000000</f>
        <v>0.696936</v>
      </c>
      <c r="H20" s="521">
        <f>H79</f>
        <v>93.299671705866828</v>
      </c>
      <c r="I20" s="520">
        <f>I79/1000000</f>
        <v>8.1913520000000002</v>
      </c>
      <c r="J20" s="520">
        <f>J79/1000000</f>
        <v>8.8780640000000002</v>
      </c>
      <c r="K20" s="521">
        <f>K79</f>
        <v>92.265070402736455</v>
      </c>
      <c r="L20" s="520">
        <f>L79/1000000</f>
        <v>2.743401</v>
      </c>
      <c r="M20" s="520">
        <f>M79/1000000</f>
        <v>2.8792960000000001</v>
      </c>
      <c r="N20" s="521">
        <f>N79</f>
        <v>95.28026989930872</v>
      </c>
    </row>
    <row r="21" spans="1:14" ht="34.5" x14ac:dyDescent="0.25">
      <c r="A21" s="7" t="s">
        <v>535</v>
      </c>
      <c r="B21" s="535" t="s">
        <v>358</v>
      </c>
      <c r="C21" s="521">
        <f>C159/1000000</f>
        <v>217.799621</v>
      </c>
      <c r="D21" s="521">
        <f>D159/1000000</f>
        <v>180.60826499999999</v>
      </c>
      <c r="E21" s="521">
        <f>E159</f>
        <v>120.59227798904995</v>
      </c>
      <c r="F21" s="520">
        <f>F159/1000000</f>
        <v>35.840654000000001</v>
      </c>
      <c r="G21" s="520">
        <f>G159/1000000</f>
        <v>25.587485000000001</v>
      </c>
      <c r="H21" s="521">
        <f>H159</f>
        <v>140.07103081838642</v>
      </c>
      <c r="I21" s="520">
        <f>I159/1000000</f>
        <v>212.034424</v>
      </c>
      <c r="J21" s="520">
        <f>J159/1000000</f>
        <v>168.56417200000001</v>
      </c>
      <c r="K21" s="521">
        <f>K159</f>
        <v>125.78854775853554</v>
      </c>
      <c r="L21" s="520">
        <f>L159/1000000</f>
        <v>97.232476200000008</v>
      </c>
      <c r="M21" s="520">
        <f>M159/1000000</f>
        <v>82.797701000000004</v>
      </c>
      <c r="N21" s="521">
        <f>N159</f>
        <v>117.43378744296294</v>
      </c>
    </row>
    <row r="22" spans="1:14" ht="34.5" x14ac:dyDescent="0.25">
      <c r="A22" s="483" t="s">
        <v>536</v>
      </c>
      <c r="B22" s="535" t="s">
        <v>359</v>
      </c>
      <c r="C22" s="520">
        <f>C95/1000000</f>
        <v>3.974475</v>
      </c>
      <c r="D22" s="520">
        <f>D95/1000000</f>
        <v>2.4965470000000001</v>
      </c>
      <c r="E22" s="521">
        <f>E95</f>
        <v>159.19888550065352</v>
      </c>
      <c r="F22" s="520">
        <f>F95/1000000</f>
        <v>0.436583</v>
      </c>
      <c r="G22" s="520">
        <f>G95/1000000</f>
        <v>0.44049100000000002</v>
      </c>
      <c r="H22" s="521">
        <f>H95</f>
        <v>99.112808207205134</v>
      </c>
      <c r="I22" s="520">
        <f>I95/1000000</f>
        <v>4.1776080000000002</v>
      </c>
      <c r="J22" s="520">
        <f>J95/1000000</f>
        <v>2.5566970000000002</v>
      </c>
      <c r="K22" s="521">
        <f>K95</f>
        <v>163.3986350357512</v>
      </c>
      <c r="L22" s="520">
        <f>L95/1000000</f>
        <v>2.5293380000000001</v>
      </c>
      <c r="M22" s="520">
        <f>M95/1000000</f>
        <v>1.167035</v>
      </c>
      <c r="N22" s="521">
        <f>N95</f>
        <v>216.73197461944156</v>
      </c>
    </row>
    <row r="23" spans="1:14" ht="17.25" x14ac:dyDescent="0.25">
      <c r="A23" s="7" t="s">
        <v>537</v>
      </c>
      <c r="B23" s="535" t="s">
        <v>360</v>
      </c>
      <c r="C23" s="520">
        <f>C125/1000000</f>
        <v>0.136072</v>
      </c>
      <c r="D23" s="520">
        <f>D125/1000000</f>
        <v>0.140739</v>
      </c>
      <c r="E23" s="521">
        <f>E125</f>
        <v>96.683932669693547</v>
      </c>
      <c r="F23" s="520">
        <f>F125/1000000</f>
        <v>2.1180000000000001E-2</v>
      </c>
      <c r="G23" s="520">
        <f>G125/1000000</f>
        <v>3.5690000000000001E-3</v>
      </c>
      <c r="H23" s="521">
        <f>H125</f>
        <v>593.44354160829369</v>
      </c>
      <c r="I23" s="520">
        <f>I125/1000000</f>
        <v>0.140261</v>
      </c>
      <c r="J23" s="520">
        <f>J125/1000000</f>
        <v>0.12086</v>
      </c>
      <c r="K23" s="521">
        <f>K125</f>
        <v>116.05245738871422</v>
      </c>
      <c r="L23" s="520">
        <f>L125/1000000</f>
        <v>5.5146000000000001E-2</v>
      </c>
      <c r="M23" s="521">
        <f>M125/1000000</f>
        <v>1.9451E-2</v>
      </c>
      <c r="N23" s="521">
        <f>N125</f>
        <v>283.51241581409698</v>
      </c>
    </row>
    <row r="24" spans="1:14" ht="35.25" thickBot="1" x14ac:dyDescent="0.3">
      <c r="A24" s="483" t="s">
        <v>538</v>
      </c>
      <c r="B24" s="535" t="s">
        <v>361</v>
      </c>
      <c r="C24" s="520">
        <f>C253/1000000</f>
        <v>0.95188190000000006</v>
      </c>
      <c r="D24" s="520">
        <f>D253/1000000</f>
        <v>0.93255090000000007</v>
      </c>
      <c r="E24" s="521">
        <f>E253</f>
        <v>102.07291634161739</v>
      </c>
      <c r="F24" s="520">
        <f>F253/1000000</f>
        <v>0.1128758</v>
      </c>
      <c r="G24" s="520">
        <f>G253/1000000</f>
        <v>0.13417660000000001</v>
      </c>
      <c r="H24" s="521">
        <f>H253</f>
        <v>84.124802685416086</v>
      </c>
      <c r="I24" s="520">
        <f>I253/1000000</f>
        <v>0.64738390000000001</v>
      </c>
      <c r="J24" s="520">
        <f>J253/1000000</f>
        <v>0.56307819999999997</v>
      </c>
      <c r="K24" s="521">
        <f>K253</f>
        <v>114.97228981693841</v>
      </c>
      <c r="L24" s="520">
        <f>L253/1000000</f>
        <v>1.8690999999999999E-2</v>
      </c>
      <c r="M24" s="540">
        <f>M253/1000000</f>
        <v>3.5950000000000001E-3</v>
      </c>
      <c r="N24" s="521">
        <f>N253</f>
        <v>519.91655076495135</v>
      </c>
    </row>
    <row r="25" spans="1:14" s="556" customFormat="1" ht="18" thickBot="1" x14ac:dyDescent="0.3">
      <c r="A25" s="458">
        <v>2</v>
      </c>
      <c r="B25" s="458" t="s">
        <v>322</v>
      </c>
      <c r="C25" s="526">
        <f>C265/1000000</f>
        <v>184.3245019</v>
      </c>
      <c r="D25" s="526">
        <f>D265/1000000</f>
        <v>151.00704350000001</v>
      </c>
      <c r="E25" s="526">
        <f t="shared" ref="E25" si="4">C25/D25*100</f>
        <v>122.06351281885735</v>
      </c>
      <c r="F25" s="526">
        <f>F265/1000000</f>
        <v>26.114255199999999</v>
      </c>
      <c r="G25" s="526">
        <f>G265/1000000</f>
        <v>17.976365000000001</v>
      </c>
      <c r="H25" s="526">
        <f t="shared" ref="H25" si="5">F25/G25*100</f>
        <v>145.26994306134748</v>
      </c>
      <c r="I25" s="526">
        <f>I265/1000000</f>
        <v>184.3245019</v>
      </c>
      <c r="J25" s="526">
        <f>J265/1000000</f>
        <v>151.00704350000001</v>
      </c>
      <c r="K25" s="526">
        <f t="shared" ref="K25" si="6">I25/J25*100</f>
        <v>122.06351281885735</v>
      </c>
      <c r="L25" s="526">
        <f>L265/1000000</f>
        <v>14.658382</v>
      </c>
      <c r="M25" s="526">
        <f>M265/1000000</f>
        <v>14.571173999999999</v>
      </c>
      <c r="N25" s="526">
        <f t="shared" ref="N25" si="7">L25/M25*100</f>
        <v>100.59849673059975</v>
      </c>
    </row>
    <row r="26" spans="1:14" s="556" customFormat="1" ht="18" thickBot="1" x14ac:dyDescent="0.3">
      <c r="A26" s="458">
        <v>3</v>
      </c>
      <c r="B26" s="462" t="s">
        <v>321</v>
      </c>
      <c r="C26" s="558">
        <f>C285/1000000</f>
        <v>1.528016</v>
      </c>
      <c r="D26" s="558">
        <f>D285/1000000</f>
        <v>1.6113820000000001</v>
      </c>
      <c r="E26" s="529">
        <f>C26/D26*100</f>
        <v>94.826428494298682</v>
      </c>
      <c r="F26" s="559">
        <f>F285/1000000</f>
        <v>0.16391900000000001</v>
      </c>
      <c r="G26" s="559">
        <f>G285/1000000</f>
        <v>0.173343</v>
      </c>
      <c r="H26" s="529">
        <f>F26/G26*100</f>
        <v>94.563380119185666</v>
      </c>
      <c r="I26" s="558">
        <f>I285/1000000</f>
        <v>1.795703</v>
      </c>
      <c r="J26" s="558">
        <f>J285/1000000</f>
        <v>1.757533</v>
      </c>
      <c r="K26" s="529">
        <f>I26/J26*100</f>
        <v>102.1717942138213</v>
      </c>
      <c r="L26" s="558">
        <f>L285/1000000</f>
        <v>0.30697000000000002</v>
      </c>
      <c r="M26" s="558">
        <f>M285/1000000</f>
        <v>0.35015099999999999</v>
      </c>
      <c r="N26" s="529">
        <f>L26/M26*100</f>
        <v>87.667891852372264</v>
      </c>
    </row>
    <row r="27" spans="1:14" ht="18" thickBot="1" x14ac:dyDescent="0.3">
      <c r="A27" s="460">
        <v>4</v>
      </c>
      <c r="B27" s="461" t="s">
        <v>517</v>
      </c>
      <c r="C27" s="477">
        <f>C293/1000000</f>
        <v>0</v>
      </c>
      <c r="D27" s="477">
        <f>D293/1000000</f>
        <v>0</v>
      </c>
      <c r="E27" s="533" t="e">
        <f>C27/D27*100</f>
        <v>#DIV/0!</v>
      </c>
      <c r="F27" s="477">
        <f>F293/1000000</f>
        <v>0</v>
      </c>
      <c r="G27" s="477">
        <f>G293/1000000</f>
        <v>0</v>
      </c>
      <c r="H27" s="533" t="e">
        <f>F27/G27*100</f>
        <v>#DIV/0!</v>
      </c>
      <c r="I27" s="477">
        <f>I293/1000000</f>
        <v>0</v>
      </c>
      <c r="J27" s="477">
        <f>J293/1000000</f>
        <v>0</v>
      </c>
      <c r="K27" s="533" t="e">
        <f>I27/J27*100</f>
        <v>#DIV/0!</v>
      </c>
      <c r="L27" s="459">
        <f>L293</f>
        <v>0</v>
      </c>
      <c r="M27" s="459">
        <f>M293</f>
        <v>0</v>
      </c>
      <c r="N27" s="410">
        <v>0</v>
      </c>
    </row>
    <row r="28" spans="1:14" ht="228" customHeight="1" x14ac:dyDescent="0.25"/>
    <row r="29" spans="1:14" x14ac:dyDescent="0.25">
      <c r="A29" s="941" t="s">
        <v>794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</row>
    <row r="30" spans="1:14" s="560" customFormat="1" ht="20.25" customHeight="1" thickBot="1" x14ac:dyDescent="0.3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4"/>
    </row>
    <row r="32" spans="1:14" ht="63" customHeight="1" thickBot="1" x14ac:dyDescent="0.3">
      <c r="A32" s="1038"/>
      <c r="B32" s="1039"/>
      <c r="C32" s="600" t="s">
        <v>777</v>
      </c>
      <c r="D32" s="600" t="s">
        <v>778</v>
      </c>
      <c r="E32" s="600" t="s">
        <v>323</v>
      </c>
      <c r="F32" s="600" t="s">
        <v>779</v>
      </c>
      <c r="G32" s="600" t="s">
        <v>795</v>
      </c>
      <c r="H32" s="600" t="s">
        <v>323</v>
      </c>
      <c r="I32" s="600" t="s">
        <v>777</v>
      </c>
      <c r="J32" s="600" t="s">
        <v>778</v>
      </c>
      <c r="K32" s="600" t="s">
        <v>323</v>
      </c>
      <c r="L32" s="600" t="s">
        <v>777</v>
      </c>
      <c r="M32" s="600" t="s">
        <v>778</v>
      </c>
      <c r="N32" s="600" t="s">
        <v>323</v>
      </c>
    </row>
    <row r="33" spans="1:16" ht="15.75" customHeight="1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</row>
    <row r="34" spans="1:16" ht="15" customHeight="1" x14ac:dyDescent="0.25">
      <c r="A34" s="1043" t="s">
        <v>741</v>
      </c>
      <c r="B34" s="1044" t="s">
        <v>78</v>
      </c>
      <c r="C34" s="464">
        <f>C35+C55+C69</f>
        <v>4616340</v>
      </c>
      <c r="D34" s="464">
        <f>D35+D55+D69</f>
        <v>5506377</v>
      </c>
      <c r="E34" s="465">
        <f>C34/D34*100</f>
        <v>83.836250224058389</v>
      </c>
      <c r="F34" s="464">
        <f>F35+F55+F69</f>
        <v>558950</v>
      </c>
      <c r="G34" s="464">
        <f>G35+G55+G69</f>
        <v>668667</v>
      </c>
      <c r="H34" s="465">
        <f>F34/G34*100</f>
        <v>83.591683154694337</v>
      </c>
      <c r="I34" s="464">
        <f>I35+I55+I69</f>
        <v>4629387</v>
      </c>
      <c r="J34" s="464">
        <f>J35+J55+J69</f>
        <v>5598081</v>
      </c>
      <c r="K34" s="465">
        <f>I34/J34*100</f>
        <v>82.695963134509839</v>
      </c>
      <c r="L34" s="464">
        <f>L35+L55+L69</f>
        <v>2471976</v>
      </c>
      <c r="M34" s="464">
        <f>M35+M55+M69</f>
        <v>3059081</v>
      </c>
      <c r="N34" s="465">
        <f>L34/M34*100</f>
        <v>80.80779815898957</v>
      </c>
    </row>
    <row r="35" spans="1:16" ht="17.25" x14ac:dyDescent="0.25">
      <c r="A35" s="1033" t="s">
        <v>740</v>
      </c>
      <c r="B35" s="1034"/>
      <c r="C35" s="254">
        <f>SUM(C36:C53)</f>
        <v>1729876</v>
      </c>
      <c r="D35" s="254">
        <f>SUM(D36:D53)</f>
        <v>2554421</v>
      </c>
      <c r="E35" s="452">
        <f>C35/D35*100</f>
        <v>67.720865119727719</v>
      </c>
      <c r="F35" s="254">
        <f>SUM(F36:F53)</f>
        <v>207922</v>
      </c>
      <c r="G35" s="254">
        <f>SUM(G36:G53)</f>
        <v>271359</v>
      </c>
      <c r="H35" s="254">
        <f>F35/G35*100</f>
        <v>76.62248165714054</v>
      </c>
      <c r="I35" s="254">
        <f>SUM(I36:I53)</f>
        <v>1704569</v>
      </c>
      <c r="J35" s="254">
        <f>SUM(J36:J53)</f>
        <v>2583099</v>
      </c>
      <c r="K35" s="254">
        <f>I35/J35*100</f>
        <v>65.989301997329562</v>
      </c>
      <c r="L35" s="254">
        <f>SUM(L36:L53)</f>
        <v>846127</v>
      </c>
      <c r="M35" s="254">
        <f>SUM(M36:M53)</f>
        <v>1447355</v>
      </c>
      <c r="N35" s="254">
        <f>L35/M35*100</f>
        <v>58.460225722093064</v>
      </c>
    </row>
    <row r="36" spans="1:16" ht="17.25" x14ac:dyDescent="0.25">
      <c r="A36" s="253">
        <v>1</v>
      </c>
      <c r="B36" s="544" t="s">
        <v>577</v>
      </c>
      <c r="C36" s="247">
        <v>74654</v>
      </c>
      <c r="D36" s="247">
        <v>101946</v>
      </c>
      <c r="E36" s="425">
        <f>C36/D36*100</f>
        <v>73.228964353677441</v>
      </c>
      <c r="F36" s="247">
        <v>3065</v>
      </c>
      <c r="G36" s="247">
        <v>8848</v>
      </c>
      <c r="H36" s="425">
        <f>F36/G36*100</f>
        <v>34.640596745027125</v>
      </c>
      <c r="I36" s="247">
        <v>61839</v>
      </c>
      <c r="J36" s="247">
        <v>101946</v>
      </c>
      <c r="K36" s="425">
        <f>I36/J36*100</f>
        <v>60.658583956212112</v>
      </c>
      <c r="L36" s="247">
        <v>0</v>
      </c>
      <c r="M36" s="247">
        <v>1672</v>
      </c>
      <c r="N36" s="425">
        <f>L36/M36*100</f>
        <v>0</v>
      </c>
      <c r="O36" s="126">
        <v>70</v>
      </c>
      <c r="P36" s="126">
        <v>123</v>
      </c>
    </row>
    <row r="37" spans="1:16" ht="34.5" x14ac:dyDescent="0.25">
      <c r="A37" s="253">
        <v>2</v>
      </c>
      <c r="B37" s="544" t="s">
        <v>578</v>
      </c>
      <c r="C37" s="247">
        <v>244127</v>
      </c>
      <c r="D37" s="247">
        <v>282336</v>
      </c>
      <c r="E37" s="425">
        <f t="shared" ref="E37:E53" si="8">C37/D37*100</f>
        <v>86.466833843363929</v>
      </c>
      <c r="F37" s="247">
        <v>35252</v>
      </c>
      <c r="G37" s="247">
        <v>62926</v>
      </c>
      <c r="H37" s="425">
        <f t="shared" ref="H37:H53" si="9">F37/G37*100</f>
        <v>56.021358421002446</v>
      </c>
      <c r="I37" s="247">
        <v>244127</v>
      </c>
      <c r="J37" s="247">
        <v>282336</v>
      </c>
      <c r="K37" s="425">
        <f t="shared" ref="K37:K53" si="10">I37/J37*100</f>
        <v>86.466833843363929</v>
      </c>
      <c r="L37" s="247">
        <v>67466</v>
      </c>
      <c r="M37" s="247">
        <v>170662</v>
      </c>
      <c r="N37" s="425">
        <f t="shared" ref="N37:N53" si="11">L37/M37*100</f>
        <v>39.531940326493306</v>
      </c>
      <c r="O37" s="126">
        <v>74</v>
      </c>
      <c r="P37" s="126">
        <v>211</v>
      </c>
    </row>
    <row r="38" spans="1:16" ht="17.25" x14ac:dyDescent="0.25">
      <c r="A38" s="253">
        <v>3</v>
      </c>
      <c r="B38" s="544" t="s">
        <v>579</v>
      </c>
      <c r="C38" s="247">
        <v>49430</v>
      </c>
      <c r="D38" s="247">
        <v>61223</v>
      </c>
      <c r="E38" s="425">
        <f t="shared" si="8"/>
        <v>80.737631282361207</v>
      </c>
      <c r="F38" s="247">
        <v>3922</v>
      </c>
      <c r="G38" s="247">
        <v>3856</v>
      </c>
      <c r="H38" s="425">
        <f t="shared" si="9"/>
        <v>101.71161825726141</v>
      </c>
      <c r="I38" s="247">
        <v>44365</v>
      </c>
      <c r="J38" s="247">
        <v>96933</v>
      </c>
      <c r="K38" s="425">
        <f t="shared" si="10"/>
        <v>45.768726852568271</v>
      </c>
      <c r="L38" s="247">
        <v>0</v>
      </c>
      <c r="M38" s="247">
        <v>0</v>
      </c>
      <c r="N38" s="425" t="e">
        <f t="shared" si="11"/>
        <v>#DIV/0!</v>
      </c>
      <c r="O38" s="126">
        <v>20</v>
      </c>
      <c r="P38" s="126">
        <v>90</v>
      </c>
    </row>
    <row r="39" spans="1:16" ht="51.75" x14ac:dyDescent="0.25">
      <c r="A39" s="253">
        <v>4</v>
      </c>
      <c r="B39" s="544" t="s">
        <v>580</v>
      </c>
      <c r="C39" s="247">
        <v>24760</v>
      </c>
      <c r="D39" s="247">
        <v>21830</v>
      </c>
      <c r="E39" s="425">
        <f t="shared" si="8"/>
        <v>113.42189647274392</v>
      </c>
      <c r="F39" s="247">
        <v>4200</v>
      </c>
      <c r="G39" s="247">
        <v>3200</v>
      </c>
      <c r="H39" s="425">
        <f t="shared" si="9"/>
        <v>131.25</v>
      </c>
      <c r="I39" s="247">
        <v>24231</v>
      </c>
      <c r="J39" s="247">
        <v>23697</v>
      </c>
      <c r="K39" s="425">
        <f t="shared" si="10"/>
        <v>102.25344980377263</v>
      </c>
      <c r="L39" s="247">
        <v>24231</v>
      </c>
      <c r="M39" s="247">
        <v>23697</v>
      </c>
      <c r="N39" s="425">
        <f t="shared" si="11"/>
        <v>102.25344980377263</v>
      </c>
      <c r="O39" s="126">
        <v>15</v>
      </c>
      <c r="P39" s="126">
        <v>60</v>
      </c>
    </row>
    <row r="40" spans="1:16" ht="34.5" x14ac:dyDescent="0.25">
      <c r="A40" s="253">
        <v>5</v>
      </c>
      <c r="B40" s="544" t="s">
        <v>581</v>
      </c>
      <c r="C40" s="247">
        <v>42209</v>
      </c>
      <c r="D40" s="247">
        <v>34520</v>
      </c>
      <c r="E40" s="425">
        <f t="shared" si="8"/>
        <v>122.27404403244495</v>
      </c>
      <c r="F40" s="247">
        <v>4697</v>
      </c>
      <c r="G40" s="247">
        <v>3189</v>
      </c>
      <c r="H40" s="425">
        <f t="shared" si="9"/>
        <v>147.28755095641267</v>
      </c>
      <c r="I40" s="247">
        <v>41982</v>
      </c>
      <c r="J40" s="247">
        <v>51167</v>
      </c>
      <c r="K40" s="425">
        <f t="shared" si="10"/>
        <v>82.04897687962945</v>
      </c>
      <c r="L40" s="247">
        <v>5380</v>
      </c>
      <c r="M40" s="247">
        <v>5695</v>
      </c>
      <c r="N40" s="425">
        <f t="shared" si="11"/>
        <v>94.468832309043023</v>
      </c>
      <c r="O40" s="126">
        <v>51</v>
      </c>
      <c r="P40" s="126">
        <v>65</v>
      </c>
    </row>
    <row r="41" spans="1:16" ht="17.25" x14ac:dyDescent="0.25">
      <c r="A41" s="253">
        <v>6</v>
      </c>
      <c r="B41" s="544" t="s">
        <v>582</v>
      </c>
      <c r="C41" s="247">
        <v>113726</v>
      </c>
      <c r="D41" s="247">
        <v>119014</v>
      </c>
      <c r="E41" s="425">
        <f t="shared" si="8"/>
        <v>95.556825247449879</v>
      </c>
      <c r="F41" s="247">
        <v>13486</v>
      </c>
      <c r="G41" s="247">
        <v>13745</v>
      </c>
      <c r="H41" s="425">
        <f t="shared" si="9"/>
        <v>98.115678428519459</v>
      </c>
      <c r="I41" s="247">
        <v>116854</v>
      </c>
      <c r="J41" s="247">
        <v>109912</v>
      </c>
      <c r="K41" s="425">
        <f t="shared" si="10"/>
        <v>106.31596186039741</v>
      </c>
      <c r="L41" s="247">
        <v>6398</v>
      </c>
      <c r="M41" s="247">
        <v>0</v>
      </c>
      <c r="N41" s="425" t="e">
        <f t="shared" si="11"/>
        <v>#DIV/0!</v>
      </c>
      <c r="O41" s="126">
        <v>64</v>
      </c>
      <c r="P41" s="126">
        <v>85</v>
      </c>
    </row>
    <row r="42" spans="1:16" ht="34.5" x14ac:dyDescent="0.25">
      <c r="A42" s="253">
        <v>7</v>
      </c>
      <c r="B42" s="544" t="s">
        <v>583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0</v>
      </c>
      <c r="J42" s="247">
        <v>0</v>
      </c>
      <c r="K42" s="425" t="e">
        <f t="shared" si="10"/>
        <v>#DIV/0!</v>
      </c>
      <c r="L42" s="247">
        <v>0</v>
      </c>
      <c r="M42" s="247">
        <v>0</v>
      </c>
      <c r="N42" s="425" t="e">
        <f t="shared" si="11"/>
        <v>#DIV/0!</v>
      </c>
      <c r="O42" s="126">
        <v>0</v>
      </c>
      <c r="P42" s="126">
        <v>0</v>
      </c>
    </row>
    <row r="43" spans="1:16" ht="51.75" x14ac:dyDescent="0.25">
      <c r="A43" s="253">
        <v>8</v>
      </c>
      <c r="B43" s="544" t="s">
        <v>584</v>
      </c>
      <c r="C43" s="247">
        <v>86941</v>
      </c>
      <c r="D43" s="247">
        <v>109259</v>
      </c>
      <c r="E43" s="425">
        <f t="shared" si="8"/>
        <v>79.573307462085509</v>
      </c>
      <c r="F43" s="247">
        <v>9034</v>
      </c>
      <c r="G43" s="247">
        <v>4865</v>
      </c>
      <c r="H43" s="425">
        <f t="shared" si="9"/>
        <v>185.69373072970194</v>
      </c>
      <c r="I43" s="247">
        <v>87177</v>
      </c>
      <c r="J43" s="247">
        <v>109259</v>
      </c>
      <c r="K43" s="425">
        <f t="shared" si="10"/>
        <v>79.789307974629097</v>
      </c>
      <c r="L43" s="247">
        <v>0</v>
      </c>
      <c r="M43" s="247">
        <v>0</v>
      </c>
      <c r="N43" s="425" t="e">
        <f t="shared" si="11"/>
        <v>#DIV/0!</v>
      </c>
      <c r="O43" s="126">
        <v>36</v>
      </c>
      <c r="P43" s="126">
        <v>109</v>
      </c>
    </row>
    <row r="44" spans="1:16" ht="17.25" x14ac:dyDescent="0.25">
      <c r="A44" s="253">
        <v>9</v>
      </c>
      <c r="B44" s="544" t="s">
        <v>585</v>
      </c>
      <c r="C44" s="247">
        <v>109894</v>
      </c>
      <c r="D44" s="247">
        <v>242045</v>
      </c>
      <c r="E44" s="425">
        <f t="shared" si="8"/>
        <v>45.402301224978828</v>
      </c>
      <c r="F44" s="247">
        <v>11360</v>
      </c>
      <c r="G44" s="247">
        <v>15755</v>
      </c>
      <c r="H44" s="425">
        <f t="shared" si="9"/>
        <v>72.104093938432243</v>
      </c>
      <c r="I44" s="247">
        <v>111303</v>
      </c>
      <c r="J44" s="247">
        <v>216844</v>
      </c>
      <c r="K44" s="425">
        <f t="shared" si="10"/>
        <v>51.32860489568538</v>
      </c>
      <c r="L44" s="247">
        <v>0</v>
      </c>
      <c r="M44" s="247">
        <v>0</v>
      </c>
      <c r="N44" s="425" t="e">
        <f t="shared" si="11"/>
        <v>#DIV/0!</v>
      </c>
      <c r="O44" s="126">
        <v>52</v>
      </c>
      <c r="P44" s="126">
        <v>135</v>
      </c>
    </row>
    <row r="45" spans="1:16" ht="17.25" x14ac:dyDescent="0.25">
      <c r="A45" s="253">
        <v>10</v>
      </c>
      <c r="B45" s="544" t="s">
        <v>381</v>
      </c>
      <c r="C45" s="247">
        <v>549387</v>
      </c>
      <c r="D45" s="247">
        <v>615082</v>
      </c>
      <c r="E45" s="425">
        <f t="shared" si="8"/>
        <v>89.319310270825682</v>
      </c>
      <c r="F45" s="247">
        <v>89876</v>
      </c>
      <c r="G45" s="247">
        <v>74704</v>
      </c>
      <c r="H45" s="425">
        <f t="shared" si="9"/>
        <v>120.3094881130863</v>
      </c>
      <c r="I45" s="247">
        <v>563754</v>
      </c>
      <c r="J45" s="247">
        <v>618999</v>
      </c>
      <c r="K45" s="425">
        <f t="shared" si="10"/>
        <v>91.075106744922039</v>
      </c>
      <c r="L45" s="247">
        <v>561927</v>
      </c>
      <c r="M45" s="247">
        <v>616398</v>
      </c>
      <c r="N45" s="425">
        <f t="shared" si="11"/>
        <v>91.163014805369258</v>
      </c>
      <c r="O45" s="126">
        <v>202</v>
      </c>
      <c r="P45" s="126">
        <v>84</v>
      </c>
    </row>
    <row r="46" spans="1:16" ht="34.5" x14ac:dyDescent="0.25">
      <c r="A46" s="253">
        <v>11</v>
      </c>
      <c r="B46" s="544" t="s">
        <v>586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>F46/G46*100</f>
        <v>#DIV/0!</v>
      </c>
      <c r="I46" s="247">
        <v>0</v>
      </c>
      <c r="J46" s="247">
        <v>0</v>
      </c>
      <c r="K46" s="425" t="e">
        <f t="shared" si="10"/>
        <v>#DIV/0!</v>
      </c>
      <c r="L46" s="247">
        <v>0</v>
      </c>
      <c r="M46" s="247">
        <v>0</v>
      </c>
      <c r="N46" s="425" t="e">
        <f t="shared" si="11"/>
        <v>#DIV/0!</v>
      </c>
      <c r="O46" s="126">
        <v>0</v>
      </c>
      <c r="P46" s="126">
        <v>0</v>
      </c>
    </row>
    <row r="47" spans="1:16" ht="17.25" x14ac:dyDescent="0.25">
      <c r="A47" s="253">
        <v>12</v>
      </c>
      <c r="B47" s="544" t="s">
        <v>587</v>
      </c>
      <c r="C47" s="247">
        <v>35991</v>
      </c>
      <c r="D47" s="247">
        <v>67552</v>
      </c>
      <c r="E47" s="425">
        <f t="shared" si="8"/>
        <v>53.278955471340595</v>
      </c>
      <c r="F47" s="247">
        <v>2907</v>
      </c>
      <c r="G47" s="247">
        <v>2581</v>
      </c>
      <c r="H47" s="425">
        <f>F47/G47*100</f>
        <v>112.63076327005037</v>
      </c>
      <c r="I47" s="247">
        <v>35991</v>
      </c>
      <c r="J47" s="247">
        <v>78290</v>
      </c>
      <c r="K47" s="425">
        <f t="shared" si="10"/>
        <v>45.971388427640825</v>
      </c>
      <c r="L47" s="247">
        <v>14908</v>
      </c>
      <c r="M47" s="247">
        <v>69431</v>
      </c>
      <c r="N47" s="425">
        <f t="shared" si="11"/>
        <v>21.471676916651063</v>
      </c>
      <c r="O47" s="126">
        <v>8</v>
      </c>
      <c r="P47" s="126">
        <v>114</v>
      </c>
    </row>
    <row r="48" spans="1:16" ht="34.5" x14ac:dyDescent="0.25">
      <c r="A48" s="253">
        <v>13</v>
      </c>
      <c r="B48" s="544" t="s">
        <v>588</v>
      </c>
      <c r="C48" s="247">
        <v>184739</v>
      </c>
      <c r="D48" s="247">
        <v>275736</v>
      </c>
      <c r="E48" s="425">
        <f t="shared" si="8"/>
        <v>66.998505817158431</v>
      </c>
      <c r="F48" s="247">
        <v>26233</v>
      </c>
      <c r="G48" s="247">
        <v>39357</v>
      </c>
      <c r="H48" s="425">
        <f>F48/G48*100</f>
        <v>66.65396244632467</v>
      </c>
      <c r="I48" s="247">
        <v>177848</v>
      </c>
      <c r="J48" s="247">
        <v>269779</v>
      </c>
      <c r="K48" s="425">
        <f t="shared" si="10"/>
        <v>65.923589308285671</v>
      </c>
      <c r="L48" s="247">
        <v>0</v>
      </c>
      <c r="M48" s="247">
        <v>0</v>
      </c>
      <c r="N48" s="425" t="e">
        <f t="shared" si="11"/>
        <v>#DIV/0!</v>
      </c>
      <c r="O48" s="126">
        <v>44</v>
      </c>
      <c r="P48" s="126">
        <v>136</v>
      </c>
    </row>
    <row r="49" spans="1:16" ht="17.25" x14ac:dyDescent="0.25">
      <c r="A49" s="253">
        <v>14</v>
      </c>
      <c r="B49" s="544" t="s">
        <v>589</v>
      </c>
      <c r="C49" s="247">
        <v>17017</v>
      </c>
      <c r="D49" s="247">
        <v>17268</v>
      </c>
      <c r="E49" s="425">
        <f t="shared" si="8"/>
        <v>98.546444290016211</v>
      </c>
      <c r="F49" s="247">
        <v>1865</v>
      </c>
      <c r="G49" s="247">
        <v>2484</v>
      </c>
      <c r="H49" s="425">
        <f t="shared" si="9"/>
        <v>75.080515297906601</v>
      </c>
      <c r="I49" s="247">
        <v>14097</v>
      </c>
      <c r="J49" s="247">
        <v>17327</v>
      </c>
      <c r="K49" s="425">
        <f t="shared" si="10"/>
        <v>81.358573324868701</v>
      </c>
      <c r="L49" s="247">
        <v>761</v>
      </c>
      <c r="M49" s="247">
        <v>1576</v>
      </c>
      <c r="N49" s="425">
        <f t="shared" si="11"/>
        <v>48.286802030456855</v>
      </c>
      <c r="O49" s="126">
        <v>14</v>
      </c>
      <c r="P49" s="126">
        <v>80</v>
      </c>
    </row>
    <row r="50" spans="1:16" ht="34.5" x14ac:dyDescent="0.25">
      <c r="A50" s="253">
        <v>15</v>
      </c>
      <c r="B50" s="544" t="s">
        <v>760</v>
      </c>
      <c r="C50" s="247">
        <v>0</v>
      </c>
      <c r="D50" s="247">
        <v>0</v>
      </c>
      <c r="E50" s="425" t="e">
        <f t="shared" si="8"/>
        <v>#DIV/0!</v>
      </c>
      <c r="F50" s="247">
        <v>0</v>
      </c>
      <c r="G50" s="247">
        <v>0</v>
      </c>
      <c r="H50" s="425" t="e">
        <f t="shared" si="9"/>
        <v>#DIV/0!</v>
      </c>
      <c r="I50" s="247">
        <v>0</v>
      </c>
      <c r="J50" s="247">
        <v>0</v>
      </c>
      <c r="K50" s="425" t="e">
        <f t="shared" si="10"/>
        <v>#DIV/0!</v>
      </c>
      <c r="L50" s="247">
        <v>0</v>
      </c>
      <c r="M50" s="247">
        <v>0</v>
      </c>
      <c r="N50" s="425" t="e">
        <f t="shared" si="11"/>
        <v>#DIV/0!</v>
      </c>
      <c r="O50" s="126">
        <v>0</v>
      </c>
      <c r="P50" s="126">
        <v>0</v>
      </c>
    </row>
    <row r="51" spans="1:16" ht="17.25" x14ac:dyDescent="0.25">
      <c r="A51" s="253">
        <v>16</v>
      </c>
      <c r="B51" s="544" t="s">
        <v>591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17</v>
      </c>
      <c r="B52" s="544" t="s">
        <v>761</v>
      </c>
      <c r="C52" s="247">
        <v>14295</v>
      </c>
      <c r="D52" s="247">
        <v>17421</v>
      </c>
      <c r="E52" s="425">
        <f t="shared" si="8"/>
        <v>82.056139142414324</v>
      </c>
      <c r="F52" s="247">
        <v>2025</v>
      </c>
      <c r="G52" s="247">
        <v>0</v>
      </c>
      <c r="H52" s="425" t="e">
        <f t="shared" si="9"/>
        <v>#DIV/0!</v>
      </c>
      <c r="I52" s="247">
        <v>14295</v>
      </c>
      <c r="J52" s="247">
        <v>17421</v>
      </c>
      <c r="K52" s="425">
        <f t="shared" si="10"/>
        <v>82.056139142414324</v>
      </c>
      <c r="L52" s="247">
        <v>0</v>
      </c>
      <c r="M52" s="247">
        <v>0</v>
      </c>
      <c r="N52" s="425" t="e">
        <f t="shared" si="11"/>
        <v>#DIV/0!</v>
      </c>
      <c r="O52" s="126">
        <v>4</v>
      </c>
      <c r="P52" s="126">
        <v>66</v>
      </c>
    </row>
    <row r="53" spans="1:16" s="668" customFormat="1" ht="17.25" x14ac:dyDescent="0.25">
      <c r="A53" s="664">
        <v>18</v>
      </c>
      <c r="B53" s="665" t="s">
        <v>593</v>
      </c>
      <c r="C53" s="666">
        <v>182706</v>
      </c>
      <c r="D53" s="666">
        <v>589189</v>
      </c>
      <c r="E53" s="667">
        <f t="shared" si="8"/>
        <v>31.009743902211344</v>
      </c>
      <c r="F53" s="666"/>
      <c r="G53" s="666">
        <v>35849</v>
      </c>
      <c r="H53" s="667">
        <f t="shared" si="9"/>
        <v>0</v>
      </c>
      <c r="I53" s="666">
        <v>166706</v>
      </c>
      <c r="J53" s="666">
        <v>589189</v>
      </c>
      <c r="K53" s="667">
        <f t="shared" si="10"/>
        <v>28.294146699955363</v>
      </c>
      <c r="L53" s="666">
        <v>165056</v>
      </c>
      <c r="M53" s="666">
        <v>558224</v>
      </c>
      <c r="N53" s="667">
        <f t="shared" si="11"/>
        <v>29.568058700449999</v>
      </c>
      <c r="P53" s="668">
        <v>87</v>
      </c>
    </row>
    <row r="54" spans="1:16" s="561" customFormat="1" x14ac:dyDescent="0.25"/>
    <row r="55" spans="1:16" ht="17.25" x14ac:dyDescent="0.25">
      <c r="A55" s="1033" t="s">
        <v>739</v>
      </c>
      <c r="B55" s="1034"/>
      <c r="C55" s="450">
        <f>SUM(C56:C67)</f>
        <v>1703694</v>
      </c>
      <c r="D55" s="450">
        <f>SUM(D56:D67)</f>
        <v>1591962</v>
      </c>
      <c r="E55" s="453">
        <f>C55/D55*100</f>
        <v>107.01850923577321</v>
      </c>
      <c r="F55" s="450">
        <f>SUM(F56:F67)</f>
        <v>204914</v>
      </c>
      <c r="G55" s="450">
        <f>SUM(G56:G67)</f>
        <v>189480</v>
      </c>
      <c r="H55" s="453">
        <f>F55/G55*100</f>
        <v>108.14545070719865</v>
      </c>
      <c r="I55" s="450">
        <f>SUM(I56:I67)</f>
        <v>1756877</v>
      </c>
      <c r="J55" s="450">
        <f>SUM(J56:J67)</f>
        <v>1651759</v>
      </c>
      <c r="K55" s="453">
        <f>I55/J55*100</f>
        <v>106.36400346539658</v>
      </c>
      <c r="L55" s="450">
        <f>SUM(L56:L67)</f>
        <v>1029328</v>
      </c>
      <c r="M55" s="450">
        <f>SUM(M56:M67)</f>
        <v>897770</v>
      </c>
      <c r="N55" s="453">
        <f>L55/M55*100</f>
        <v>114.65386457555944</v>
      </c>
    </row>
    <row r="56" spans="1:16" ht="17.25" x14ac:dyDescent="0.25">
      <c r="A56" s="253">
        <v>1</v>
      </c>
      <c r="B56" s="544" t="s">
        <v>594</v>
      </c>
      <c r="C56" s="247">
        <v>295200</v>
      </c>
      <c r="D56" s="247">
        <v>422053</v>
      </c>
      <c r="E56" s="425">
        <f t="shared" ref="E56:E64" si="12">C56/D56*100</f>
        <v>69.943822221379776</v>
      </c>
      <c r="F56" s="247">
        <v>47200</v>
      </c>
      <c r="G56" s="247">
        <v>52053</v>
      </c>
      <c r="H56" s="425">
        <f t="shared" ref="H56:H67" si="13">F56/G56*100</f>
        <v>90.676810174245475</v>
      </c>
      <c r="I56" s="247">
        <v>332329</v>
      </c>
      <c r="J56" s="247">
        <v>430910</v>
      </c>
      <c r="K56" s="425">
        <f t="shared" ref="K56:K63" si="14">I56/J56*100</f>
        <v>77.122601007170871</v>
      </c>
      <c r="L56" s="247">
        <v>295200</v>
      </c>
      <c r="M56" s="247">
        <v>422053</v>
      </c>
      <c r="N56" s="247">
        <f t="shared" ref="N56:N67" si="15">L56/M56*100</f>
        <v>69.943822221379776</v>
      </c>
      <c r="O56" s="126">
        <v>133</v>
      </c>
      <c r="P56" s="126">
        <v>94</v>
      </c>
    </row>
    <row r="57" spans="1:16" ht="17.25" x14ac:dyDescent="0.25">
      <c r="A57" s="253">
        <v>2</v>
      </c>
      <c r="B57" s="544" t="s">
        <v>595</v>
      </c>
      <c r="C57" s="247">
        <v>68185</v>
      </c>
      <c r="D57" s="247">
        <v>76801</v>
      </c>
      <c r="E57" s="425">
        <f t="shared" si="12"/>
        <v>88.781396075571934</v>
      </c>
      <c r="F57" s="247">
        <v>27094</v>
      </c>
      <c r="G57" s="247">
        <v>6793</v>
      </c>
      <c r="H57" s="425">
        <f t="shared" si="13"/>
        <v>398.85175916384514</v>
      </c>
      <c r="I57" s="247">
        <v>62339</v>
      </c>
      <c r="J57" s="247">
        <v>57223</v>
      </c>
      <c r="K57" s="425">
        <f t="shared" si="14"/>
        <v>108.94046100344268</v>
      </c>
      <c r="L57" s="247">
        <v>0</v>
      </c>
      <c r="M57" s="247">
        <v>0</v>
      </c>
      <c r="N57" s="247" t="e">
        <f t="shared" si="15"/>
        <v>#DIV/0!</v>
      </c>
      <c r="O57" s="126">
        <v>95</v>
      </c>
      <c r="P57" s="126">
        <v>105</v>
      </c>
    </row>
    <row r="58" spans="1:16" ht="17.25" x14ac:dyDescent="0.25">
      <c r="A58" s="253">
        <v>3</v>
      </c>
      <c r="B58" s="544" t="s">
        <v>596</v>
      </c>
      <c r="C58" s="247">
        <v>197365</v>
      </c>
      <c r="D58" s="247">
        <v>286963</v>
      </c>
      <c r="E58" s="425">
        <f t="shared" si="12"/>
        <v>68.777159424734208</v>
      </c>
      <c r="F58" s="247">
        <v>14105</v>
      </c>
      <c r="G58" s="247">
        <v>33138</v>
      </c>
      <c r="H58" s="425">
        <f t="shared" si="13"/>
        <v>42.564427545416137</v>
      </c>
      <c r="I58" s="247">
        <v>197365</v>
      </c>
      <c r="J58" s="247">
        <v>286963</v>
      </c>
      <c r="K58" s="425">
        <f t="shared" si="14"/>
        <v>68.777159424734208</v>
      </c>
      <c r="L58" s="247">
        <v>0</v>
      </c>
      <c r="M58" s="247">
        <v>0</v>
      </c>
      <c r="N58" s="247" t="e">
        <f t="shared" si="15"/>
        <v>#DIV/0!</v>
      </c>
      <c r="O58" s="126">
        <v>94</v>
      </c>
      <c r="P58" s="126">
        <v>121</v>
      </c>
    </row>
    <row r="59" spans="1:16" ht="17.25" x14ac:dyDescent="0.25">
      <c r="A59" s="253">
        <v>4</v>
      </c>
      <c r="B59" s="544" t="s">
        <v>597</v>
      </c>
      <c r="C59" s="247">
        <v>312376</v>
      </c>
      <c r="D59" s="247">
        <v>284749</v>
      </c>
      <c r="E59" s="425">
        <f t="shared" si="12"/>
        <v>109.702228980611</v>
      </c>
      <c r="F59" s="247">
        <v>31936</v>
      </c>
      <c r="G59" s="247">
        <v>20418</v>
      </c>
      <c r="H59" s="425">
        <f t="shared" si="13"/>
        <v>156.41100989323147</v>
      </c>
      <c r="I59" s="247">
        <v>311312</v>
      </c>
      <c r="J59" s="247">
        <v>285646</v>
      </c>
      <c r="K59" s="425">
        <f t="shared" si="14"/>
        <v>108.98524747414633</v>
      </c>
      <c r="L59" s="247">
        <v>114615</v>
      </c>
      <c r="M59" s="247">
        <v>85105</v>
      </c>
      <c r="N59" s="247">
        <f t="shared" si="15"/>
        <v>134.67481346571881</v>
      </c>
      <c r="O59" s="126">
        <v>69</v>
      </c>
      <c r="P59" s="126">
        <v>71</v>
      </c>
    </row>
    <row r="60" spans="1:16" ht="17.25" x14ac:dyDescent="0.25">
      <c r="A60" s="253">
        <v>5</v>
      </c>
      <c r="B60" s="544" t="s">
        <v>598</v>
      </c>
      <c r="C60" s="247">
        <v>0</v>
      </c>
      <c r="D60" s="247">
        <v>0</v>
      </c>
      <c r="E60" s="425" t="e">
        <f t="shared" si="12"/>
        <v>#DIV/0!</v>
      </c>
      <c r="F60" s="247">
        <v>0</v>
      </c>
      <c r="G60" s="247">
        <v>0</v>
      </c>
      <c r="H60" s="425" t="e">
        <f t="shared" si="13"/>
        <v>#DIV/0!</v>
      </c>
      <c r="I60" s="247">
        <v>0</v>
      </c>
      <c r="J60" s="247">
        <v>0</v>
      </c>
      <c r="K60" s="425">
        <v>0</v>
      </c>
      <c r="L60" s="247">
        <v>0</v>
      </c>
      <c r="M60" s="247">
        <v>0</v>
      </c>
      <c r="N60" s="247" t="e">
        <f t="shared" si="15"/>
        <v>#DIV/0!</v>
      </c>
      <c r="O60" s="126">
        <v>35</v>
      </c>
    </row>
    <row r="61" spans="1:16" ht="17.25" x14ac:dyDescent="0.25">
      <c r="A61" s="253">
        <v>6</v>
      </c>
      <c r="B61" s="544" t="s">
        <v>599</v>
      </c>
      <c r="C61" s="247">
        <v>59900</v>
      </c>
      <c r="D61" s="247">
        <v>39288</v>
      </c>
      <c r="E61" s="425">
        <f t="shared" si="12"/>
        <v>152.46385664834045</v>
      </c>
      <c r="F61" s="247">
        <v>9106</v>
      </c>
      <c r="G61" s="247">
        <v>4716</v>
      </c>
      <c r="H61" s="425">
        <f t="shared" si="13"/>
        <v>193.08736217133165</v>
      </c>
      <c r="I61" s="247">
        <v>63999</v>
      </c>
      <c r="J61" s="247">
        <v>40256</v>
      </c>
      <c r="K61" s="425">
        <f t="shared" si="14"/>
        <v>158.98002782193959</v>
      </c>
      <c r="L61" s="247">
        <v>63999</v>
      </c>
      <c r="M61" s="247">
        <v>40256</v>
      </c>
      <c r="N61" s="247">
        <f t="shared" si="15"/>
        <v>158.98002782193959</v>
      </c>
      <c r="O61" s="126">
        <v>39</v>
      </c>
      <c r="P61" s="126">
        <v>71</v>
      </c>
    </row>
    <row r="62" spans="1:16" ht="17.25" x14ac:dyDescent="0.25">
      <c r="A62" s="253">
        <v>7</v>
      </c>
      <c r="B62" s="544" t="s">
        <v>600</v>
      </c>
      <c r="C62" s="247">
        <v>81427</v>
      </c>
      <c r="D62" s="247">
        <v>40153</v>
      </c>
      <c r="E62" s="425">
        <f t="shared" si="12"/>
        <v>202.79182128359028</v>
      </c>
      <c r="F62" s="247">
        <v>7959</v>
      </c>
      <c r="G62" s="247">
        <v>4015</v>
      </c>
      <c r="H62" s="425">
        <f t="shared" si="13"/>
        <v>198.23163138231632</v>
      </c>
      <c r="I62" s="247">
        <v>83259</v>
      </c>
      <c r="J62" s="247">
        <v>57676</v>
      </c>
      <c r="K62" s="425">
        <f t="shared" si="14"/>
        <v>144.35640474374088</v>
      </c>
      <c r="L62" s="247">
        <v>82728</v>
      </c>
      <c r="M62" s="247">
        <v>57637</v>
      </c>
      <c r="N62" s="247">
        <f t="shared" si="15"/>
        <v>143.53280011103979</v>
      </c>
      <c r="O62" s="126">
        <v>36</v>
      </c>
      <c r="P62" s="126">
        <v>92</v>
      </c>
    </row>
    <row r="63" spans="1:16" ht="17.25" x14ac:dyDescent="0.25">
      <c r="A63" s="253">
        <v>8</v>
      </c>
      <c r="B63" s="544" t="s">
        <v>601</v>
      </c>
      <c r="C63" s="247">
        <v>163500</v>
      </c>
      <c r="D63" s="247">
        <v>147900</v>
      </c>
      <c r="E63" s="425">
        <f t="shared" si="12"/>
        <v>110.5476673427992</v>
      </c>
      <c r="F63" s="247">
        <v>14000</v>
      </c>
      <c r="G63" s="247">
        <v>0</v>
      </c>
      <c r="H63" s="425" t="e">
        <f t="shared" si="13"/>
        <v>#DIV/0!</v>
      </c>
      <c r="I63" s="247">
        <v>170962</v>
      </c>
      <c r="J63" s="247">
        <v>198858</v>
      </c>
      <c r="K63" s="425">
        <f t="shared" si="14"/>
        <v>85.97189954641</v>
      </c>
      <c r="L63" s="247">
        <v>170962</v>
      </c>
      <c r="M63" s="247">
        <v>198858</v>
      </c>
      <c r="N63" s="247">
        <f t="shared" si="15"/>
        <v>85.97189954641</v>
      </c>
      <c r="O63" s="126">
        <v>35</v>
      </c>
      <c r="P63" s="126">
        <v>85</v>
      </c>
    </row>
    <row r="64" spans="1:16" ht="17.25" x14ac:dyDescent="0.25">
      <c r="A64" s="253">
        <v>9</v>
      </c>
      <c r="B64" s="544" t="s">
        <v>602</v>
      </c>
      <c r="C64" s="247">
        <v>0</v>
      </c>
      <c r="D64" s="247">
        <v>0</v>
      </c>
      <c r="E64" s="425" t="e">
        <f t="shared" si="12"/>
        <v>#DIV/0!</v>
      </c>
      <c r="F64" s="247">
        <v>0</v>
      </c>
      <c r="G64" s="247">
        <v>0</v>
      </c>
      <c r="H64" s="425" t="e">
        <f t="shared" si="13"/>
        <v>#DIV/0!</v>
      </c>
      <c r="I64" s="247">
        <v>0</v>
      </c>
      <c r="J64" s="247">
        <v>0</v>
      </c>
      <c r="K64" s="425">
        <v>0</v>
      </c>
      <c r="L64" s="247">
        <v>0</v>
      </c>
      <c r="M64" s="247">
        <v>0</v>
      </c>
      <c r="N64" s="247" t="e">
        <f t="shared" si="15"/>
        <v>#DIV/0!</v>
      </c>
      <c r="O64" s="126">
        <v>0</v>
      </c>
      <c r="P64" s="126">
        <v>0</v>
      </c>
    </row>
    <row r="65" spans="1:16" ht="17.25" x14ac:dyDescent="0.25">
      <c r="A65" s="253">
        <v>10</v>
      </c>
      <c r="B65" s="544" t="s">
        <v>625</v>
      </c>
      <c r="C65" s="247">
        <v>216877</v>
      </c>
      <c r="D65" s="247">
        <v>207080</v>
      </c>
      <c r="E65" s="425">
        <f>C65/D65*100</f>
        <v>104.73102182731311</v>
      </c>
      <c r="F65" s="247">
        <v>31338</v>
      </c>
      <c r="G65" s="247">
        <v>53386</v>
      </c>
      <c r="H65" s="425">
        <f t="shared" si="13"/>
        <v>58.700782976810395</v>
      </c>
      <c r="I65" s="247">
        <v>228577</v>
      </c>
      <c r="J65" s="247">
        <v>207252</v>
      </c>
      <c r="K65" s="425">
        <f t="shared" ref="K65" si="16">I65/J65*100</f>
        <v>110.28940613359582</v>
      </c>
      <c r="L65" s="247">
        <v>28090</v>
      </c>
      <c r="M65" s="247">
        <v>18568</v>
      </c>
      <c r="N65" s="247">
        <f t="shared" si="15"/>
        <v>151.28177509694098</v>
      </c>
      <c r="O65" s="126">
        <v>162</v>
      </c>
      <c r="P65" s="126">
        <v>82</v>
      </c>
    </row>
    <row r="66" spans="1:16" ht="17.25" x14ac:dyDescent="0.25">
      <c r="A66" s="253">
        <v>11</v>
      </c>
      <c r="B66" s="544" t="s">
        <v>605</v>
      </c>
      <c r="C66" s="247">
        <v>81824</v>
      </c>
      <c r="D66" s="247">
        <v>75293</v>
      </c>
      <c r="E66" s="425">
        <f>C66/D66*100</f>
        <v>108.67411313136679</v>
      </c>
      <c r="F66" s="247">
        <v>7263</v>
      </c>
      <c r="G66" s="247">
        <v>14466</v>
      </c>
      <c r="H66" s="425">
        <f t="shared" si="13"/>
        <v>50.207382828701782</v>
      </c>
      <c r="I66" s="247">
        <v>79695</v>
      </c>
      <c r="J66" s="247">
        <v>75293</v>
      </c>
      <c r="K66" s="425">
        <f>I66/J66*100</f>
        <v>105.84649303388096</v>
      </c>
      <c r="L66" s="247">
        <v>79695</v>
      </c>
      <c r="M66" s="247">
        <v>75293</v>
      </c>
      <c r="N66" s="247">
        <f t="shared" si="15"/>
        <v>105.84649303388096</v>
      </c>
      <c r="O66" s="126">
        <v>69</v>
      </c>
      <c r="P66" s="126">
        <v>144</v>
      </c>
    </row>
    <row r="67" spans="1:16" ht="34.5" x14ac:dyDescent="0.25">
      <c r="A67" s="253">
        <v>12</v>
      </c>
      <c r="B67" s="544" t="s">
        <v>603</v>
      </c>
      <c r="C67" s="247">
        <v>227040</v>
      </c>
      <c r="D67" s="247">
        <v>11682</v>
      </c>
      <c r="E67" s="425">
        <f>C67/D67*100</f>
        <v>1943.5028248587571</v>
      </c>
      <c r="F67" s="247">
        <v>14913</v>
      </c>
      <c r="G67" s="247">
        <v>495</v>
      </c>
      <c r="H67" s="425">
        <f t="shared" si="13"/>
        <v>3012.727272727273</v>
      </c>
      <c r="I67" s="247">
        <v>227040</v>
      </c>
      <c r="J67" s="247">
        <v>11682</v>
      </c>
      <c r="K67" s="425">
        <f>I67/J67*100</f>
        <v>1943.5028248587571</v>
      </c>
      <c r="L67" s="247">
        <v>194039</v>
      </c>
      <c r="M67" s="247">
        <v>0</v>
      </c>
      <c r="N67" s="247" t="e">
        <f t="shared" si="15"/>
        <v>#DIV/0!</v>
      </c>
      <c r="O67" s="126">
        <v>59</v>
      </c>
      <c r="P67" s="126">
        <v>90</v>
      </c>
    </row>
    <row r="69" spans="1:16" ht="17.25" x14ac:dyDescent="0.25">
      <c r="A69" s="1033" t="s">
        <v>356</v>
      </c>
      <c r="B69" s="1034"/>
      <c r="C69" s="450">
        <f>SUM(C70:C77)</f>
        <v>1182770</v>
      </c>
      <c r="D69" s="450">
        <f>SUM(D70:D77)</f>
        <v>1359994</v>
      </c>
      <c r="E69" s="453">
        <f>C69/D69*100</f>
        <v>86.968766038673692</v>
      </c>
      <c r="F69" s="450">
        <f>SUM(F70:F77)</f>
        <v>146114</v>
      </c>
      <c r="G69" s="450">
        <f>SUM(G70:G77)</f>
        <v>207828</v>
      </c>
      <c r="H69" s="453">
        <f>F69/G69*100</f>
        <v>70.305252420270605</v>
      </c>
      <c r="I69" s="450">
        <f>SUM(I70:I77)</f>
        <v>1167941</v>
      </c>
      <c r="J69" s="450">
        <f>SUM(J70:J77)</f>
        <v>1363223</v>
      </c>
      <c r="K69" s="453">
        <f>I69/J69*100</f>
        <v>85.674977608212302</v>
      </c>
      <c r="L69" s="450">
        <f>SUM(L70:L77)</f>
        <v>596521</v>
      </c>
      <c r="M69" s="450">
        <f>SUM(M70:M77)</f>
        <v>713956</v>
      </c>
      <c r="N69" s="453">
        <f>L69/M69*100</f>
        <v>83.551507375804661</v>
      </c>
    </row>
    <row r="70" spans="1:16" ht="34.5" x14ac:dyDescent="0.25">
      <c r="A70" s="253">
        <v>1</v>
      </c>
      <c r="B70" s="544" t="s">
        <v>606</v>
      </c>
      <c r="C70" s="247">
        <v>9423</v>
      </c>
      <c r="D70" s="247">
        <v>9800</v>
      </c>
      <c r="E70" s="425">
        <f t="shared" ref="E70:E77" si="17">C70/D70*100</f>
        <v>96.153061224489804</v>
      </c>
      <c r="F70" s="247">
        <v>0</v>
      </c>
      <c r="G70" s="247">
        <v>37</v>
      </c>
      <c r="H70" s="425">
        <f t="shared" ref="H70:H77" si="18">F70/G70*100</f>
        <v>0</v>
      </c>
      <c r="I70" s="247">
        <v>75736</v>
      </c>
      <c r="J70" s="247">
        <v>17895</v>
      </c>
      <c r="K70" s="425">
        <f t="shared" ref="K70:K77" si="19">I70/J70*100</f>
        <v>423.2243643475831</v>
      </c>
      <c r="L70" s="247">
        <v>1653</v>
      </c>
      <c r="M70" s="247">
        <v>14671</v>
      </c>
      <c r="N70" s="247">
        <f t="shared" ref="N70:N77" si="20">L70/M70*100</f>
        <v>11.267125621975325</v>
      </c>
      <c r="O70" s="126">
        <v>131</v>
      </c>
      <c r="P70" s="126">
        <v>55</v>
      </c>
    </row>
    <row r="71" spans="1:16" ht="17.25" x14ac:dyDescent="0.25">
      <c r="A71" s="253">
        <v>2</v>
      </c>
      <c r="B71" s="544" t="s">
        <v>607</v>
      </c>
      <c r="C71" s="247">
        <v>44488</v>
      </c>
      <c r="D71" s="247">
        <v>476858</v>
      </c>
      <c r="E71" s="425">
        <f t="shared" si="17"/>
        <v>9.3294020442144205</v>
      </c>
      <c r="F71" s="247">
        <v>0</v>
      </c>
      <c r="G71" s="247">
        <v>48743</v>
      </c>
      <c r="H71" s="425">
        <f t="shared" si="18"/>
        <v>0</v>
      </c>
      <c r="I71" s="247">
        <v>44670</v>
      </c>
      <c r="J71" s="247">
        <v>476739</v>
      </c>
      <c r="K71" s="425">
        <f t="shared" si="19"/>
        <v>9.3699068043520661</v>
      </c>
      <c r="L71" s="247">
        <v>44670</v>
      </c>
      <c r="M71" s="247">
        <v>476739</v>
      </c>
      <c r="N71" s="247">
        <f t="shared" si="20"/>
        <v>9.3699068043520661</v>
      </c>
      <c r="O71" s="126">
        <v>4</v>
      </c>
      <c r="P71" s="126">
        <v>113</v>
      </c>
    </row>
    <row r="72" spans="1:16" ht="17.25" x14ac:dyDescent="0.25">
      <c r="A72" s="253">
        <v>3</v>
      </c>
      <c r="B72" s="544" t="s">
        <v>608</v>
      </c>
      <c r="C72" s="247">
        <v>1158</v>
      </c>
      <c r="D72" s="247">
        <v>22405</v>
      </c>
      <c r="E72" s="425">
        <f t="shared" si="17"/>
        <v>5.1684891765230976</v>
      </c>
      <c r="F72" s="247">
        <v>142</v>
      </c>
      <c r="G72" s="247">
        <v>745</v>
      </c>
      <c r="H72" s="425">
        <f t="shared" si="18"/>
        <v>19.060402684563758</v>
      </c>
      <c r="I72" s="247">
        <v>9373</v>
      </c>
      <c r="J72" s="247">
        <v>21271</v>
      </c>
      <c r="K72" s="425">
        <f t="shared" si="19"/>
        <v>44.064689013210476</v>
      </c>
      <c r="L72" s="247">
        <v>0</v>
      </c>
      <c r="M72" s="247">
        <v>7659</v>
      </c>
      <c r="N72" s="247">
        <f t="shared" si="20"/>
        <v>0</v>
      </c>
      <c r="O72" s="126">
        <v>38</v>
      </c>
      <c r="P72" s="126">
        <v>45</v>
      </c>
    </row>
    <row r="73" spans="1:16" ht="34.5" x14ac:dyDescent="0.25">
      <c r="A73" s="253">
        <v>4</v>
      </c>
      <c r="B73" s="544" t="s">
        <v>609</v>
      </c>
      <c r="C73" s="247">
        <v>10105</v>
      </c>
      <c r="D73" s="247">
        <v>54727</v>
      </c>
      <c r="E73" s="425">
        <f t="shared" si="17"/>
        <v>18.464377729457123</v>
      </c>
      <c r="F73" s="247">
        <v>92</v>
      </c>
      <c r="G73" s="247">
        <v>5890</v>
      </c>
      <c r="H73" s="425">
        <f t="shared" si="18"/>
        <v>1.561969439728353</v>
      </c>
      <c r="I73" s="247">
        <v>2068</v>
      </c>
      <c r="J73" s="247">
        <v>48976</v>
      </c>
      <c r="K73" s="425">
        <f t="shared" si="19"/>
        <v>4.2224763149297617</v>
      </c>
      <c r="L73" s="247">
        <v>0</v>
      </c>
      <c r="M73" s="247">
        <v>34491</v>
      </c>
      <c r="N73" s="247">
        <f t="shared" si="20"/>
        <v>0</v>
      </c>
      <c r="O73" s="126">
        <v>35</v>
      </c>
      <c r="P73" s="126">
        <v>65</v>
      </c>
    </row>
    <row r="74" spans="1:16" ht="17.25" x14ac:dyDescent="0.25">
      <c r="A74" s="253">
        <v>5</v>
      </c>
      <c r="B74" s="544" t="s">
        <v>610</v>
      </c>
      <c r="C74" s="247">
        <v>75702</v>
      </c>
      <c r="D74" s="247">
        <v>60485</v>
      </c>
      <c r="E74" s="425">
        <f t="shared" si="17"/>
        <v>125.15830371166405</v>
      </c>
      <c r="F74" s="247">
        <v>2988</v>
      </c>
      <c r="G74" s="247">
        <v>623</v>
      </c>
      <c r="H74" s="425">
        <f t="shared" si="18"/>
        <v>479.61476725521675</v>
      </c>
      <c r="I74" s="247">
        <v>75702</v>
      </c>
      <c r="J74" s="247">
        <v>60485</v>
      </c>
      <c r="K74" s="425">
        <f t="shared" si="19"/>
        <v>125.15830371166405</v>
      </c>
      <c r="L74" s="247">
        <v>56925</v>
      </c>
      <c r="M74" s="247">
        <v>47792</v>
      </c>
      <c r="N74" s="247">
        <f t="shared" si="20"/>
        <v>119.10989286909943</v>
      </c>
      <c r="O74" s="126">
        <v>65</v>
      </c>
      <c r="P74" s="126">
        <v>120</v>
      </c>
    </row>
    <row r="75" spans="1:16" ht="17.25" x14ac:dyDescent="0.25">
      <c r="A75" s="252">
        <v>6</v>
      </c>
      <c r="B75" s="544" t="s">
        <v>611</v>
      </c>
      <c r="C75" s="247">
        <v>209</v>
      </c>
      <c r="D75" s="247">
        <v>36131</v>
      </c>
      <c r="E75" s="425">
        <f t="shared" si="17"/>
        <v>0.57845063795632556</v>
      </c>
      <c r="F75" s="247">
        <v>3</v>
      </c>
      <c r="G75" s="247">
        <v>43</v>
      </c>
      <c r="H75" s="425">
        <f t="shared" si="18"/>
        <v>6.9767441860465116</v>
      </c>
      <c r="I75" s="247">
        <v>768</v>
      </c>
      <c r="J75" s="247">
        <v>55383</v>
      </c>
      <c r="K75" s="425">
        <f t="shared" si="19"/>
        <v>1.3867071122907753</v>
      </c>
      <c r="L75" s="247">
        <v>53</v>
      </c>
      <c r="M75" s="247">
        <v>33961</v>
      </c>
      <c r="N75" s="247">
        <f t="shared" si="20"/>
        <v>0.1560613645063455</v>
      </c>
      <c r="O75" s="126">
        <v>9</v>
      </c>
      <c r="P75" s="126">
        <v>95</v>
      </c>
    </row>
    <row r="76" spans="1:16" ht="17.25" x14ac:dyDescent="0.25">
      <c r="A76" s="253">
        <v>7</v>
      </c>
      <c r="B76" s="544" t="s">
        <v>612</v>
      </c>
      <c r="C76" s="247">
        <v>931165</v>
      </c>
      <c r="D76" s="247">
        <v>594579</v>
      </c>
      <c r="E76" s="425">
        <f t="shared" si="17"/>
        <v>156.60913015764095</v>
      </c>
      <c r="F76" s="247">
        <v>133545</v>
      </c>
      <c r="G76" s="247">
        <v>131380</v>
      </c>
      <c r="H76" s="425">
        <f t="shared" si="18"/>
        <v>101.64789161211752</v>
      </c>
      <c r="I76" s="247">
        <v>849104</v>
      </c>
      <c r="J76" s="247">
        <v>577465</v>
      </c>
      <c r="K76" s="425">
        <f t="shared" si="19"/>
        <v>147.03990718052177</v>
      </c>
      <c r="L76" s="247">
        <v>493220</v>
      </c>
      <c r="M76" s="247">
        <v>97598</v>
      </c>
      <c r="N76" s="247">
        <f t="shared" si="20"/>
        <v>505.3587163671387</v>
      </c>
      <c r="O76" s="126">
        <v>134</v>
      </c>
      <c r="P76" s="126">
        <v>251</v>
      </c>
    </row>
    <row r="77" spans="1:16" ht="34.5" x14ac:dyDescent="0.25">
      <c r="A77" s="253">
        <v>8</v>
      </c>
      <c r="B77" s="544" t="s">
        <v>613</v>
      </c>
      <c r="C77" s="247">
        <v>110520</v>
      </c>
      <c r="D77" s="247">
        <v>105009</v>
      </c>
      <c r="E77" s="425">
        <f t="shared" si="17"/>
        <v>105.24812158957803</v>
      </c>
      <c r="F77" s="247">
        <v>9344</v>
      </c>
      <c r="G77" s="247">
        <v>20367</v>
      </c>
      <c r="H77" s="425">
        <f t="shared" si="18"/>
        <v>45.878136200716845</v>
      </c>
      <c r="I77" s="247">
        <v>110520</v>
      </c>
      <c r="J77" s="247">
        <v>105009</v>
      </c>
      <c r="K77" s="425">
        <f t="shared" si="19"/>
        <v>105.24812158957803</v>
      </c>
      <c r="L77" s="247">
        <v>0</v>
      </c>
      <c r="M77" s="247">
        <v>1045</v>
      </c>
      <c r="N77" s="247">
        <f t="shared" si="20"/>
        <v>0</v>
      </c>
      <c r="O77" s="126">
        <v>28</v>
      </c>
      <c r="P77" s="126">
        <v>40</v>
      </c>
    </row>
    <row r="78" spans="1:16" s="127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</row>
    <row r="79" spans="1:16" ht="17.25" x14ac:dyDescent="0.25">
      <c r="A79" s="1033" t="s">
        <v>731</v>
      </c>
      <c r="B79" s="1034"/>
      <c r="C79" s="450">
        <f>SUM(C80:C93)</f>
        <v>6340140</v>
      </c>
      <c r="D79" s="450">
        <f>SUM(D80:D93)</f>
        <v>8902319</v>
      </c>
      <c r="E79" s="453">
        <f>C79/D79*100</f>
        <v>71.218971146731548</v>
      </c>
      <c r="F79" s="450">
        <f>SUM(F80:F93)</f>
        <v>650239</v>
      </c>
      <c r="G79" s="450">
        <f>SUM(G80:G93)</f>
        <v>696936</v>
      </c>
      <c r="H79" s="453">
        <f>F79/G79*100</f>
        <v>93.299671705866828</v>
      </c>
      <c r="I79" s="450">
        <f>SUM(I80:I93)</f>
        <v>8191352</v>
      </c>
      <c r="J79" s="450">
        <f>SUM(J80:J93)</f>
        <v>8878064</v>
      </c>
      <c r="K79" s="453">
        <f>I79/J79*100</f>
        <v>92.265070402736455</v>
      </c>
      <c r="L79" s="450">
        <f>SUM(L80:L93)</f>
        <v>2743401</v>
      </c>
      <c r="M79" s="450">
        <f>SUM(M80:M93)</f>
        <v>2879296</v>
      </c>
      <c r="N79" s="453">
        <f>L79/M79*100</f>
        <v>95.28026989930872</v>
      </c>
    </row>
    <row r="80" spans="1:16" ht="34.5" x14ac:dyDescent="0.25">
      <c r="A80" s="260">
        <v>1</v>
      </c>
      <c r="B80" s="544" t="s">
        <v>614</v>
      </c>
      <c r="C80" s="247">
        <v>1914</v>
      </c>
      <c r="D80" s="247">
        <v>3316</v>
      </c>
      <c r="E80" s="425">
        <f>C80/D80*100</f>
        <v>57.720144752714106</v>
      </c>
      <c r="F80" s="247">
        <v>350</v>
      </c>
      <c r="G80" s="247">
        <v>172</v>
      </c>
      <c r="H80" s="425">
        <f t="shared" ref="H80:H93" si="21">F80/G80*100</f>
        <v>203.48837209302326</v>
      </c>
      <c r="I80" s="247">
        <v>1914</v>
      </c>
      <c r="J80" s="247">
        <v>3316</v>
      </c>
      <c r="K80" s="425">
        <f t="shared" ref="K80:K93" si="22">I80/J80*100</f>
        <v>57.720144752714106</v>
      </c>
      <c r="L80" s="247">
        <v>0</v>
      </c>
      <c r="M80" s="247">
        <v>0</v>
      </c>
      <c r="N80" s="247" t="e">
        <f t="shared" ref="N80:N93" si="23">L80/M80*100</f>
        <v>#DIV/0!</v>
      </c>
      <c r="O80" s="126">
        <v>2136</v>
      </c>
      <c r="P80" s="126">
        <v>113</v>
      </c>
    </row>
    <row r="81" spans="1:16" ht="34.5" x14ac:dyDescent="0.25">
      <c r="A81" s="261">
        <v>2</v>
      </c>
      <c r="B81" s="544" t="s">
        <v>615</v>
      </c>
      <c r="C81" s="247">
        <v>4847</v>
      </c>
      <c r="D81" s="247">
        <v>3239903</v>
      </c>
      <c r="E81" s="425">
        <f t="shared" ref="E81:E93" si="24">C81/D81*100</f>
        <v>0.14960324429465943</v>
      </c>
      <c r="F81" s="247">
        <v>740</v>
      </c>
      <c r="G81" s="247">
        <v>289</v>
      </c>
      <c r="H81" s="425">
        <f t="shared" si="21"/>
        <v>256.05536332179935</v>
      </c>
      <c r="I81" s="247">
        <v>6509</v>
      </c>
      <c r="J81" s="247">
        <v>374391</v>
      </c>
      <c r="K81" s="425">
        <f t="shared" si="22"/>
        <v>1.7385567494945124</v>
      </c>
      <c r="L81" s="247">
        <v>0</v>
      </c>
      <c r="M81" s="247">
        <v>361588</v>
      </c>
      <c r="N81" s="247">
        <f t="shared" si="23"/>
        <v>0</v>
      </c>
      <c r="O81" s="126">
        <v>193</v>
      </c>
      <c r="P81" s="126">
        <v>120</v>
      </c>
    </row>
    <row r="82" spans="1:16" ht="17.25" x14ac:dyDescent="0.25">
      <c r="A82" s="260">
        <v>3</v>
      </c>
      <c r="B82" s="544" t="s">
        <v>616</v>
      </c>
      <c r="C82" s="247">
        <v>1289289</v>
      </c>
      <c r="D82" s="247">
        <v>1204019</v>
      </c>
      <c r="E82" s="425">
        <f t="shared" si="24"/>
        <v>107.08211415268363</v>
      </c>
      <c r="F82" s="247">
        <v>188174</v>
      </c>
      <c r="G82" s="247">
        <v>222835</v>
      </c>
      <c r="H82" s="425">
        <f t="shared" si="21"/>
        <v>84.445441694527346</v>
      </c>
      <c r="I82" s="247">
        <v>1477562</v>
      </c>
      <c r="J82" s="247">
        <v>1229249</v>
      </c>
      <c r="K82" s="425">
        <f t="shared" si="22"/>
        <v>120.20038250997153</v>
      </c>
      <c r="L82" s="247">
        <v>210839</v>
      </c>
      <c r="M82" s="247">
        <v>282359</v>
      </c>
      <c r="N82" s="247">
        <f t="shared" si="23"/>
        <v>74.670543527920131</v>
      </c>
      <c r="O82" s="126">
        <v>32</v>
      </c>
      <c r="P82" s="126">
        <v>365</v>
      </c>
    </row>
    <row r="83" spans="1:16" ht="17.25" x14ac:dyDescent="0.25">
      <c r="A83" s="261">
        <v>4</v>
      </c>
      <c r="B83" s="544" t="s">
        <v>604</v>
      </c>
      <c r="C83" s="247">
        <v>59748</v>
      </c>
      <c r="D83" s="247">
        <v>61490</v>
      </c>
      <c r="E83" s="425">
        <f>C83/D83*100</f>
        <v>97.167019027484145</v>
      </c>
      <c r="F83" s="247">
        <v>11925</v>
      </c>
      <c r="G83" s="247">
        <v>4878</v>
      </c>
      <c r="H83" s="425">
        <f>F83/G83*100</f>
        <v>244.46494464944649</v>
      </c>
      <c r="I83" s="247">
        <v>59749</v>
      </c>
      <c r="J83" s="247">
        <v>61490</v>
      </c>
      <c r="K83" s="425">
        <f>I83/J83*100</f>
        <v>97.168645308180189</v>
      </c>
      <c r="L83" s="247">
        <v>59748</v>
      </c>
      <c r="M83" s="247">
        <v>61490</v>
      </c>
      <c r="N83" s="247">
        <f>L83/M83*100</f>
        <v>97.167019027484145</v>
      </c>
      <c r="O83" s="126">
        <v>44</v>
      </c>
      <c r="P83" s="126">
        <v>68</v>
      </c>
    </row>
    <row r="84" spans="1:16" ht="17.25" x14ac:dyDescent="0.25">
      <c r="A84" s="260">
        <v>5</v>
      </c>
      <c r="B84" s="544" t="s">
        <v>775</v>
      </c>
      <c r="C84" s="247">
        <v>245109</v>
      </c>
      <c r="D84" s="247">
        <v>308040</v>
      </c>
      <c r="E84" s="425">
        <f t="shared" si="24"/>
        <v>79.570510323334631</v>
      </c>
      <c r="F84" s="247">
        <v>30327</v>
      </c>
      <c r="G84" s="247">
        <v>33509</v>
      </c>
      <c r="H84" s="425">
        <f t="shared" si="21"/>
        <v>90.504043689754994</v>
      </c>
      <c r="I84" s="247">
        <v>244423</v>
      </c>
      <c r="J84" s="247">
        <v>312990</v>
      </c>
      <c r="K84" s="425">
        <f t="shared" si="22"/>
        <v>78.092910316623531</v>
      </c>
      <c r="L84" s="247">
        <v>128659</v>
      </c>
      <c r="M84" s="247">
        <v>175475</v>
      </c>
      <c r="N84" s="247">
        <f t="shared" si="23"/>
        <v>73.320416013677161</v>
      </c>
      <c r="O84" s="126">
        <v>83</v>
      </c>
      <c r="P84" s="126">
        <v>72</v>
      </c>
    </row>
    <row r="85" spans="1:16" ht="17.25" x14ac:dyDescent="0.25">
      <c r="A85" s="261">
        <v>6</v>
      </c>
      <c r="B85" s="544" t="s">
        <v>619</v>
      </c>
      <c r="C85" s="247">
        <v>0</v>
      </c>
      <c r="D85" s="247">
        <v>0</v>
      </c>
      <c r="E85" s="425" t="e">
        <f t="shared" si="24"/>
        <v>#DIV/0!</v>
      </c>
      <c r="F85" s="247">
        <v>0</v>
      </c>
      <c r="G85" s="247">
        <v>0</v>
      </c>
      <c r="H85" s="425" t="e">
        <f t="shared" si="21"/>
        <v>#DIV/0!</v>
      </c>
      <c r="I85" s="247">
        <v>0</v>
      </c>
      <c r="J85" s="247">
        <v>0</v>
      </c>
      <c r="K85" s="425" t="e">
        <f t="shared" si="22"/>
        <v>#DIV/0!</v>
      </c>
      <c r="L85" s="247">
        <v>0</v>
      </c>
      <c r="M85" s="247">
        <v>0</v>
      </c>
      <c r="N85" s="247" t="e">
        <f t="shared" si="23"/>
        <v>#DIV/0!</v>
      </c>
    </row>
    <row r="86" spans="1:16" ht="17.25" x14ac:dyDescent="0.25">
      <c r="A86" s="260">
        <v>7</v>
      </c>
      <c r="B86" s="544" t="s">
        <v>620</v>
      </c>
      <c r="C86" s="247">
        <v>702631</v>
      </c>
      <c r="D86" s="247">
        <v>594181</v>
      </c>
      <c r="E86" s="425">
        <f t="shared" si="24"/>
        <v>118.25201411691052</v>
      </c>
      <c r="F86" s="247">
        <v>80987</v>
      </c>
      <c r="G86" s="247">
        <v>69732</v>
      </c>
      <c r="H86" s="425">
        <f t="shared" si="21"/>
        <v>116.14036597258072</v>
      </c>
      <c r="I86" s="247">
        <v>898734</v>
      </c>
      <c r="J86" s="247">
        <v>938304</v>
      </c>
      <c r="K86" s="425">
        <f t="shared" si="22"/>
        <v>95.782816656435443</v>
      </c>
      <c r="L86" s="247">
        <v>159656</v>
      </c>
      <c r="M86" s="247">
        <v>269546</v>
      </c>
      <c r="N86" s="247">
        <f t="shared" si="23"/>
        <v>59.2314484355175</v>
      </c>
      <c r="O86" s="126">
        <v>66</v>
      </c>
      <c r="P86" s="126">
        <v>70</v>
      </c>
    </row>
    <row r="87" spans="1:16" ht="17.25" x14ac:dyDescent="0.25">
      <c r="A87" s="261">
        <v>8</v>
      </c>
      <c r="B87" s="544" t="s">
        <v>621</v>
      </c>
      <c r="C87" s="247">
        <v>1630908</v>
      </c>
      <c r="D87" s="247">
        <v>1307383</v>
      </c>
      <c r="E87" s="425">
        <f t="shared" si="24"/>
        <v>124.74600021569809</v>
      </c>
      <c r="F87" s="247">
        <v>68656</v>
      </c>
      <c r="G87" s="247">
        <v>129834</v>
      </c>
      <c r="H87" s="425">
        <f t="shared" si="21"/>
        <v>52.87983116903122</v>
      </c>
      <c r="I87" s="247">
        <v>1598817</v>
      </c>
      <c r="J87" s="247">
        <v>1309422</v>
      </c>
      <c r="K87" s="425">
        <f t="shared" si="22"/>
        <v>122.10097279563044</v>
      </c>
      <c r="L87" s="247">
        <v>1039953</v>
      </c>
      <c r="M87" s="247">
        <v>811106</v>
      </c>
      <c r="N87" s="247">
        <f t="shared" si="23"/>
        <v>128.2141914866861</v>
      </c>
      <c r="O87" s="126">
        <v>108</v>
      </c>
      <c r="P87" s="126">
        <v>340</v>
      </c>
    </row>
    <row r="88" spans="1:16" ht="17.25" x14ac:dyDescent="0.25">
      <c r="A88" s="260">
        <v>9</v>
      </c>
      <c r="B88" s="544" t="s">
        <v>622</v>
      </c>
      <c r="C88" s="247">
        <v>741669</v>
      </c>
      <c r="D88" s="247">
        <v>832369</v>
      </c>
      <c r="E88" s="425">
        <f t="shared" si="24"/>
        <v>89.103390443421119</v>
      </c>
      <c r="F88" s="247">
        <v>78400</v>
      </c>
      <c r="G88" s="247">
        <v>97917</v>
      </c>
      <c r="H88" s="425">
        <f t="shared" si="21"/>
        <v>80.06781253510627</v>
      </c>
      <c r="I88" s="247">
        <v>738858</v>
      </c>
      <c r="J88" s="247">
        <v>711845</v>
      </c>
      <c r="K88" s="425">
        <f t="shared" si="22"/>
        <v>103.79478678644929</v>
      </c>
      <c r="L88" s="247">
        <v>263543</v>
      </c>
      <c r="M88" s="247">
        <v>208620</v>
      </c>
      <c r="N88" s="247">
        <f t="shared" si="23"/>
        <v>126.32681430351835</v>
      </c>
      <c r="O88" s="126">
        <v>82</v>
      </c>
      <c r="P88" s="126">
        <v>180</v>
      </c>
    </row>
    <row r="89" spans="1:16" ht="17.25" x14ac:dyDescent="0.25">
      <c r="A89" s="261">
        <v>10</v>
      </c>
      <c r="B89" s="544" t="s">
        <v>623</v>
      </c>
      <c r="C89" s="247">
        <v>143415</v>
      </c>
      <c r="D89" s="247">
        <v>174440</v>
      </c>
      <c r="E89" s="425">
        <f t="shared" si="24"/>
        <v>82.214515019490946</v>
      </c>
      <c r="F89" s="247">
        <v>33418</v>
      </c>
      <c r="G89" s="247">
        <v>11392</v>
      </c>
      <c r="H89" s="425">
        <f t="shared" si="21"/>
        <v>293.34620786516854</v>
      </c>
      <c r="I89" s="247">
        <v>143415</v>
      </c>
      <c r="J89" s="247">
        <v>174440</v>
      </c>
      <c r="K89" s="425">
        <f t="shared" si="22"/>
        <v>82.214515019490946</v>
      </c>
      <c r="L89" s="247">
        <v>76122</v>
      </c>
      <c r="M89" s="247">
        <v>91758</v>
      </c>
      <c r="N89" s="247">
        <f t="shared" si="23"/>
        <v>82.959523965212838</v>
      </c>
      <c r="O89" s="126">
        <v>18</v>
      </c>
      <c r="P89" s="126">
        <v>142</v>
      </c>
    </row>
    <row r="90" spans="1:16" ht="17.25" x14ac:dyDescent="0.25">
      <c r="A90" s="260">
        <v>11</v>
      </c>
      <c r="B90" s="544" t="s">
        <v>624</v>
      </c>
      <c r="C90" s="247">
        <v>342232</v>
      </c>
      <c r="D90" s="247">
        <v>280938</v>
      </c>
      <c r="E90" s="425">
        <f t="shared" si="24"/>
        <v>121.81762524115641</v>
      </c>
      <c r="F90" s="247">
        <v>45347</v>
      </c>
      <c r="G90" s="247">
        <v>28841</v>
      </c>
      <c r="H90" s="425">
        <f t="shared" si="21"/>
        <v>157.23102527651608</v>
      </c>
      <c r="I90" s="247">
        <v>1868172</v>
      </c>
      <c r="J90" s="247">
        <v>2911031</v>
      </c>
      <c r="K90" s="425">
        <f t="shared" si="22"/>
        <v>64.175613382337744</v>
      </c>
      <c r="L90" s="247">
        <v>40481</v>
      </c>
      <c r="M90" s="247">
        <v>18373</v>
      </c>
      <c r="N90" s="247">
        <f t="shared" si="23"/>
        <v>220.32874326457303</v>
      </c>
      <c r="O90" s="126">
        <v>51</v>
      </c>
      <c r="P90" s="126">
        <v>250</v>
      </c>
    </row>
    <row r="91" spans="1:16" ht="34.5" x14ac:dyDescent="0.25">
      <c r="A91" s="260">
        <v>12</v>
      </c>
      <c r="B91" s="544" t="s">
        <v>762</v>
      </c>
      <c r="C91" s="247"/>
      <c r="D91" s="247"/>
      <c r="E91" s="425" t="e">
        <f t="shared" si="24"/>
        <v>#DIV/0!</v>
      </c>
      <c r="F91" s="247"/>
      <c r="G91" s="247"/>
      <c r="H91" s="425" t="e">
        <f t="shared" si="21"/>
        <v>#DIV/0!</v>
      </c>
      <c r="I91" s="247"/>
      <c r="J91" s="247"/>
      <c r="K91" s="425" t="e">
        <f t="shared" si="22"/>
        <v>#DIV/0!</v>
      </c>
      <c r="L91" s="247"/>
      <c r="M91" s="247"/>
      <c r="N91" s="247" t="e">
        <f t="shared" si="23"/>
        <v>#DIV/0!</v>
      </c>
      <c r="O91" s="126">
        <v>17</v>
      </c>
    </row>
    <row r="92" spans="1:16" ht="17.25" x14ac:dyDescent="0.25">
      <c r="A92" s="261">
        <v>13</v>
      </c>
      <c r="B92" s="544" t="s">
        <v>626</v>
      </c>
      <c r="C92" s="247">
        <v>161964</v>
      </c>
      <c r="D92" s="247">
        <v>0</v>
      </c>
      <c r="E92" s="425" t="e">
        <f t="shared" si="24"/>
        <v>#DIV/0!</v>
      </c>
      <c r="F92" s="247">
        <v>15257</v>
      </c>
      <c r="G92" s="247">
        <v>0</v>
      </c>
      <c r="H92" s="425" t="e">
        <f t="shared" si="21"/>
        <v>#DIV/0!</v>
      </c>
      <c r="I92" s="247">
        <v>159473</v>
      </c>
      <c r="J92" s="247">
        <v>0</v>
      </c>
      <c r="K92" s="425" t="e">
        <f t="shared" si="22"/>
        <v>#DIV/0!</v>
      </c>
      <c r="L92" s="247">
        <v>0</v>
      </c>
      <c r="M92" s="247">
        <v>0</v>
      </c>
      <c r="N92" s="247" t="e">
        <f t="shared" si="23"/>
        <v>#DIV/0!</v>
      </c>
      <c r="O92" s="126">
        <v>27</v>
      </c>
    </row>
    <row r="93" spans="1:16" ht="34.5" x14ac:dyDescent="0.25">
      <c r="A93" s="598">
        <v>14</v>
      </c>
      <c r="B93" s="544" t="s">
        <v>617</v>
      </c>
      <c r="C93" s="247">
        <v>1016414</v>
      </c>
      <c r="D93" s="247">
        <v>896240</v>
      </c>
      <c r="E93" s="425">
        <f t="shared" si="24"/>
        <v>113.40868517361422</v>
      </c>
      <c r="F93" s="247">
        <v>96658</v>
      </c>
      <c r="G93" s="247">
        <v>97537</v>
      </c>
      <c r="H93" s="425">
        <f t="shared" si="21"/>
        <v>99.098803530967743</v>
      </c>
      <c r="I93" s="247">
        <v>993726</v>
      </c>
      <c r="J93" s="247">
        <v>851586</v>
      </c>
      <c r="K93" s="425">
        <f t="shared" si="22"/>
        <v>116.69120910865138</v>
      </c>
      <c r="L93" s="247">
        <v>764400</v>
      </c>
      <c r="M93" s="247">
        <v>598981</v>
      </c>
      <c r="N93" s="247">
        <f t="shared" si="23"/>
        <v>127.61673575622598</v>
      </c>
      <c r="O93" s="126">
        <v>165</v>
      </c>
      <c r="P93" s="126">
        <v>40</v>
      </c>
    </row>
    <row r="94" spans="1:16" x14ac:dyDescent="0.25">
      <c r="A94" s="538"/>
      <c r="B94" s="537"/>
    </row>
    <row r="95" spans="1:16" ht="17.25" x14ac:dyDescent="0.25">
      <c r="A95" s="1033" t="s">
        <v>738</v>
      </c>
      <c r="B95" s="1034"/>
      <c r="C95" s="450">
        <f>SUM(C96:C123)</f>
        <v>3974475</v>
      </c>
      <c r="D95" s="450">
        <f>SUM(D96:D123)</f>
        <v>2496547</v>
      </c>
      <c r="E95" s="453">
        <f>C95/D95*100</f>
        <v>159.19888550065352</v>
      </c>
      <c r="F95" s="450">
        <f>SUM(F96:F123)</f>
        <v>436583</v>
      </c>
      <c r="G95" s="450">
        <f>SUM(G96:G123)</f>
        <v>440491</v>
      </c>
      <c r="H95" s="453">
        <f>F95/G95*100</f>
        <v>99.112808207205134</v>
      </c>
      <c r="I95" s="450">
        <f>SUM(I96:I123)</f>
        <v>4177608</v>
      </c>
      <c r="J95" s="450">
        <f>SUM(J96:J123)</f>
        <v>2556697</v>
      </c>
      <c r="K95" s="453">
        <f>I95/J95*100</f>
        <v>163.3986350357512</v>
      </c>
      <c r="L95" s="450">
        <f>SUM(L96:L123)</f>
        <v>2529338</v>
      </c>
      <c r="M95" s="450">
        <f>SUM(M96:M123)</f>
        <v>1167035</v>
      </c>
      <c r="N95" s="453">
        <f>L95/M95*100</f>
        <v>216.73197461944156</v>
      </c>
    </row>
    <row r="96" spans="1:16" ht="17.25" x14ac:dyDescent="0.25">
      <c r="A96" s="265">
        <v>1</v>
      </c>
      <c r="B96" s="544" t="s">
        <v>627</v>
      </c>
      <c r="C96" s="247">
        <v>496841</v>
      </c>
      <c r="D96" s="247">
        <v>323692</v>
      </c>
      <c r="E96" s="425">
        <f t="shared" ref="E96:E123" si="25">C96/D96*100</f>
        <v>153.49189970712899</v>
      </c>
      <c r="F96" s="247">
        <v>49826</v>
      </c>
      <c r="G96" s="247">
        <v>47105</v>
      </c>
      <c r="H96" s="425">
        <f t="shared" ref="H96:H123" si="26">F96/G96*100</f>
        <v>105.77645685171426</v>
      </c>
      <c r="I96" s="247">
        <v>490963</v>
      </c>
      <c r="J96" s="247">
        <v>306525</v>
      </c>
      <c r="K96" s="425">
        <f t="shared" ref="K96:K123" si="27">I96/J96*100</f>
        <v>160.17062229834434</v>
      </c>
      <c r="L96" s="247">
        <v>483037</v>
      </c>
      <c r="M96" s="247">
        <v>306505</v>
      </c>
      <c r="N96" s="425">
        <f t="shared" ref="N96:N123" si="28">L96/M96*100</f>
        <v>157.59514526679826</v>
      </c>
      <c r="O96" s="126">
        <v>318</v>
      </c>
      <c r="P96" s="126">
        <v>122</v>
      </c>
    </row>
    <row r="97" spans="1:16" ht="17.25" x14ac:dyDescent="0.25">
      <c r="A97" s="265">
        <v>2</v>
      </c>
      <c r="B97" s="544" t="s">
        <v>628</v>
      </c>
      <c r="C97" s="247">
        <v>0</v>
      </c>
      <c r="D97" s="247">
        <v>0</v>
      </c>
      <c r="E97" s="425" t="e">
        <f t="shared" si="25"/>
        <v>#DIV/0!</v>
      </c>
      <c r="F97" s="247">
        <v>0</v>
      </c>
      <c r="G97" s="247">
        <v>0</v>
      </c>
      <c r="H97" s="425" t="e">
        <f t="shared" si="26"/>
        <v>#DIV/0!</v>
      </c>
      <c r="I97" s="247">
        <v>0</v>
      </c>
      <c r="J97" s="247">
        <v>0</v>
      </c>
      <c r="K97" s="425" t="e">
        <f t="shared" si="27"/>
        <v>#DIV/0!</v>
      </c>
      <c r="L97" s="247">
        <v>0</v>
      </c>
      <c r="M97" s="247">
        <v>0</v>
      </c>
      <c r="N97" s="425" t="e">
        <f t="shared" si="28"/>
        <v>#DIV/0!</v>
      </c>
    </row>
    <row r="98" spans="1:16" ht="17.25" x14ac:dyDescent="0.25">
      <c r="A98" s="265">
        <v>3</v>
      </c>
      <c r="B98" s="544" t="s">
        <v>629</v>
      </c>
      <c r="C98" s="247">
        <v>0</v>
      </c>
      <c r="D98" s="247">
        <v>0</v>
      </c>
      <c r="E98" s="425" t="e">
        <f t="shared" si="25"/>
        <v>#DIV/0!</v>
      </c>
      <c r="F98" s="247">
        <v>0</v>
      </c>
      <c r="G98" s="247">
        <v>0</v>
      </c>
      <c r="H98" s="425" t="e">
        <f t="shared" si="26"/>
        <v>#DIV/0!</v>
      </c>
      <c r="I98" s="247">
        <v>0</v>
      </c>
      <c r="J98" s="247">
        <v>0</v>
      </c>
      <c r="K98" s="425" t="e">
        <f t="shared" si="27"/>
        <v>#DIV/0!</v>
      </c>
      <c r="L98" s="247">
        <v>0</v>
      </c>
      <c r="M98" s="247">
        <v>0</v>
      </c>
      <c r="N98" s="425" t="e">
        <f t="shared" si="28"/>
        <v>#DIV/0!</v>
      </c>
      <c r="O98" s="562"/>
    </row>
    <row r="99" spans="1:16" ht="17.25" x14ac:dyDescent="0.25">
      <c r="A99" s="265">
        <v>4</v>
      </c>
      <c r="B99" s="544" t="s">
        <v>630</v>
      </c>
      <c r="C99" s="247">
        <v>56492</v>
      </c>
      <c r="D99" s="247">
        <v>28600</v>
      </c>
      <c r="E99" s="425">
        <f t="shared" si="25"/>
        <v>197.52447552447552</v>
      </c>
      <c r="F99" s="247">
        <v>5621</v>
      </c>
      <c r="G99" s="247">
        <v>5775</v>
      </c>
      <c r="H99" s="425">
        <f t="shared" si="26"/>
        <v>97.333333333333343</v>
      </c>
      <c r="I99" s="247">
        <v>26633</v>
      </c>
      <c r="J99" s="247">
        <v>17322</v>
      </c>
      <c r="K99" s="425">
        <f t="shared" si="27"/>
        <v>153.7524535273063</v>
      </c>
      <c r="L99" s="247">
        <v>0</v>
      </c>
      <c r="M99" s="247">
        <v>0</v>
      </c>
      <c r="N99" s="425" t="e">
        <f t="shared" si="28"/>
        <v>#DIV/0!</v>
      </c>
      <c r="O99" s="126">
        <v>20</v>
      </c>
      <c r="P99" s="126">
        <v>140</v>
      </c>
    </row>
    <row r="100" spans="1:16" ht="17.25" x14ac:dyDescent="0.25">
      <c r="A100" s="265">
        <v>5</v>
      </c>
      <c r="B100" s="544" t="s">
        <v>631</v>
      </c>
      <c r="C100" s="247">
        <v>349642</v>
      </c>
      <c r="D100" s="247">
        <v>428614</v>
      </c>
      <c r="E100" s="425">
        <f t="shared" si="25"/>
        <v>81.575030213665443</v>
      </c>
      <c r="F100" s="247">
        <v>10367</v>
      </c>
      <c r="G100" s="247">
        <v>26366</v>
      </c>
      <c r="H100" s="425">
        <f t="shared" si="26"/>
        <v>39.319578244709099</v>
      </c>
      <c r="I100" s="247">
        <v>404109</v>
      </c>
      <c r="J100" s="247">
        <v>433932</v>
      </c>
      <c r="K100" s="425">
        <f t="shared" si="27"/>
        <v>93.127264179641045</v>
      </c>
      <c r="L100" s="247">
        <v>404109</v>
      </c>
      <c r="M100" s="247">
        <v>433932</v>
      </c>
      <c r="N100" s="425">
        <f t="shared" si="28"/>
        <v>93.127264179641045</v>
      </c>
      <c r="O100" s="126">
        <v>359</v>
      </c>
      <c r="P100" s="126">
        <v>52</v>
      </c>
    </row>
    <row r="101" spans="1:16" ht="17.25" x14ac:dyDescent="0.25">
      <c r="A101" s="265">
        <v>6</v>
      </c>
      <c r="B101" s="544" t="s">
        <v>632</v>
      </c>
      <c r="C101" s="247">
        <v>0</v>
      </c>
      <c r="D101" s="247">
        <v>0</v>
      </c>
      <c r="E101" s="425" t="e">
        <f t="shared" si="25"/>
        <v>#DIV/0!</v>
      </c>
      <c r="F101" s="247">
        <v>0</v>
      </c>
      <c r="G101" s="247">
        <v>0</v>
      </c>
      <c r="H101" s="425" t="e">
        <f t="shared" si="26"/>
        <v>#DIV/0!</v>
      </c>
      <c r="I101" s="247">
        <v>0</v>
      </c>
      <c r="J101" s="247">
        <v>0</v>
      </c>
      <c r="K101" s="425" t="e">
        <f t="shared" si="27"/>
        <v>#DIV/0!</v>
      </c>
      <c r="L101" s="247">
        <v>0</v>
      </c>
      <c r="M101" s="247">
        <v>0</v>
      </c>
      <c r="N101" s="425" t="e">
        <f t="shared" si="28"/>
        <v>#DIV/0!</v>
      </c>
    </row>
    <row r="102" spans="1:16" ht="17.25" x14ac:dyDescent="0.25">
      <c r="A102" s="265">
        <v>7</v>
      </c>
      <c r="B102" s="544" t="s">
        <v>633</v>
      </c>
      <c r="C102" s="247">
        <v>0</v>
      </c>
      <c r="D102" s="247">
        <v>0</v>
      </c>
      <c r="E102" s="425" t="e">
        <f t="shared" si="25"/>
        <v>#DIV/0!</v>
      </c>
      <c r="F102" s="247">
        <v>0</v>
      </c>
      <c r="G102" s="247">
        <v>0</v>
      </c>
      <c r="H102" s="425" t="e">
        <f t="shared" si="26"/>
        <v>#DIV/0!</v>
      </c>
      <c r="I102" s="247">
        <v>0</v>
      </c>
      <c r="J102" s="247">
        <v>0</v>
      </c>
      <c r="K102" s="425" t="e">
        <f t="shared" si="27"/>
        <v>#DIV/0!</v>
      </c>
      <c r="L102" s="247">
        <v>0</v>
      </c>
      <c r="M102" s="247">
        <v>0</v>
      </c>
      <c r="N102" s="425" t="e">
        <f t="shared" si="28"/>
        <v>#DIV/0!</v>
      </c>
    </row>
    <row r="103" spans="1:16" ht="17.25" x14ac:dyDescent="0.25">
      <c r="A103" s="265">
        <v>8</v>
      </c>
      <c r="B103" s="544" t="s">
        <v>634</v>
      </c>
      <c r="C103" s="247">
        <v>165774</v>
      </c>
      <c r="D103" s="247">
        <v>318719</v>
      </c>
      <c r="E103" s="425">
        <f t="shared" si="25"/>
        <v>52.012587890900761</v>
      </c>
      <c r="F103" s="247">
        <v>27131</v>
      </c>
      <c r="G103" s="247">
        <v>217742</v>
      </c>
      <c r="H103" s="425">
        <f t="shared" si="26"/>
        <v>12.460159271063919</v>
      </c>
      <c r="I103" s="247">
        <v>223464</v>
      </c>
      <c r="J103" s="247">
        <v>352760</v>
      </c>
      <c r="K103" s="425">
        <f t="shared" si="27"/>
        <v>63.347318290055568</v>
      </c>
      <c r="L103" s="247">
        <v>10169</v>
      </c>
      <c r="M103" s="247">
        <v>107702</v>
      </c>
      <c r="N103" s="425">
        <f t="shared" si="28"/>
        <v>9.441793095764238</v>
      </c>
      <c r="O103" s="126">
        <v>94</v>
      </c>
      <c r="P103" s="126">
        <v>98</v>
      </c>
    </row>
    <row r="104" spans="1:16" ht="34.5" x14ac:dyDescent="0.25">
      <c r="A104" s="265">
        <v>9</v>
      </c>
      <c r="B104" s="544" t="s">
        <v>635</v>
      </c>
      <c r="C104" s="247">
        <v>0</v>
      </c>
      <c r="D104" s="247">
        <v>0</v>
      </c>
      <c r="E104" s="425" t="e">
        <f t="shared" si="25"/>
        <v>#DIV/0!</v>
      </c>
      <c r="F104" s="247">
        <v>0</v>
      </c>
      <c r="G104" s="247">
        <v>0</v>
      </c>
      <c r="H104" s="425" t="e">
        <f t="shared" si="26"/>
        <v>#DIV/0!</v>
      </c>
      <c r="I104" s="247">
        <v>0</v>
      </c>
      <c r="J104" s="247">
        <v>0</v>
      </c>
      <c r="K104" s="425" t="e">
        <f t="shared" si="27"/>
        <v>#DIV/0!</v>
      </c>
      <c r="L104" s="247">
        <v>0</v>
      </c>
      <c r="M104" s="247">
        <v>0</v>
      </c>
      <c r="N104" s="425" t="e">
        <f t="shared" si="28"/>
        <v>#DIV/0!</v>
      </c>
    </row>
    <row r="105" spans="1:16" ht="17.25" x14ac:dyDescent="0.25">
      <c r="A105" s="265">
        <v>10</v>
      </c>
      <c r="B105" s="544" t="s">
        <v>636</v>
      </c>
      <c r="C105" s="247">
        <v>60558</v>
      </c>
      <c r="D105" s="247">
        <v>131674</v>
      </c>
      <c r="E105" s="425">
        <f t="shared" si="25"/>
        <v>45.990856205477165</v>
      </c>
      <c r="F105" s="247">
        <v>0</v>
      </c>
      <c r="G105" s="247">
        <v>0</v>
      </c>
      <c r="H105" s="425" t="e">
        <f t="shared" si="26"/>
        <v>#DIV/0!</v>
      </c>
      <c r="I105" s="247">
        <v>60558</v>
      </c>
      <c r="J105" s="247">
        <v>131674</v>
      </c>
      <c r="K105" s="425">
        <f t="shared" si="27"/>
        <v>45.990856205477165</v>
      </c>
      <c r="L105" s="247">
        <v>60558</v>
      </c>
      <c r="M105" s="247">
        <v>131674</v>
      </c>
      <c r="N105" s="425">
        <f t="shared" si="28"/>
        <v>45.990856205477165</v>
      </c>
      <c r="O105" s="126">
        <v>80</v>
      </c>
      <c r="P105" s="126">
        <v>69</v>
      </c>
    </row>
    <row r="106" spans="1:16" ht="34.5" x14ac:dyDescent="0.25">
      <c r="A106" s="265">
        <v>11</v>
      </c>
      <c r="B106" s="544" t="s">
        <v>637</v>
      </c>
      <c r="C106" s="247">
        <v>0</v>
      </c>
      <c r="D106" s="247">
        <v>0</v>
      </c>
      <c r="E106" s="425" t="e">
        <f t="shared" si="25"/>
        <v>#DIV/0!</v>
      </c>
      <c r="F106" s="247">
        <v>0</v>
      </c>
      <c r="G106" s="247">
        <v>0</v>
      </c>
      <c r="H106" s="425" t="e">
        <f t="shared" si="26"/>
        <v>#DIV/0!</v>
      </c>
      <c r="I106" s="247">
        <v>0</v>
      </c>
      <c r="J106" s="247">
        <v>0</v>
      </c>
      <c r="K106" s="425" t="e">
        <f t="shared" si="27"/>
        <v>#DIV/0!</v>
      </c>
      <c r="L106" s="247">
        <v>0</v>
      </c>
      <c r="M106" s="247">
        <v>0</v>
      </c>
      <c r="N106" s="425" t="e">
        <f t="shared" si="28"/>
        <v>#DIV/0!</v>
      </c>
    </row>
    <row r="107" spans="1:16" ht="17.25" x14ac:dyDescent="0.25">
      <c r="A107" s="265">
        <v>12</v>
      </c>
      <c r="B107" s="544" t="s">
        <v>638</v>
      </c>
      <c r="C107" s="247">
        <v>0</v>
      </c>
      <c r="D107" s="247">
        <v>0</v>
      </c>
      <c r="E107" s="425" t="e">
        <f t="shared" si="25"/>
        <v>#DIV/0!</v>
      </c>
      <c r="F107" s="247">
        <v>0</v>
      </c>
      <c r="G107" s="247">
        <v>0</v>
      </c>
      <c r="H107" s="425" t="e">
        <f t="shared" si="26"/>
        <v>#DIV/0!</v>
      </c>
      <c r="I107" s="247">
        <v>0</v>
      </c>
      <c r="J107" s="247">
        <v>0</v>
      </c>
      <c r="K107" s="425" t="e">
        <f t="shared" si="27"/>
        <v>#DIV/0!</v>
      </c>
      <c r="L107" s="247">
        <v>0</v>
      </c>
      <c r="M107" s="247">
        <v>0</v>
      </c>
      <c r="N107" s="425" t="e">
        <f t="shared" si="28"/>
        <v>#DIV/0!</v>
      </c>
      <c r="O107" s="126">
        <v>8</v>
      </c>
      <c r="P107" s="126">
        <v>58</v>
      </c>
    </row>
    <row r="108" spans="1:16" ht="17.25" x14ac:dyDescent="0.25">
      <c r="A108" s="265">
        <v>13</v>
      </c>
      <c r="B108" s="544" t="s">
        <v>639</v>
      </c>
      <c r="C108" s="247">
        <v>57567</v>
      </c>
      <c r="D108" s="247">
        <v>32180</v>
      </c>
      <c r="E108" s="425">
        <f t="shared" si="25"/>
        <v>178.89061528899938</v>
      </c>
      <c r="F108" s="247">
        <v>7864</v>
      </c>
      <c r="G108" s="247">
        <v>6453</v>
      </c>
      <c r="H108" s="425">
        <f t="shared" si="26"/>
        <v>121.86579885324656</v>
      </c>
      <c r="I108" s="247">
        <v>61905</v>
      </c>
      <c r="J108" s="247">
        <v>36124</v>
      </c>
      <c r="K108" s="425">
        <f t="shared" si="27"/>
        <v>171.3680655519876</v>
      </c>
      <c r="L108" s="247">
        <v>55053</v>
      </c>
      <c r="M108" s="247">
        <v>26980</v>
      </c>
      <c r="N108" s="425">
        <f t="shared" si="28"/>
        <v>204.05114899925869</v>
      </c>
      <c r="O108" s="126">
        <v>80</v>
      </c>
      <c r="P108" s="126">
        <v>50</v>
      </c>
    </row>
    <row r="109" spans="1:16" ht="17.25" x14ac:dyDescent="0.25">
      <c r="A109" s="265">
        <v>14</v>
      </c>
      <c r="B109" s="544" t="s">
        <v>640</v>
      </c>
      <c r="C109" s="247">
        <v>0</v>
      </c>
      <c r="D109" s="247">
        <v>0</v>
      </c>
      <c r="E109" s="425" t="e">
        <f t="shared" si="25"/>
        <v>#DIV/0!</v>
      </c>
      <c r="F109" s="247">
        <v>0</v>
      </c>
      <c r="G109" s="247">
        <v>0</v>
      </c>
      <c r="H109" s="425" t="e">
        <f t="shared" si="26"/>
        <v>#DIV/0!</v>
      </c>
      <c r="I109" s="247">
        <v>0</v>
      </c>
      <c r="J109" s="247">
        <v>0</v>
      </c>
      <c r="K109" s="425" t="e">
        <f t="shared" si="27"/>
        <v>#DIV/0!</v>
      </c>
      <c r="L109" s="247">
        <v>0</v>
      </c>
      <c r="M109" s="247">
        <v>0</v>
      </c>
      <c r="N109" s="425" t="e">
        <f t="shared" si="28"/>
        <v>#DIV/0!</v>
      </c>
    </row>
    <row r="110" spans="1:16" ht="17.25" x14ac:dyDescent="0.25">
      <c r="A110" s="265">
        <v>15</v>
      </c>
      <c r="B110" s="544" t="s">
        <v>641</v>
      </c>
      <c r="C110" s="247">
        <v>94726</v>
      </c>
      <c r="D110" s="247">
        <v>105981</v>
      </c>
      <c r="E110" s="425">
        <f t="shared" si="25"/>
        <v>89.380171917607882</v>
      </c>
      <c r="F110" s="247">
        <v>3853</v>
      </c>
      <c r="G110" s="247">
        <v>2753</v>
      </c>
      <c r="H110" s="425">
        <f t="shared" si="26"/>
        <v>139.95641118779514</v>
      </c>
      <c r="I110" s="247">
        <v>94726</v>
      </c>
      <c r="J110" s="247">
        <v>105981</v>
      </c>
      <c r="K110" s="425">
        <f t="shared" si="27"/>
        <v>89.380171917607882</v>
      </c>
      <c r="L110" s="247">
        <v>94726</v>
      </c>
      <c r="M110" s="247">
        <v>105981</v>
      </c>
      <c r="N110" s="425">
        <f t="shared" si="28"/>
        <v>89.380171917607882</v>
      </c>
      <c r="O110" s="126">
        <v>62</v>
      </c>
      <c r="P110" s="126">
        <v>70</v>
      </c>
    </row>
    <row r="111" spans="1:16" ht="17.25" x14ac:dyDescent="0.25">
      <c r="A111" s="265">
        <v>16</v>
      </c>
      <c r="B111" s="544" t="s">
        <v>642</v>
      </c>
      <c r="C111" s="247">
        <v>167734</v>
      </c>
      <c r="D111" s="247">
        <v>185335</v>
      </c>
      <c r="E111" s="425">
        <f t="shared" si="25"/>
        <v>90.503142957347507</v>
      </c>
      <c r="F111" s="247">
        <v>20825</v>
      </c>
      <c r="G111" s="247">
        <v>16945</v>
      </c>
      <c r="H111" s="425">
        <f t="shared" si="26"/>
        <v>122.89760991442904</v>
      </c>
      <c r="I111" s="247">
        <v>156385</v>
      </c>
      <c r="J111" s="247">
        <v>183392</v>
      </c>
      <c r="K111" s="425">
        <f t="shared" si="27"/>
        <v>85.273621532018836</v>
      </c>
      <c r="L111" s="247">
        <v>0</v>
      </c>
      <c r="M111" s="247">
        <v>0</v>
      </c>
      <c r="N111" s="425" t="e">
        <f t="shared" si="28"/>
        <v>#DIV/0!</v>
      </c>
      <c r="O111" s="126">
        <v>15</v>
      </c>
      <c r="P111" s="126">
        <v>76</v>
      </c>
    </row>
    <row r="112" spans="1:16" ht="34.5" x14ac:dyDescent="0.25">
      <c r="A112" s="265">
        <v>17</v>
      </c>
      <c r="B112" s="544" t="s">
        <v>643</v>
      </c>
      <c r="C112" s="247">
        <v>657685</v>
      </c>
      <c r="D112" s="247">
        <v>541040</v>
      </c>
      <c r="E112" s="425">
        <f t="shared" si="25"/>
        <v>121.5594041106018</v>
      </c>
      <c r="F112" s="247">
        <v>95320</v>
      </c>
      <c r="G112" s="247">
        <v>73123</v>
      </c>
      <c r="H112" s="425">
        <f t="shared" si="26"/>
        <v>130.35570203629501</v>
      </c>
      <c r="I112" s="247">
        <v>663260</v>
      </c>
      <c r="J112" s="247">
        <v>487232</v>
      </c>
      <c r="K112" s="425">
        <f t="shared" si="27"/>
        <v>136.1281689215815</v>
      </c>
      <c r="L112" s="247">
        <v>0</v>
      </c>
      <c r="M112" s="247">
        <v>0</v>
      </c>
      <c r="N112" s="425" t="e">
        <f t="shared" si="28"/>
        <v>#DIV/0!</v>
      </c>
      <c r="O112" s="126">
        <v>177</v>
      </c>
      <c r="P112" s="126">
        <v>70</v>
      </c>
    </row>
    <row r="113" spans="1:16" ht="34.5" x14ac:dyDescent="0.25">
      <c r="A113" s="265">
        <v>18</v>
      </c>
      <c r="B113" s="544" t="s">
        <v>644</v>
      </c>
      <c r="C113" s="247">
        <v>1354856</v>
      </c>
      <c r="D113" s="247">
        <v>0</v>
      </c>
      <c r="E113" s="425" t="e">
        <f t="shared" si="25"/>
        <v>#DIV/0!</v>
      </c>
      <c r="F113" s="247">
        <v>143928</v>
      </c>
      <c r="G113" s="247">
        <v>0</v>
      </c>
      <c r="H113" s="425" t="e">
        <f t="shared" si="26"/>
        <v>#DIV/0!</v>
      </c>
      <c r="I113" s="247">
        <v>1354856</v>
      </c>
      <c r="J113" s="247">
        <v>0</v>
      </c>
      <c r="K113" s="425" t="e">
        <f t="shared" si="27"/>
        <v>#DIV/0!</v>
      </c>
      <c r="L113" s="247">
        <v>1354856</v>
      </c>
      <c r="M113" s="247">
        <v>0</v>
      </c>
      <c r="N113" s="425" t="e">
        <f t="shared" si="28"/>
        <v>#DIV/0!</v>
      </c>
      <c r="O113" s="126">
        <v>1022</v>
      </c>
      <c r="P113" s="126">
        <v>79</v>
      </c>
    </row>
    <row r="114" spans="1:16" ht="17.25" x14ac:dyDescent="0.25">
      <c r="A114" s="265">
        <v>19</v>
      </c>
      <c r="B114" s="544" t="s">
        <v>645</v>
      </c>
      <c r="C114" s="247">
        <v>8942</v>
      </c>
      <c r="D114" s="247">
        <v>0</v>
      </c>
      <c r="E114" s="425" t="e">
        <f t="shared" si="25"/>
        <v>#DIV/0!</v>
      </c>
      <c r="F114" s="247">
        <v>0</v>
      </c>
      <c r="G114" s="247">
        <v>0</v>
      </c>
      <c r="H114" s="425" t="e">
        <f t="shared" si="26"/>
        <v>#DIV/0!</v>
      </c>
      <c r="I114" s="247">
        <v>5483</v>
      </c>
      <c r="J114" s="247">
        <v>0</v>
      </c>
      <c r="K114" s="425" t="e">
        <f t="shared" si="27"/>
        <v>#DIV/0!</v>
      </c>
      <c r="L114" s="247">
        <v>0</v>
      </c>
      <c r="M114" s="247">
        <v>0</v>
      </c>
      <c r="N114" s="425" t="e">
        <f t="shared" si="28"/>
        <v>#DIV/0!</v>
      </c>
      <c r="O114" s="126">
        <v>21</v>
      </c>
      <c r="P114" s="126">
        <v>67</v>
      </c>
    </row>
    <row r="115" spans="1:16" ht="34.5" x14ac:dyDescent="0.25">
      <c r="A115" s="265">
        <v>20</v>
      </c>
      <c r="B115" s="544" t="s">
        <v>646</v>
      </c>
      <c r="C115" s="247">
        <v>0</v>
      </c>
      <c r="D115" s="247">
        <v>0</v>
      </c>
      <c r="E115" s="425" t="e">
        <f t="shared" si="25"/>
        <v>#DIV/0!</v>
      </c>
      <c r="F115" s="247">
        <v>0</v>
      </c>
      <c r="G115" s="247">
        <v>0</v>
      </c>
      <c r="H115" s="425" t="e">
        <f t="shared" si="26"/>
        <v>#DIV/0!</v>
      </c>
      <c r="I115" s="247">
        <v>0</v>
      </c>
      <c r="J115" s="247">
        <v>0</v>
      </c>
      <c r="K115" s="425" t="e">
        <f t="shared" si="27"/>
        <v>#DIV/0!</v>
      </c>
      <c r="L115" s="247">
        <v>0</v>
      </c>
      <c r="M115" s="247">
        <v>0</v>
      </c>
      <c r="N115" s="425" t="e">
        <f t="shared" si="28"/>
        <v>#DIV/0!</v>
      </c>
    </row>
    <row r="116" spans="1:16" ht="17.25" x14ac:dyDescent="0.25">
      <c r="A116" s="265">
        <v>21</v>
      </c>
      <c r="B116" s="544" t="s">
        <v>647</v>
      </c>
      <c r="C116" s="247">
        <v>59064</v>
      </c>
      <c r="D116" s="247">
        <v>72036</v>
      </c>
      <c r="E116" s="425">
        <f t="shared" si="25"/>
        <v>81.992337164750964</v>
      </c>
      <c r="F116" s="247">
        <v>7561</v>
      </c>
      <c r="G116" s="247">
        <v>12568</v>
      </c>
      <c r="H116" s="425">
        <f t="shared" si="26"/>
        <v>60.160725652450665</v>
      </c>
      <c r="I116" s="247">
        <v>59464</v>
      </c>
      <c r="J116" s="247">
        <v>72036</v>
      </c>
      <c r="K116" s="425">
        <f t="shared" si="27"/>
        <v>82.547615081348212</v>
      </c>
      <c r="L116" s="247">
        <v>55204</v>
      </c>
      <c r="M116" s="247">
        <v>54261</v>
      </c>
      <c r="N116" s="425">
        <f t="shared" si="28"/>
        <v>101.73789646338992</v>
      </c>
      <c r="O116" s="126">
        <v>15</v>
      </c>
      <c r="P116" s="126">
        <v>70</v>
      </c>
    </row>
    <row r="117" spans="1:16" ht="17.25" x14ac:dyDescent="0.25">
      <c r="A117" s="265">
        <v>22</v>
      </c>
      <c r="B117" s="544" t="s">
        <v>648</v>
      </c>
      <c r="C117" s="247">
        <v>25340</v>
      </c>
      <c r="D117" s="247">
        <v>27530</v>
      </c>
      <c r="E117" s="425">
        <f t="shared" si="25"/>
        <v>92.045041772611697</v>
      </c>
      <c r="F117" s="247">
        <v>2520</v>
      </c>
      <c r="G117" s="247">
        <v>4080</v>
      </c>
      <c r="H117" s="425">
        <f t="shared" si="26"/>
        <v>61.764705882352942</v>
      </c>
      <c r="I117" s="247">
        <v>32434</v>
      </c>
      <c r="J117" s="247">
        <v>38325</v>
      </c>
      <c r="K117" s="425">
        <f t="shared" si="27"/>
        <v>84.628832354859753</v>
      </c>
      <c r="L117" s="247">
        <v>0</v>
      </c>
      <c r="M117" s="247">
        <v>0</v>
      </c>
      <c r="N117" s="425" t="e">
        <f t="shared" si="28"/>
        <v>#DIV/0!</v>
      </c>
      <c r="O117" s="126">
        <v>13</v>
      </c>
      <c r="P117" s="126">
        <v>95</v>
      </c>
    </row>
    <row r="118" spans="1:16" ht="17.25" x14ac:dyDescent="0.25">
      <c r="A118" s="265">
        <v>23</v>
      </c>
      <c r="B118" s="544" t="s">
        <v>649</v>
      </c>
      <c r="C118" s="247">
        <v>138094</v>
      </c>
      <c r="D118" s="247">
        <v>116549</v>
      </c>
      <c r="E118" s="425">
        <f t="shared" si="25"/>
        <v>118.48578709384037</v>
      </c>
      <c r="F118" s="247">
        <v>14005</v>
      </c>
      <c r="G118" s="247">
        <v>11236</v>
      </c>
      <c r="H118" s="425">
        <f t="shared" si="26"/>
        <v>124.6440014239943</v>
      </c>
      <c r="I118" s="247">
        <v>139132</v>
      </c>
      <c r="J118" s="247">
        <v>117192</v>
      </c>
      <c r="K118" s="425">
        <f t="shared" si="27"/>
        <v>118.72141443101918</v>
      </c>
      <c r="L118" s="247">
        <v>0</v>
      </c>
      <c r="M118" s="247">
        <v>0</v>
      </c>
      <c r="N118" s="425" t="e">
        <f t="shared" si="28"/>
        <v>#DIV/0!</v>
      </c>
      <c r="O118" s="126">
        <v>33</v>
      </c>
      <c r="P118" s="126">
        <v>79</v>
      </c>
    </row>
    <row r="119" spans="1:16" ht="34.5" x14ac:dyDescent="0.25">
      <c r="A119" s="265">
        <v>24</v>
      </c>
      <c r="B119" s="544" t="s">
        <v>650</v>
      </c>
      <c r="C119" s="247">
        <v>54877</v>
      </c>
      <c r="D119" s="247">
        <v>39525</v>
      </c>
      <c r="E119" s="425">
        <f t="shared" si="25"/>
        <v>138.84123972169513</v>
      </c>
      <c r="F119" s="247">
        <v>6261</v>
      </c>
      <c r="G119" s="247">
        <v>2911</v>
      </c>
      <c r="H119" s="425">
        <f t="shared" si="26"/>
        <v>215.08072827207147</v>
      </c>
      <c r="I119" s="247">
        <v>168548</v>
      </c>
      <c r="J119" s="247">
        <v>109163</v>
      </c>
      <c r="K119" s="425">
        <f t="shared" si="27"/>
        <v>154.40030046810733</v>
      </c>
      <c r="L119" s="247">
        <v>0</v>
      </c>
      <c r="M119" s="247">
        <v>0</v>
      </c>
      <c r="N119" s="425" t="e">
        <f t="shared" si="28"/>
        <v>#DIV/0!</v>
      </c>
      <c r="O119" s="126">
        <v>50</v>
      </c>
      <c r="P119" s="126">
        <v>72</v>
      </c>
    </row>
    <row r="120" spans="1:16" ht="34.5" x14ac:dyDescent="0.25">
      <c r="A120" s="265">
        <v>25</v>
      </c>
      <c r="B120" s="544" t="s">
        <v>651</v>
      </c>
      <c r="C120" s="247">
        <v>36045</v>
      </c>
      <c r="D120" s="247">
        <v>32014</v>
      </c>
      <c r="E120" s="425">
        <f t="shared" si="25"/>
        <v>112.5913662772537</v>
      </c>
      <c r="F120" s="247">
        <v>10643</v>
      </c>
      <c r="G120" s="247">
        <v>2264</v>
      </c>
      <c r="H120" s="425">
        <f t="shared" si="26"/>
        <v>470.09717314487631</v>
      </c>
      <c r="I120" s="247">
        <v>36060</v>
      </c>
      <c r="J120" s="247">
        <v>32791</v>
      </c>
      <c r="K120" s="425">
        <f t="shared" si="27"/>
        <v>109.96919886554237</v>
      </c>
      <c r="L120" s="247">
        <v>0</v>
      </c>
      <c r="M120" s="247">
        <v>0</v>
      </c>
      <c r="N120" s="425" t="e">
        <f t="shared" si="28"/>
        <v>#DIV/0!</v>
      </c>
      <c r="O120" s="126">
        <v>22</v>
      </c>
      <c r="P120" s="126">
        <v>69</v>
      </c>
    </row>
    <row r="121" spans="1:16" ht="34.5" x14ac:dyDescent="0.25">
      <c r="A121" s="265">
        <v>26</v>
      </c>
      <c r="B121" s="544" t="s">
        <v>228</v>
      </c>
      <c r="C121" s="247">
        <v>37737</v>
      </c>
      <c r="D121" s="247">
        <v>20924</v>
      </c>
      <c r="E121" s="425">
        <f t="shared" si="25"/>
        <v>180.35270502771937</v>
      </c>
      <c r="F121" s="247">
        <v>6110</v>
      </c>
      <c r="G121" s="247">
        <v>1229</v>
      </c>
      <c r="H121" s="425">
        <f t="shared" si="26"/>
        <v>497.15215622457282</v>
      </c>
      <c r="I121" s="247">
        <v>29774</v>
      </c>
      <c r="J121" s="247">
        <v>28479</v>
      </c>
      <c r="K121" s="425">
        <f t="shared" si="27"/>
        <v>104.54721022507813</v>
      </c>
      <c r="L121" s="247">
        <v>0</v>
      </c>
      <c r="M121" s="247">
        <v>0</v>
      </c>
      <c r="N121" s="425" t="e">
        <f t="shared" si="28"/>
        <v>#DIV/0!</v>
      </c>
      <c r="O121" s="126">
        <v>17</v>
      </c>
      <c r="P121" s="126">
        <v>65</v>
      </c>
    </row>
    <row r="122" spans="1:16" ht="51.75" x14ac:dyDescent="0.25">
      <c r="A122" s="265">
        <v>27</v>
      </c>
      <c r="B122" s="544" t="s">
        <v>784</v>
      </c>
      <c r="C122" s="247">
        <v>74738</v>
      </c>
      <c r="D122" s="247">
        <v>24792</v>
      </c>
      <c r="E122" s="425">
        <f t="shared" si="25"/>
        <v>301.46014843497903</v>
      </c>
      <c r="F122" s="247">
        <v>17750</v>
      </c>
      <c r="G122" s="247">
        <v>1690</v>
      </c>
      <c r="H122" s="425">
        <f t="shared" si="26"/>
        <v>1050.2958579881656</v>
      </c>
      <c r="I122" s="247">
        <v>92091</v>
      </c>
      <c r="J122" s="247">
        <v>36427</v>
      </c>
      <c r="K122" s="425">
        <f t="shared" si="27"/>
        <v>252.80972904713533</v>
      </c>
      <c r="L122" s="247">
        <v>11626</v>
      </c>
      <c r="M122" s="247">
        <v>0</v>
      </c>
      <c r="N122" s="425" t="e">
        <f t="shared" si="28"/>
        <v>#DIV/0!</v>
      </c>
      <c r="O122" s="126">
        <v>39</v>
      </c>
    </row>
    <row r="123" spans="1:16" s="563" customFormat="1" ht="17.25" x14ac:dyDescent="0.25">
      <c r="A123" s="265">
        <v>28</v>
      </c>
      <c r="B123" s="544" t="s">
        <v>238</v>
      </c>
      <c r="C123" s="247">
        <v>77763</v>
      </c>
      <c r="D123" s="247">
        <v>67342</v>
      </c>
      <c r="E123" s="425">
        <f t="shared" si="25"/>
        <v>115.4747408749369</v>
      </c>
      <c r="F123" s="247">
        <v>6998</v>
      </c>
      <c r="G123" s="247">
        <v>8251</v>
      </c>
      <c r="H123" s="425">
        <f t="shared" si="26"/>
        <v>84.813961944006792</v>
      </c>
      <c r="I123" s="247">
        <v>77763</v>
      </c>
      <c r="J123" s="247">
        <v>67342</v>
      </c>
      <c r="K123" s="425">
        <f t="shared" si="27"/>
        <v>115.4747408749369</v>
      </c>
      <c r="L123" s="247">
        <v>0</v>
      </c>
      <c r="M123" s="247">
        <v>0</v>
      </c>
      <c r="N123" s="425" t="e">
        <f t="shared" si="28"/>
        <v>#DIV/0!</v>
      </c>
      <c r="O123" s="646">
        <v>37</v>
      </c>
      <c r="P123" s="646">
        <v>75</v>
      </c>
    </row>
    <row r="125" spans="1:16" ht="17.25" x14ac:dyDescent="0.25">
      <c r="A125" s="353"/>
      <c r="B125" s="662" t="s">
        <v>360</v>
      </c>
      <c r="C125" s="463">
        <f>SUM(C126:C131)</f>
        <v>136072</v>
      </c>
      <c r="D125" s="454">
        <f>SUM(D126:D131)</f>
        <v>140739</v>
      </c>
      <c r="E125" s="453">
        <f>C125/D125*100</f>
        <v>96.683932669693547</v>
      </c>
      <c r="F125" s="454">
        <f>SUM(F126:F131)</f>
        <v>21180</v>
      </c>
      <c r="G125" s="454">
        <f>SUM(G126:G131)</f>
        <v>3569</v>
      </c>
      <c r="H125" s="453">
        <f>F125/G125*100</f>
        <v>593.44354160829369</v>
      </c>
      <c r="I125" s="454">
        <f>SUM(I126:I131)</f>
        <v>140261</v>
      </c>
      <c r="J125" s="454">
        <f>SUM(J126:J131)</f>
        <v>120860</v>
      </c>
      <c r="K125" s="453">
        <f>I125/J125*100</f>
        <v>116.05245738871422</v>
      </c>
      <c r="L125" s="454">
        <f>SUM(L126:L131)</f>
        <v>55146</v>
      </c>
      <c r="M125" s="454">
        <f>SUM(M126:M131)</f>
        <v>19451</v>
      </c>
      <c r="N125" s="453">
        <f>L125/M125*100</f>
        <v>283.51241581409698</v>
      </c>
    </row>
    <row r="126" spans="1:16" ht="17.25" x14ac:dyDescent="0.25">
      <c r="A126" s="252">
        <v>1</v>
      </c>
      <c r="B126" s="544" t="s">
        <v>652</v>
      </c>
      <c r="C126" s="247">
        <v>97955</v>
      </c>
      <c r="D126" s="247">
        <v>104765</v>
      </c>
      <c r="E126" s="425">
        <f t="shared" ref="E126:E131" si="29">C126/D126*100</f>
        <v>93.499737507755455</v>
      </c>
      <c r="F126" s="247">
        <v>18538</v>
      </c>
      <c r="G126" s="247">
        <v>127</v>
      </c>
      <c r="H126" s="425">
        <f t="shared" ref="H126:H131" si="30">F126/G126*100</f>
        <v>14596.850393700788</v>
      </c>
      <c r="I126" s="247">
        <v>98033</v>
      </c>
      <c r="J126" s="247">
        <v>76883</v>
      </c>
      <c r="K126" s="425">
        <f t="shared" ref="K126:K131" si="31">I126/J126*100</f>
        <v>127.50933236216069</v>
      </c>
      <c r="L126" s="247">
        <v>44880</v>
      </c>
      <c r="M126" s="247">
        <v>19451</v>
      </c>
      <c r="N126" s="453">
        <f t="shared" ref="N126:N131" si="32">L126/M126*100</f>
        <v>230.73363837334838</v>
      </c>
      <c r="O126" s="126">
        <v>70</v>
      </c>
      <c r="P126" s="126">
        <v>80</v>
      </c>
    </row>
    <row r="127" spans="1:16" ht="34.5" x14ac:dyDescent="0.25">
      <c r="A127" s="252">
        <v>2</v>
      </c>
      <c r="B127" s="544" t="s">
        <v>653</v>
      </c>
      <c r="C127" s="247">
        <v>0</v>
      </c>
      <c r="D127" s="247">
        <v>0</v>
      </c>
      <c r="E127" s="425" t="e">
        <f t="shared" si="29"/>
        <v>#DIV/0!</v>
      </c>
      <c r="F127" s="247">
        <v>0</v>
      </c>
      <c r="G127" s="247">
        <v>0</v>
      </c>
      <c r="H127" s="425" t="e">
        <f t="shared" si="30"/>
        <v>#DIV/0!</v>
      </c>
      <c r="I127" s="247">
        <v>0</v>
      </c>
      <c r="J127" s="247">
        <v>0</v>
      </c>
      <c r="K127" s="425" t="e">
        <f t="shared" si="31"/>
        <v>#DIV/0!</v>
      </c>
      <c r="L127" s="247">
        <v>0</v>
      </c>
      <c r="M127" s="247">
        <v>0</v>
      </c>
      <c r="N127" s="453" t="e">
        <f t="shared" si="32"/>
        <v>#DIV/0!</v>
      </c>
    </row>
    <row r="128" spans="1:16" ht="17.25" x14ac:dyDescent="0.25">
      <c r="A128" s="252">
        <v>3</v>
      </c>
      <c r="B128" s="544" t="s">
        <v>654</v>
      </c>
      <c r="C128" s="247">
        <v>0</v>
      </c>
      <c r="D128" s="247">
        <v>0</v>
      </c>
      <c r="E128" s="425" t="e">
        <f t="shared" si="29"/>
        <v>#DIV/0!</v>
      </c>
      <c r="F128" s="247">
        <v>0</v>
      </c>
      <c r="G128" s="247">
        <v>0</v>
      </c>
      <c r="H128" s="425" t="e">
        <f t="shared" si="30"/>
        <v>#DIV/0!</v>
      </c>
      <c r="I128" s="247">
        <v>0</v>
      </c>
      <c r="J128" s="247">
        <v>0</v>
      </c>
      <c r="K128" s="425" t="e">
        <f t="shared" si="31"/>
        <v>#DIV/0!</v>
      </c>
      <c r="L128" s="247">
        <v>0</v>
      </c>
      <c r="M128" s="247">
        <v>0</v>
      </c>
      <c r="N128" s="453" t="e">
        <f t="shared" si="32"/>
        <v>#DIV/0!</v>
      </c>
    </row>
    <row r="129" spans="1:16" ht="17.25" x14ac:dyDescent="0.25">
      <c r="A129" s="252">
        <v>4</v>
      </c>
      <c r="B129" s="544" t="s">
        <v>655</v>
      </c>
      <c r="C129" s="247">
        <v>6424</v>
      </c>
      <c r="D129" s="247">
        <v>1050</v>
      </c>
      <c r="E129" s="425">
        <f t="shared" si="29"/>
        <v>611.80952380952385</v>
      </c>
      <c r="F129" s="247">
        <v>0</v>
      </c>
      <c r="G129" s="247">
        <v>0</v>
      </c>
      <c r="H129" s="425" t="e">
        <f t="shared" si="30"/>
        <v>#DIV/0!</v>
      </c>
      <c r="I129" s="247">
        <v>10535</v>
      </c>
      <c r="J129" s="247">
        <v>9053</v>
      </c>
      <c r="K129" s="425">
        <f t="shared" si="31"/>
        <v>116.37026400088368</v>
      </c>
      <c r="L129" s="247">
        <v>0</v>
      </c>
      <c r="M129" s="247">
        <v>0</v>
      </c>
      <c r="N129" s="453" t="e">
        <f t="shared" si="32"/>
        <v>#DIV/0!</v>
      </c>
      <c r="O129" s="126">
        <v>8</v>
      </c>
      <c r="P129" s="126">
        <v>70</v>
      </c>
    </row>
    <row r="130" spans="1:16" ht="17.25" x14ac:dyDescent="0.25">
      <c r="A130" s="252">
        <v>5</v>
      </c>
      <c r="B130" s="544" t="s">
        <v>656</v>
      </c>
      <c r="C130" s="247">
        <v>0</v>
      </c>
      <c r="D130" s="247">
        <v>0</v>
      </c>
      <c r="E130" s="425" t="e">
        <f t="shared" si="29"/>
        <v>#DIV/0!</v>
      </c>
      <c r="F130" s="247">
        <v>0</v>
      </c>
      <c r="G130" s="247">
        <v>0</v>
      </c>
      <c r="H130" s="425" t="e">
        <f t="shared" si="30"/>
        <v>#DIV/0!</v>
      </c>
      <c r="I130" s="247">
        <v>0</v>
      </c>
      <c r="J130" s="247">
        <v>0</v>
      </c>
      <c r="K130" s="425" t="e">
        <f t="shared" si="31"/>
        <v>#DIV/0!</v>
      </c>
      <c r="L130" s="247">
        <v>0</v>
      </c>
      <c r="M130" s="247">
        <v>0</v>
      </c>
      <c r="N130" s="453" t="e">
        <f t="shared" si="32"/>
        <v>#DIV/0!</v>
      </c>
    </row>
    <row r="131" spans="1:16" ht="34.5" x14ac:dyDescent="0.25">
      <c r="A131" s="252">
        <v>6</v>
      </c>
      <c r="B131" s="544" t="s">
        <v>657</v>
      </c>
      <c r="C131" s="247">
        <v>31693</v>
      </c>
      <c r="D131" s="247">
        <v>34924</v>
      </c>
      <c r="E131" s="425">
        <f t="shared" si="29"/>
        <v>90.748482418966901</v>
      </c>
      <c r="F131" s="247">
        <v>2642</v>
      </c>
      <c r="G131" s="247">
        <v>3442</v>
      </c>
      <c r="H131" s="425">
        <f t="shared" si="30"/>
        <v>76.75769901220221</v>
      </c>
      <c r="I131" s="247">
        <v>31693</v>
      </c>
      <c r="J131" s="247">
        <v>34924</v>
      </c>
      <c r="K131" s="425">
        <f t="shared" si="31"/>
        <v>90.748482418966901</v>
      </c>
      <c r="L131" s="247">
        <v>10266</v>
      </c>
      <c r="M131" s="247">
        <v>0</v>
      </c>
      <c r="N131" s="453" t="e">
        <f t="shared" si="32"/>
        <v>#DIV/0!</v>
      </c>
      <c r="O131" s="126">
        <v>20</v>
      </c>
      <c r="P131" s="126">
        <v>100</v>
      </c>
    </row>
    <row r="132" spans="1:16" ht="12.75" customHeight="1" x14ac:dyDescent="0.25">
      <c r="A132" s="564"/>
      <c r="B132" s="565"/>
      <c r="C132" s="445"/>
      <c r="D132" s="445"/>
      <c r="E132" s="439"/>
      <c r="F132" s="445"/>
      <c r="G132" s="445"/>
      <c r="H132" s="439"/>
      <c r="I132" s="445"/>
      <c r="J132" s="445"/>
      <c r="K132" s="439"/>
      <c r="L132" s="445"/>
      <c r="M132" s="445"/>
      <c r="N132" s="439"/>
    </row>
    <row r="133" spans="1:16" s="599" customFormat="1" x14ac:dyDescent="0.25">
      <c r="A133" s="1043" t="s">
        <v>737</v>
      </c>
      <c r="B133" s="1044" t="s">
        <v>78</v>
      </c>
      <c r="C133" s="345">
        <f>C134+C144</f>
        <v>288696800</v>
      </c>
      <c r="D133" s="345">
        <f>D134+D144</f>
        <v>285672349</v>
      </c>
      <c r="E133" s="467">
        <f>C133/D133*100</f>
        <v>101.05871324634224</v>
      </c>
      <c r="F133" s="345">
        <f>F134+F144</f>
        <v>30514298</v>
      </c>
      <c r="G133" s="345">
        <f>G134+G144</f>
        <v>28773175</v>
      </c>
      <c r="H133" s="467">
        <f>F133/G133*100</f>
        <v>106.05120220483141</v>
      </c>
      <c r="I133" s="345">
        <f>I134+I144</f>
        <v>280256985</v>
      </c>
      <c r="J133" s="345">
        <f>J134+J144</f>
        <v>296403998</v>
      </c>
      <c r="K133" s="467">
        <f>I133/J133*100</f>
        <v>94.552363291671924</v>
      </c>
      <c r="L133" s="345">
        <f>L134+L144</f>
        <v>223754887</v>
      </c>
      <c r="M133" s="345">
        <f>M134+M144</f>
        <v>246734107</v>
      </c>
      <c r="N133" s="467">
        <f>L133/M133*100</f>
        <v>90.686646333820391</v>
      </c>
    </row>
    <row r="134" spans="1:16" x14ac:dyDescent="0.25">
      <c r="A134" s="1033" t="s">
        <v>365</v>
      </c>
      <c r="B134" s="1034" t="s">
        <v>135</v>
      </c>
      <c r="C134" s="254">
        <f>SUM(C135:C142)</f>
        <v>149353760</v>
      </c>
      <c r="D134" s="254">
        <f>SUM(D135:D142)</f>
        <v>151344255</v>
      </c>
      <c r="E134" s="451">
        <f>C134/D134*100</f>
        <v>98.684789852115628</v>
      </c>
      <c r="F134" s="254">
        <f>SUM(F135:F142)</f>
        <v>16220749</v>
      </c>
      <c r="G134" s="254">
        <f>SUM(G135:G142)</f>
        <v>15626178</v>
      </c>
      <c r="H134" s="451">
        <f>F134/G134*100</f>
        <v>103.80496753588753</v>
      </c>
      <c r="I134" s="254">
        <f>SUM(I135:I142)</f>
        <v>139046314</v>
      </c>
      <c r="J134" s="254">
        <f>SUM(J135:J142)</f>
        <v>167200731</v>
      </c>
      <c r="K134" s="451">
        <f>I134/J134*100</f>
        <v>83.16130747059951</v>
      </c>
      <c r="L134" s="254">
        <f>SUM(L135:L142)</f>
        <v>94485469</v>
      </c>
      <c r="M134" s="254">
        <f>SUM(M135:M142)</f>
        <v>124739361</v>
      </c>
      <c r="N134" s="451">
        <f>L134/M134*100</f>
        <v>75.746314749840664</v>
      </c>
    </row>
    <row r="135" spans="1:16" ht="34.5" x14ac:dyDescent="0.25">
      <c r="A135" s="272">
        <v>1</v>
      </c>
      <c r="B135" s="544" t="s">
        <v>658</v>
      </c>
      <c r="C135" s="247">
        <v>102259428</v>
      </c>
      <c r="D135" s="247">
        <v>103179292</v>
      </c>
      <c r="E135" s="425">
        <f t="shared" ref="E135:E142" si="33">C135/D135*100</f>
        <v>99.108480023297702</v>
      </c>
      <c r="F135" s="247">
        <v>9847851</v>
      </c>
      <c r="G135" s="247">
        <v>10453628</v>
      </c>
      <c r="H135" s="425">
        <f t="shared" ref="H135:H142" si="34">F135/G135*100</f>
        <v>94.205102764322589</v>
      </c>
      <c r="I135" s="247">
        <v>100716570</v>
      </c>
      <c r="J135" s="247">
        <v>97611474</v>
      </c>
      <c r="K135" s="425">
        <f t="shared" ref="K135:K142" si="35">I135/J135*100</f>
        <v>103.18107684758454</v>
      </c>
      <c r="L135" s="247">
        <v>56570698</v>
      </c>
      <c r="M135" s="247">
        <v>55940140</v>
      </c>
      <c r="N135" s="425">
        <f t="shared" ref="N135:N142" si="36">L135/M135*100</f>
        <v>101.12720132627484</v>
      </c>
      <c r="O135" s="126">
        <v>3032</v>
      </c>
      <c r="P135" s="126">
        <v>145</v>
      </c>
    </row>
    <row r="136" spans="1:16" ht="17.25" x14ac:dyDescent="0.25">
      <c r="A136" s="272">
        <v>2</v>
      </c>
      <c r="B136" s="544" t="s">
        <v>659</v>
      </c>
      <c r="C136" s="247">
        <v>22598886</v>
      </c>
      <c r="D136" s="247">
        <v>21614484</v>
      </c>
      <c r="E136" s="425">
        <f t="shared" si="33"/>
        <v>104.55436271344716</v>
      </c>
      <c r="F136" s="247">
        <v>2244268</v>
      </c>
      <c r="G136" s="247">
        <v>2284975</v>
      </c>
      <c r="H136" s="425">
        <f t="shared" si="34"/>
        <v>98.218492543682103</v>
      </c>
      <c r="I136" s="247">
        <v>18104457</v>
      </c>
      <c r="J136" s="247">
        <v>17032548</v>
      </c>
      <c r="K136" s="425">
        <f t="shared" si="35"/>
        <v>106.29329798454113</v>
      </c>
      <c r="L136" s="247">
        <v>18104457</v>
      </c>
      <c r="M136" s="247">
        <v>17032548</v>
      </c>
      <c r="N136" s="425">
        <f t="shared" si="36"/>
        <v>106.29329798454113</v>
      </c>
      <c r="O136" s="126">
        <v>1019</v>
      </c>
      <c r="P136" s="126">
        <v>120</v>
      </c>
    </row>
    <row r="137" spans="1:16" ht="34.5" x14ac:dyDescent="0.25">
      <c r="A137" s="272">
        <v>3</v>
      </c>
      <c r="B137" s="544" t="s">
        <v>660</v>
      </c>
      <c r="C137" s="247">
        <v>14759811</v>
      </c>
      <c r="D137" s="247">
        <v>18116559</v>
      </c>
      <c r="E137" s="425">
        <f t="shared" si="33"/>
        <v>81.471382065435279</v>
      </c>
      <c r="F137" s="247">
        <v>2170490</v>
      </c>
      <c r="G137" s="247">
        <v>1813688</v>
      </c>
      <c r="H137" s="425">
        <f t="shared" si="34"/>
        <v>119.67273312719718</v>
      </c>
      <c r="I137" s="247">
        <v>12909191</v>
      </c>
      <c r="J137" s="247">
        <v>16351197</v>
      </c>
      <c r="K137" s="425">
        <f t="shared" si="35"/>
        <v>78.949516662296958</v>
      </c>
      <c r="L137" s="247">
        <v>12909191</v>
      </c>
      <c r="M137" s="247">
        <v>16351197</v>
      </c>
      <c r="N137" s="425">
        <f t="shared" si="36"/>
        <v>78.949516662296958</v>
      </c>
      <c r="O137" s="126">
        <v>1055</v>
      </c>
      <c r="P137" s="126">
        <v>306</v>
      </c>
    </row>
    <row r="138" spans="1:16" ht="17.25" x14ac:dyDescent="0.25">
      <c r="A138" s="272">
        <v>4</v>
      </c>
      <c r="B138" s="544" t="s">
        <v>661</v>
      </c>
      <c r="C138" s="247">
        <v>5470793</v>
      </c>
      <c r="D138" s="247">
        <v>4282060</v>
      </c>
      <c r="E138" s="425">
        <f t="shared" si="33"/>
        <v>127.76077401998103</v>
      </c>
      <c r="F138" s="247">
        <v>552729</v>
      </c>
      <c r="G138" s="247">
        <v>503141</v>
      </c>
      <c r="H138" s="425">
        <f t="shared" si="34"/>
        <v>109.85568657692377</v>
      </c>
      <c r="I138" s="247">
        <v>4829192</v>
      </c>
      <c r="J138" s="247">
        <v>4301081</v>
      </c>
      <c r="K138" s="425">
        <f t="shared" si="35"/>
        <v>112.27856438881297</v>
      </c>
      <c r="L138" s="247">
        <v>4829192</v>
      </c>
      <c r="M138" s="247">
        <v>4301081</v>
      </c>
      <c r="N138" s="425">
        <f t="shared" si="36"/>
        <v>112.27856438881297</v>
      </c>
      <c r="O138" s="126">
        <v>688</v>
      </c>
      <c r="P138" s="126">
        <v>166</v>
      </c>
    </row>
    <row r="139" spans="1:16" ht="17.25" x14ac:dyDescent="0.25">
      <c r="A139" s="272">
        <v>5</v>
      </c>
      <c r="B139" s="544" t="s">
        <v>662</v>
      </c>
      <c r="C139" s="247">
        <v>3082897</v>
      </c>
      <c r="D139" s="247">
        <v>2948237</v>
      </c>
      <c r="E139" s="425">
        <f t="shared" si="33"/>
        <v>104.56747540988054</v>
      </c>
      <c r="F139" s="247">
        <v>460507</v>
      </c>
      <c r="G139" s="247">
        <v>448964</v>
      </c>
      <c r="H139" s="425">
        <f t="shared" si="34"/>
        <v>102.57103019395764</v>
      </c>
      <c r="I139" s="247">
        <v>2071931</v>
      </c>
      <c r="J139" s="247">
        <v>31114395</v>
      </c>
      <c r="K139" s="425">
        <f t="shared" si="35"/>
        <v>6.6590753251027381</v>
      </c>
      <c r="L139" s="247">
        <v>2071931</v>
      </c>
      <c r="M139" s="247">
        <v>31114395</v>
      </c>
      <c r="N139" s="425">
        <f t="shared" si="36"/>
        <v>6.6590753251027381</v>
      </c>
      <c r="O139" s="126">
        <v>412</v>
      </c>
      <c r="P139" s="126">
        <v>189</v>
      </c>
    </row>
    <row r="140" spans="1:16" ht="17.25" x14ac:dyDescent="0.25">
      <c r="A140" s="272">
        <v>6</v>
      </c>
      <c r="B140" s="544" t="s">
        <v>663</v>
      </c>
      <c r="C140" s="247">
        <v>1114033</v>
      </c>
      <c r="D140" s="247">
        <v>1172865</v>
      </c>
      <c r="E140" s="425">
        <f t="shared" si="33"/>
        <v>94.983906928759922</v>
      </c>
      <c r="F140" s="247">
        <v>930069</v>
      </c>
      <c r="G140" s="247">
        <v>117586</v>
      </c>
      <c r="H140" s="425">
        <f t="shared" si="34"/>
        <v>790.96916299559473</v>
      </c>
      <c r="I140" s="247">
        <v>347061</v>
      </c>
      <c r="J140" s="247">
        <v>759278</v>
      </c>
      <c r="K140" s="425">
        <f t="shared" si="35"/>
        <v>45.709344930315375</v>
      </c>
      <c r="L140" s="247">
        <v>0</v>
      </c>
      <c r="M140" s="247">
        <v>0</v>
      </c>
      <c r="N140" s="425" t="e">
        <f t="shared" si="36"/>
        <v>#DIV/0!</v>
      </c>
      <c r="O140" s="126">
        <v>287</v>
      </c>
    </row>
    <row r="141" spans="1:16" ht="17.25" x14ac:dyDescent="0.25">
      <c r="A141" s="272">
        <v>7</v>
      </c>
      <c r="B141" s="544" t="s">
        <v>664</v>
      </c>
      <c r="C141" s="247">
        <v>0</v>
      </c>
      <c r="D141" s="247">
        <v>0</v>
      </c>
      <c r="E141" s="425" t="e">
        <f t="shared" si="33"/>
        <v>#DIV/0!</v>
      </c>
      <c r="F141" s="247">
        <v>0</v>
      </c>
      <c r="G141" s="247">
        <v>0</v>
      </c>
      <c r="H141" s="425" t="e">
        <f t="shared" si="34"/>
        <v>#DIV/0!</v>
      </c>
      <c r="I141" s="247">
        <v>0</v>
      </c>
      <c r="J141" s="247">
        <v>0</v>
      </c>
      <c r="K141" s="425" t="e">
        <f t="shared" si="35"/>
        <v>#DIV/0!</v>
      </c>
      <c r="L141" s="247">
        <v>0</v>
      </c>
      <c r="M141" s="247">
        <v>0</v>
      </c>
      <c r="N141" s="425" t="e">
        <f t="shared" si="36"/>
        <v>#DIV/0!</v>
      </c>
    </row>
    <row r="142" spans="1:16" ht="17.25" x14ac:dyDescent="0.25">
      <c r="A142" s="272">
        <v>8</v>
      </c>
      <c r="B142" s="544" t="s">
        <v>665</v>
      </c>
      <c r="C142" s="247">
        <v>67912</v>
      </c>
      <c r="D142" s="247">
        <v>30758</v>
      </c>
      <c r="E142" s="425">
        <f t="shared" si="33"/>
        <v>220.79459002535927</v>
      </c>
      <c r="F142" s="247">
        <v>14835</v>
      </c>
      <c r="G142" s="247">
        <v>4196</v>
      </c>
      <c r="H142" s="425">
        <f t="shared" si="34"/>
        <v>353.55100095328885</v>
      </c>
      <c r="I142" s="247">
        <v>67912</v>
      </c>
      <c r="J142" s="247">
        <v>30758</v>
      </c>
      <c r="K142" s="425">
        <f t="shared" si="35"/>
        <v>220.79459002535927</v>
      </c>
      <c r="L142" s="247">
        <v>0</v>
      </c>
      <c r="M142" s="247">
        <v>0</v>
      </c>
      <c r="N142" s="425" t="e">
        <f t="shared" si="36"/>
        <v>#DIV/0!</v>
      </c>
      <c r="O142" s="126">
        <v>34</v>
      </c>
      <c r="P142" s="126">
        <v>95</v>
      </c>
    </row>
    <row r="143" spans="1:16" ht="9.75" customHeight="1" x14ac:dyDescent="0.25">
      <c r="B143" s="566"/>
    </row>
    <row r="144" spans="1:16" ht="17.25" x14ac:dyDescent="0.25">
      <c r="A144" s="492"/>
      <c r="B144" s="495" t="s">
        <v>15</v>
      </c>
      <c r="C144" s="254">
        <f>SUM(C145:C152)</f>
        <v>139343040</v>
      </c>
      <c r="D144" s="254">
        <f>SUM(D145:D152)</f>
        <v>134328094</v>
      </c>
      <c r="E144" s="451">
        <f>C144/D144*100</f>
        <v>103.73335603198539</v>
      </c>
      <c r="F144" s="254">
        <f>SUM(F145:F152)</f>
        <v>14293549</v>
      </c>
      <c r="G144" s="254">
        <f>SUM(G145:G152)</f>
        <v>13146997</v>
      </c>
      <c r="H144" s="451">
        <f>F144/G144*100</f>
        <v>108.72101819145468</v>
      </c>
      <c r="I144" s="254">
        <f>SUM(I145:I152)</f>
        <v>141210671</v>
      </c>
      <c r="J144" s="254">
        <f>SUM(J145:J152)</f>
        <v>129203267</v>
      </c>
      <c r="K144" s="451">
        <f>I144/J144*100</f>
        <v>109.29342134978677</v>
      </c>
      <c r="L144" s="254">
        <f>SUM(L145:L152)</f>
        <v>129269418</v>
      </c>
      <c r="M144" s="254">
        <f>SUM(M145:M152)</f>
        <v>121994746</v>
      </c>
      <c r="N144" s="451">
        <f>L144/M144*100</f>
        <v>105.96310270607883</v>
      </c>
    </row>
    <row r="145" spans="1:16" ht="17.25" x14ac:dyDescent="0.25">
      <c r="A145" s="272">
        <v>1</v>
      </c>
      <c r="B145" s="544" t="s">
        <v>666</v>
      </c>
      <c r="C145" s="247">
        <v>18301525</v>
      </c>
      <c r="D145" s="247">
        <v>16528692</v>
      </c>
      <c r="E145" s="425">
        <f t="shared" ref="E145:E152" si="37">C145/D145*100</f>
        <v>110.72579124833351</v>
      </c>
      <c r="F145" s="247">
        <v>1645737</v>
      </c>
      <c r="G145" s="247">
        <v>1539645</v>
      </c>
      <c r="H145" s="425">
        <f t="shared" ref="H145:H152" si="38">F145/G145*100</f>
        <v>106.89067934491392</v>
      </c>
      <c r="I145" s="247">
        <v>18946731</v>
      </c>
      <c r="J145" s="247">
        <v>15990246</v>
      </c>
      <c r="K145" s="425">
        <f t="shared" ref="K145:K152" si="39">I145/J145*100</f>
        <v>118.4893027912141</v>
      </c>
      <c r="L145" s="247">
        <v>18946731</v>
      </c>
      <c r="M145" s="247">
        <v>15990246</v>
      </c>
      <c r="N145" s="425">
        <f t="shared" ref="N145:N152" si="40">L145/M145*100</f>
        <v>118.4893027912141</v>
      </c>
      <c r="O145" s="126">
        <v>516</v>
      </c>
      <c r="P145" s="126">
        <v>150</v>
      </c>
    </row>
    <row r="146" spans="1:16" ht="34.5" x14ac:dyDescent="0.25">
      <c r="A146" s="272">
        <v>2</v>
      </c>
      <c r="B146" s="544" t="s">
        <v>667</v>
      </c>
      <c r="C146" s="247">
        <v>24497906</v>
      </c>
      <c r="D146" s="247">
        <v>31116909</v>
      </c>
      <c r="E146" s="425">
        <f t="shared" si="37"/>
        <v>78.728597368074063</v>
      </c>
      <c r="F146" s="247">
        <v>2533996</v>
      </c>
      <c r="G146" s="247">
        <v>2804927</v>
      </c>
      <c r="H146" s="425">
        <f t="shared" si="38"/>
        <v>90.34088944204251</v>
      </c>
      <c r="I146" s="247">
        <v>24816983</v>
      </c>
      <c r="J146" s="247">
        <v>29034039</v>
      </c>
      <c r="K146" s="425">
        <f t="shared" si="39"/>
        <v>85.475475871614009</v>
      </c>
      <c r="L146" s="247">
        <v>24754177</v>
      </c>
      <c r="M146" s="247">
        <v>28933405</v>
      </c>
      <c r="N146" s="425">
        <f t="shared" si="40"/>
        <v>85.555699372403623</v>
      </c>
      <c r="O146" s="126">
        <v>666</v>
      </c>
      <c r="P146" s="126">
        <v>176</v>
      </c>
    </row>
    <row r="147" spans="1:16" ht="17.25" x14ac:dyDescent="0.25">
      <c r="A147" s="272">
        <v>3</v>
      </c>
      <c r="B147" s="544" t="s">
        <v>668</v>
      </c>
      <c r="C147" s="247">
        <v>27004307</v>
      </c>
      <c r="D147" s="247">
        <v>24680893</v>
      </c>
      <c r="E147" s="425">
        <f t="shared" si="37"/>
        <v>109.41381659083405</v>
      </c>
      <c r="F147" s="247">
        <v>2363502</v>
      </c>
      <c r="G147" s="247">
        <v>2249367</v>
      </c>
      <c r="H147" s="425">
        <f t="shared" si="38"/>
        <v>105.07409417849556</v>
      </c>
      <c r="I147" s="247">
        <v>27698115</v>
      </c>
      <c r="J147" s="247">
        <v>23952621</v>
      </c>
      <c r="K147" s="425">
        <f t="shared" si="39"/>
        <v>115.63709457933643</v>
      </c>
      <c r="L147" s="247">
        <v>27698115</v>
      </c>
      <c r="M147" s="247">
        <v>23952621</v>
      </c>
      <c r="N147" s="425">
        <f t="shared" si="40"/>
        <v>115.63709457933643</v>
      </c>
      <c r="O147" s="126">
        <v>541</v>
      </c>
      <c r="P147" s="126">
        <v>180</v>
      </c>
    </row>
    <row r="148" spans="1:16" ht="17.25" x14ac:dyDescent="0.25">
      <c r="A148" s="272">
        <v>4</v>
      </c>
      <c r="B148" s="544" t="s">
        <v>669</v>
      </c>
      <c r="C148" s="247">
        <v>5020278</v>
      </c>
      <c r="D148" s="247">
        <v>4100034</v>
      </c>
      <c r="E148" s="425">
        <f t="shared" si="37"/>
        <v>122.44478948223356</v>
      </c>
      <c r="F148" s="247">
        <v>518163</v>
      </c>
      <c r="G148" s="247">
        <v>450426</v>
      </c>
      <c r="H148" s="425">
        <f t="shared" si="38"/>
        <v>115.03843028599591</v>
      </c>
      <c r="I148" s="247">
        <v>4886760</v>
      </c>
      <c r="J148" s="247">
        <v>4445521</v>
      </c>
      <c r="K148" s="425">
        <f t="shared" si="39"/>
        <v>109.92547330222936</v>
      </c>
      <c r="L148" s="247">
        <v>0</v>
      </c>
      <c r="M148" s="247">
        <v>0</v>
      </c>
      <c r="N148" s="425" t="e">
        <f t="shared" si="40"/>
        <v>#DIV/0!</v>
      </c>
      <c r="O148" s="126">
        <v>387</v>
      </c>
      <c r="P148" s="126">
        <v>58</v>
      </c>
    </row>
    <row r="149" spans="1:16" ht="34.5" x14ac:dyDescent="0.25">
      <c r="A149" s="272">
        <v>5</v>
      </c>
      <c r="B149" s="544" t="s">
        <v>670</v>
      </c>
      <c r="C149" s="247">
        <v>28657637</v>
      </c>
      <c r="D149" s="247">
        <v>26962721</v>
      </c>
      <c r="E149" s="425">
        <f t="shared" si="37"/>
        <v>106.28614597169181</v>
      </c>
      <c r="F149" s="247">
        <v>2990509</v>
      </c>
      <c r="G149" s="247">
        <v>2936115</v>
      </c>
      <c r="H149" s="425">
        <f t="shared" si="38"/>
        <v>101.85258411199834</v>
      </c>
      <c r="I149" s="247">
        <v>27954461</v>
      </c>
      <c r="J149" s="247">
        <v>25096932</v>
      </c>
      <c r="K149" s="425">
        <f t="shared" si="39"/>
        <v>111.38596940853169</v>
      </c>
      <c r="L149" s="247">
        <v>27954461</v>
      </c>
      <c r="M149" s="247">
        <v>25096932</v>
      </c>
      <c r="N149" s="425">
        <f t="shared" si="40"/>
        <v>111.38596940853169</v>
      </c>
      <c r="O149" s="126">
        <v>1019</v>
      </c>
      <c r="P149" s="126">
        <v>100</v>
      </c>
    </row>
    <row r="150" spans="1:16" ht="17.25" x14ac:dyDescent="0.25">
      <c r="A150" s="272">
        <v>6</v>
      </c>
      <c r="B150" s="544" t="s">
        <v>231</v>
      </c>
      <c r="C150" s="247">
        <v>29123713</v>
      </c>
      <c r="D150" s="247">
        <v>28119368</v>
      </c>
      <c r="E150" s="425">
        <f t="shared" si="37"/>
        <v>103.57171967734125</v>
      </c>
      <c r="F150" s="247">
        <v>3184475</v>
      </c>
      <c r="G150" s="247">
        <v>2910313</v>
      </c>
      <c r="H150" s="425">
        <f t="shared" si="38"/>
        <v>109.42036131508878</v>
      </c>
      <c r="I150" s="247">
        <v>29953716</v>
      </c>
      <c r="J150" s="247">
        <v>28077617</v>
      </c>
      <c r="K150" s="425">
        <f t="shared" si="39"/>
        <v>106.68183129643802</v>
      </c>
      <c r="L150" s="247">
        <v>29915934</v>
      </c>
      <c r="M150" s="247">
        <v>28021542</v>
      </c>
      <c r="N150" s="425">
        <f t="shared" si="40"/>
        <v>106.76048448725628</v>
      </c>
      <c r="O150" s="126">
        <v>638</v>
      </c>
      <c r="P150" s="126">
        <v>130</v>
      </c>
    </row>
    <row r="151" spans="1:16" ht="17.25" x14ac:dyDescent="0.25">
      <c r="A151" s="272">
        <v>7</v>
      </c>
      <c r="B151" s="544" t="s">
        <v>671</v>
      </c>
      <c r="C151" s="247">
        <v>2799257</v>
      </c>
      <c r="D151" s="247">
        <v>2819477</v>
      </c>
      <c r="E151" s="425">
        <f t="shared" si="37"/>
        <v>99.282845719259285</v>
      </c>
      <c r="F151" s="247">
        <v>354458</v>
      </c>
      <c r="G151" s="247">
        <v>256204</v>
      </c>
      <c r="H151" s="425">
        <f t="shared" si="38"/>
        <v>138.34990866653135</v>
      </c>
      <c r="I151" s="247">
        <v>3059009</v>
      </c>
      <c r="J151" s="247">
        <v>2606291</v>
      </c>
      <c r="K151" s="425">
        <f t="shared" si="39"/>
        <v>117.37020156229676</v>
      </c>
      <c r="L151" s="247">
        <v>0</v>
      </c>
      <c r="M151" s="247">
        <v>0</v>
      </c>
      <c r="N151" s="425" t="e">
        <f t="shared" si="40"/>
        <v>#DIV/0!</v>
      </c>
      <c r="O151" s="126">
        <v>30</v>
      </c>
      <c r="P151" s="126">
        <v>130</v>
      </c>
    </row>
    <row r="152" spans="1:16" ht="17.25" x14ac:dyDescent="0.25">
      <c r="A152" s="272">
        <v>8</v>
      </c>
      <c r="B152" s="544" t="s">
        <v>672</v>
      </c>
      <c r="C152" s="247">
        <v>3938417</v>
      </c>
      <c r="D152" s="247">
        <v>0</v>
      </c>
      <c r="E152" s="425" t="e">
        <f t="shared" si="37"/>
        <v>#DIV/0!</v>
      </c>
      <c r="F152" s="247">
        <v>702709</v>
      </c>
      <c r="G152" s="247">
        <v>0</v>
      </c>
      <c r="H152" s="425" t="e">
        <f t="shared" si="38"/>
        <v>#DIV/0!</v>
      </c>
      <c r="I152" s="247">
        <v>3894896</v>
      </c>
      <c r="J152" s="247">
        <v>0</v>
      </c>
      <c r="K152" s="425" t="e">
        <f t="shared" si="39"/>
        <v>#DIV/0!</v>
      </c>
      <c r="L152" s="247">
        <v>0</v>
      </c>
      <c r="M152" s="247">
        <v>0</v>
      </c>
      <c r="N152" s="425" t="e">
        <f t="shared" si="40"/>
        <v>#DIV/0!</v>
      </c>
      <c r="O152" s="126">
        <v>363</v>
      </c>
      <c r="P152" s="126">
        <v>140</v>
      </c>
    </row>
    <row r="154" spans="1:16" ht="33" x14ac:dyDescent="0.25">
      <c r="A154" s="494"/>
      <c r="B154" s="493" t="s">
        <v>544</v>
      </c>
      <c r="C154" s="469">
        <f>SUM(C155:C157)</f>
        <v>11813958</v>
      </c>
      <c r="D154" s="469">
        <f>SUM(D155:D157)</f>
        <v>12452945</v>
      </c>
      <c r="E154" s="470">
        <f>C154/D154*100</f>
        <v>94.868788065794874</v>
      </c>
      <c r="F154" s="469">
        <f>SUM(F155:F157)</f>
        <v>1447966</v>
      </c>
      <c r="G154" s="469">
        <f>SUM(G155:G157)</f>
        <v>1414551</v>
      </c>
      <c r="H154" s="470">
        <f>F154/G154*100</f>
        <v>102.36223366990656</v>
      </c>
      <c r="I154" s="469">
        <f>SUM(I155:I157)</f>
        <v>11908135</v>
      </c>
      <c r="J154" s="469">
        <f>SUM(J155:J157)</f>
        <v>11641663</v>
      </c>
      <c r="K154" s="470">
        <f>I154/J154*100</f>
        <v>102.28895132937623</v>
      </c>
      <c r="L154" s="469">
        <f>SUM(L155:L157)</f>
        <v>4687883</v>
      </c>
      <c r="M154" s="469">
        <f>SUM(M155:M157)</f>
        <v>5279056</v>
      </c>
      <c r="N154" s="470">
        <f>L154/M154*100</f>
        <v>88.801539517671344</v>
      </c>
    </row>
    <row r="155" spans="1:16" ht="17.25" x14ac:dyDescent="0.25">
      <c r="A155" s="272">
        <v>1</v>
      </c>
      <c r="B155" s="567" t="s">
        <v>673</v>
      </c>
      <c r="C155" s="247">
        <v>2081639</v>
      </c>
      <c r="D155" s="247">
        <v>1744379</v>
      </c>
      <c r="E155" s="425">
        <f>C155/D155*100</f>
        <v>119.33410113283868</v>
      </c>
      <c r="F155" s="247">
        <v>259779</v>
      </c>
      <c r="G155" s="247">
        <v>203650</v>
      </c>
      <c r="H155" s="425">
        <f>F155/G155*100</f>
        <v>127.56150257795238</v>
      </c>
      <c r="I155" s="247">
        <v>2048591</v>
      </c>
      <c r="J155" s="247">
        <v>1810598</v>
      </c>
      <c r="K155" s="425">
        <f>I155/J155*100</f>
        <v>113.1444417811132</v>
      </c>
      <c r="L155" s="247">
        <v>29444</v>
      </c>
      <c r="M155" s="247">
        <v>23142</v>
      </c>
      <c r="N155" s="425">
        <f>L155/M155*100</f>
        <v>127.23187278541181</v>
      </c>
      <c r="O155" s="126">
        <v>128</v>
      </c>
      <c r="P155" s="126">
        <v>145</v>
      </c>
    </row>
    <row r="156" spans="1:16" ht="17.25" x14ac:dyDescent="0.25">
      <c r="A156" s="272">
        <v>2</v>
      </c>
      <c r="B156" s="550" t="s">
        <v>674</v>
      </c>
      <c r="C156" s="247">
        <v>8394245</v>
      </c>
      <c r="D156" s="247">
        <v>8433059</v>
      </c>
      <c r="E156" s="425">
        <f t="shared" ref="E156:E157" si="41">C156/D156*100</f>
        <v>99.539739968616374</v>
      </c>
      <c r="F156" s="247">
        <v>1188187</v>
      </c>
      <c r="G156" s="247">
        <v>980043</v>
      </c>
      <c r="H156" s="425">
        <f t="shared" ref="H156:H157" si="42">F156/G156*100</f>
        <v>121.23825179099283</v>
      </c>
      <c r="I156" s="247">
        <v>8603628</v>
      </c>
      <c r="J156" s="247">
        <v>7821425</v>
      </c>
      <c r="K156" s="425">
        <f t="shared" ref="K156:K157" si="43">I156/J156*100</f>
        <v>110.00077351633495</v>
      </c>
      <c r="L156" s="247">
        <v>3683494</v>
      </c>
      <c r="M156" s="247">
        <v>3631857</v>
      </c>
      <c r="N156" s="425">
        <f t="shared" ref="N156:N157" si="44">L156/M156*100</f>
        <v>101.421779546937</v>
      </c>
      <c r="O156" s="126">
        <v>711</v>
      </c>
      <c r="P156" s="126">
        <v>110</v>
      </c>
    </row>
    <row r="157" spans="1:16" ht="34.5" x14ac:dyDescent="0.25">
      <c r="A157" s="272">
        <v>3</v>
      </c>
      <c r="B157" s="549" t="s">
        <v>675</v>
      </c>
      <c r="C157" s="247">
        <v>1338074</v>
      </c>
      <c r="D157" s="247">
        <v>2275507</v>
      </c>
      <c r="E157" s="425">
        <f t="shared" si="41"/>
        <v>58.803334817251717</v>
      </c>
      <c r="F157" s="247">
        <v>0</v>
      </c>
      <c r="G157" s="247">
        <v>230858</v>
      </c>
      <c r="H157" s="425">
        <f t="shared" si="42"/>
        <v>0</v>
      </c>
      <c r="I157" s="247">
        <v>1255916</v>
      </c>
      <c r="J157" s="247">
        <v>2009640</v>
      </c>
      <c r="K157" s="425">
        <f t="shared" si="43"/>
        <v>62.494576142990788</v>
      </c>
      <c r="L157" s="247">
        <v>974945</v>
      </c>
      <c r="M157" s="247">
        <v>1624057</v>
      </c>
      <c r="N157" s="425">
        <f t="shared" si="44"/>
        <v>60.031452098048291</v>
      </c>
      <c r="O157" s="126">
        <v>295</v>
      </c>
      <c r="P157" s="126">
        <v>193</v>
      </c>
    </row>
    <row r="158" spans="1:16" x14ac:dyDescent="0.25">
      <c r="A158" s="568"/>
      <c r="B158" s="569"/>
      <c r="C158" s="570"/>
      <c r="D158" s="54"/>
      <c r="E158" s="43"/>
      <c r="F158" s="54"/>
      <c r="G158" s="54"/>
      <c r="H158" s="425"/>
      <c r="I158" s="54"/>
      <c r="J158" s="54"/>
      <c r="K158" s="43"/>
      <c r="L158" s="54"/>
      <c r="M158" s="571"/>
      <c r="N158" s="343"/>
    </row>
    <row r="159" spans="1:16" ht="17.25" x14ac:dyDescent="0.25">
      <c r="A159" s="1043" t="s">
        <v>735</v>
      </c>
      <c r="B159" s="1044"/>
      <c r="C159" s="345">
        <f>C160+C188+C194</f>
        <v>217799621</v>
      </c>
      <c r="D159" s="345">
        <f>D160+D188+D194</f>
        <v>180608265</v>
      </c>
      <c r="E159" s="467">
        <f>C159/D159*100</f>
        <v>120.59227798904995</v>
      </c>
      <c r="F159" s="345">
        <f>F160+F188+F194</f>
        <v>35840654</v>
      </c>
      <c r="G159" s="345">
        <f>G160+G188+G194</f>
        <v>25587485</v>
      </c>
      <c r="H159" s="467">
        <f>F159/G159*100</f>
        <v>140.07103081838642</v>
      </c>
      <c r="I159" s="345">
        <f>I160+I188+I194</f>
        <v>212034424</v>
      </c>
      <c r="J159" s="345">
        <f>J160+J188+J194</f>
        <v>168564172</v>
      </c>
      <c r="K159" s="467">
        <f>I159/J159*100</f>
        <v>125.78854775853554</v>
      </c>
      <c r="L159" s="345">
        <f>L160+L188+L194</f>
        <v>97232476.200000003</v>
      </c>
      <c r="M159" s="345">
        <f>M160+M188+M194</f>
        <v>82797701</v>
      </c>
      <c r="N159" s="467">
        <f>L159/M159*100</f>
        <v>117.43378744296294</v>
      </c>
    </row>
    <row r="160" spans="1:16" ht="17.25" x14ac:dyDescent="0.25">
      <c r="A160" s="1062" t="s">
        <v>736</v>
      </c>
      <c r="B160" s="1063" t="s">
        <v>119</v>
      </c>
      <c r="C160" s="254">
        <f>SUM(C161:C186)</f>
        <v>75680718</v>
      </c>
      <c r="D160" s="254">
        <f>SUM(D161:D186)</f>
        <v>69946953</v>
      </c>
      <c r="E160" s="451">
        <f>C160/D160*100</f>
        <v>108.19730489189429</v>
      </c>
      <c r="F160" s="254">
        <f>SUM(F161:F186)</f>
        <v>18618843</v>
      </c>
      <c r="G160" s="254">
        <f>SUM(G161:G186)</f>
        <v>10680360</v>
      </c>
      <c r="H160" s="451">
        <f>F160/G160*100</f>
        <v>174.32785973506512</v>
      </c>
      <c r="I160" s="254">
        <f>SUM(I161:I186)</f>
        <v>72736816</v>
      </c>
      <c r="J160" s="254">
        <f>SUM(J161:J186)</f>
        <v>67718975</v>
      </c>
      <c r="K160" s="451">
        <f>I160/J160*100</f>
        <v>107.40980057657399</v>
      </c>
      <c r="L160" s="254">
        <f>SUM(L161:L186)</f>
        <v>49777056.200000003</v>
      </c>
      <c r="M160" s="254">
        <f>SUM(M161:M186)</f>
        <v>51418057</v>
      </c>
      <c r="N160" s="451">
        <f>L160/M160*100</f>
        <v>96.808512620381592</v>
      </c>
    </row>
    <row r="161" spans="1:16" ht="34.5" x14ac:dyDescent="0.25">
      <c r="A161" s="7">
        <v>1</v>
      </c>
      <c r="B161" s="545" t="s">
        <v>676</v>
      </c>
      <c r="C161" s="247">
        <v>19300413</v>
      </c>
      <c r="D161" s="247">
        <v>21859810</v>
      </c>
      <c r="E161" s="425">
        <f t="shared" ref="E161:E186" si="45">C161/D161*100</f>
        <v>88.291769233126914</v>
      </c>
      <c r="F161" s="247">
        <v>2805768</v>
      </c>
      <c r="G161" s="247">
        <v>3352281</v>
      </c>
      <c r="H161" s="425">
        <f t="shared" ref="H161:H186" si="46">F161/G161*100</f>
        <v>83.697279553832146</v>
      </c>
      <c r="I161" s="247">
        <v>18645499</v>
      </c>
      <c r="J161" s="247">
        <v>20268729</v>
      </c>
      <c r="K161" s="425">
        <f t="shared" ref="K161:K186" si="47">I161/J161*100</f>
        <v>91.991456395711836</v>
      </c>
      <c r="L161" s="247">
        <v>15812439</v>
      </c>
      <c r="M161" s="247">
        <v>17873478</v>
      </c>
      <c r="N161" s="425">
        <f t="shared" ref="N161:N186" si="48">L161/M161*100</f>
        <v>88.468730036761727</v>
      </c>
      <c r="O161" s="126">
        <v>272</v>
      </c>
      <c r="P161" s="126">
        <v>190</v>
      </c>
    </row>
    <row r="162" spans="1:16" ht="17.25" x14ac:dyDescent="0.25">
      <c r="A162" s="7">
        <v>2</v>
      </c>
      <c r="B162" s="572" t="s">
        <v>677</v>
      </c>
      <c r="C162" s="247">
        <v>2338976</v>
      </c>
      <c r="D162" s="247">
        <v>3048856</v>
      </c>
      <c r="E162" s="425">
        <f t="shared" si="45"/>
        <v>76.716512685413804</v>
      </c>
      <c r="F162" s="247">
        <v>187269</v>
      </c>
      <c r="G162" s="247">
        <v>177334</v>
      </c>
      <c r="H162" s="425">
        <f t="shared" si="46"/>
        <v>105.60242254728365</v>
      </c>
      <c r="I162" s="247">
        <v>2281330</v>
      </c>
      <c r="J162" s="247">
        <v>3060350</v>
      </c>
      <c r="K162" s="425">
        <f t="shared" si="47"/>
        <v>74.544741614521215</v>
      </c>
      <c r="L162" s="247">
        <v>1737986</v>
      </c>
      <c r="M162" s="247">
        <v>2445579</v>
      </c>
      <c r="N162" s="425">
        <f t="shared" si="48"/>
        <v>71.066442752411589</v>
      </c>
      <c r="O162" s="126">
        <v>132</v>
      </c>
      <c r="P162" s="126">
        <v>152</v>
      </c>
    </row>
    <row r="163" spans="1:16" ht="17.25" x14ac:dyDescent="0.25">
      <c r="A163" s="7">
        <v>3</v>
      </c>
      <c r="B163" s="572" t="s">
        <v>678</v>
      </c>
      <c r="C163" s="247">
        <v>719558</v>
      </c>
      <c r="D163" s="247">
        <v>744082</v>
      </c>
      <c r="E163" s="425">
        <f t="shared" si="45"/>
        <v>96.70412669571364</v>
      </c>
      <c r="F163" s="247">
        <v>237305</v>
      </c>
      <c r="G163" s="247">
        <v>2854</v>
      </c>
      <c r="H163" s="425">
        <f t="shared" si="46"/>
        <v>8314.8213034337768</v>
      </c>
      <c r="I163" s="247">
        <v>677329</v>
      </c>
      <c r="J163" s="247">
        <v>819290</v>
      </c>
      <c r="K163" s="425">
        <f t="shared" si="47"/>
        <v>82.672680003417597</v>
      </c>
      <c r="L163" s="247">
        <v>611033</v>
      </c>
      <c r="M163" s="247">
        <v>720766</v>
      </c>
      <c r="N163" s="425">
        <f t="shared" si="48"/>
        <v>84.775502729041051</v>
      </c>
      <c r="O163" s="126">
        <v>61</v>
      </c>
      <c r="P163" s="126">
        <v>146</v>
      </c>
    </row>
    <row r="164" spans="1:16" s="599" customFormat="1" ht="17.25" x14ac:dyDescent="0.2">
      <c r="A164" s="7">
        <v>4</v>
      </c>
      <c r="B164" s="550" t="s">
        <v>679</v>
      </c>
      <c r="C164" s="282">
        <v>1158017</v>
      </c>
      <c r="D164" s="433">
        <v>0</v>
      </c>
      <c r="E164" s="372" t="e">
        <f t="shared" si="45"/>
        <v>#DIV/0!</v>
      </c>
      <c r="F164" s="282">
        <v>101272</v>
      </c>
      <c r="G164" s="433">
        <v>0</v>
      </c>
      <c r="H164" s="372" t="e">
        <f t="shared" si="46"/>
        <v>#DIV/0!</v>
      </c>
      <c r="I164" s="282">
        <v>1816459</v>
      </c>
      <c r="J164" s="433">
        <v>0</v>
      </c>
      <c r="K164" s="372" t="e">
        <f t="shared" si="47"/>
        <v>#DIV/0!</v>
      </c>
      <c r="L164" s="282">
        <v>1122572</v>
      </c>
      <c r="M164" s="433">
        <v>0</v>
      </c>
      <c r="N164" s="372" t="e">
        <f t="shared" si="48"/>
        <v>#DIV/0!</v>
      </c>
      <c r="O164" s="599">
        <v>214</v>
      </c>
      <c r="P164" s="599">
        <v>127</v>
      </c>
    </row>
    <row r="165" spans="1:16" ht="52.5" customHeight="1" x14ac:dyDescent="0.25">
      <c r="A165" s="7">
        <v>5</v>
      </c>
      <c r="B165" s="545" t="s">
        <v>680</v>
      </c>
      <c r="C165" s="247">
        <v>6491319</v>
      </c>
      <c r="D165" s="247">
        <v>9070707</v>
      </c>
      <c r="E165" s="425">
        <f t="shared" si="45"/>
        <v>71.563539644704662</v>
      </c>
      <c r="F165" s="247">
        <v>1772998</v>
      </c>
      <c r="G165" s="247">
        <v>1085634</v>
      </c>
      <c r="H165" s="425">
        <f t="shared" si="46"/>
        <v>163.31452404769934</v>
      </c>
      <c r="I165" s="247">
        <v>5174987</v>
      </c>
      <c r="J165" s="247">
        <v>8163321</v>
      </c>
      <c r="K165" s="425">
        <f t="shared" si="47"/>
        <v>63.393158250177841</v>
      </c>
      <c r="L165" s="247">
        <v>4851249</v>
      </c>
      <c r="M165" s="247">
        <v>8163321</v>
      </c>
      <c r="N165" s="425">
        <f t="shared" si="48"/>
        <v>59.427394806598933</v>
      </c>
      <c r="O165" s="126">
        <v>281</v>
      </c>
      <c r="P165" s="126">
        <v>190</v>
      </c>
    </row>
    <row r="166" spans="1:16" ht="34.5" x14ac:dyDescent="0.25">
      <c r="A166" s="7">
        <v>6</v>
      </c>
      <c r="B166" s="545" t="s">
        <v>681</v>
      </c>
      <c r="C166" s="247">
        <v>7477354</v>
      </c>
      <c r="D166" s="247">
        <v>5753303</v>
      </c>
      <c r="E166" s="425">
        <f t="shared" si="45"/>
        <v>129.96628197750059</v>
      </c>
      <c r="F166" s="247">
        <v>895053</v>
      </c>
      <c r="G166" s="247">
        <v>875312</v>
      </c>
      <c r="H166" s="425">
        <f t="shared" si="46"/>
        <v>102.25531010656772</v>
      </c>
      <c r="I166" s="247">
        <v>6645768</v>
      </c>
      <c r="J166" s="247">
        <v>5753303</v>
      </c>
      <c r="K166" s="425">
        <f t="shared" si="47"/>
        <v>115.5122196762451</v>
      </c>
      <c r="L166" s="247">
        <v>5535685</v>
      </c>
      <c r="M166" s="247">
        <v>3800213</v>
      </c>
      <c r="N166" s="425">
        <f t="shared" si="48"/>
        <v>145.66775599157205</v>
      </c>
      <c r="O166" s="126">
        <v>275</v>
      </c>
      <c r="P166" s="126">
        <v>100</v>
      </c>
    </row>
    <row r="167" spans="1:16" ht="17.25" x14ac:dyDescent="0.25">
      <c r="A167" s="7">
        <v>7</v>
      </c>
      <c r="B167" s="572" t="s">
        <v>233</v>
      </c>
      <c r="C167" s="247">
        <v>2773014</v>
      </c>
      <c r="D167" s="247">
        <v>925018</v>
      </c>
      <c r="E167" s="425">
        <f t="shared" si="45"/>
        <v>299.77946375097565</v>
      </c>
      <c r="F167" s="247">
        <v>217409</v>
      </c>
      <c r="G167" s="247">
        <v>369329</v>
      </c>
      <c r="H167" s="425">
        <f t="shared" si="46"/>
        <v>58.86594337298181</v>
      </c>
      <c r="I167" s="247">
        <v>3610077</v>
      </c>
      <c r="J167" s="247">
        <v>1689827</v>
      </c>
      <c r="K167" s="425">
        <f t="shared" si="47"/>
        <v>213.63589290501338</v>
      </c>
      <c r="L167" s="247">
        <v>1740697</v>
      </c>
      <c r="M167" s="247">
        <v>1296452</v>
      </c>
      <c r="N167" s="425">
        <f t="shared" si="48"/>
        <v>134.2662127097648</v>
      </c>
      <c r="O167" s="126">
        <v>234</v>
      </c>
      <c r="P167" s="127">
        <v>93</v>
      </c>
    </row>
    <row r="168" spans="1:16" s="573" customFormat="1" ht="17.25" x14ac:dyDescent="0.25">
      <c r="A168" s="7">
        <v>8</v>
      </c>
      <c r="B168" s="546" t="s">
        <v>682</v>
      </c>
      <c r="C168" s="247">
        <v>2976031</v>
      </c>
      <c r="D168" s="247">
        <v>2247845</v>
      </c>
      <c r="E168" s="425">
        <f t="shared" si="45"/>
        <v>132.39484928898568</v>
      </c>
      <c r="F168" s="247">
        <v>110608</v>
      </c>
      <c r="G168" s="247">
        <v>233508</v>
      </c>
      <c r="H168" s="425">
        <f t="shared" si="46"/>
        <v>47.367970262260819</v>
      </c>
      <c r="I168" s="247">
        <v>2950329</v>
      </c>
      <c r="J168" s="247">
        <v>2262874</v>
      </c>
      <c r="K168" s="425">
        <f t="shared" si="47"/>
        <v>130.37972949443937</v>
      </c>
      <c r="L168" s="247">
        <v>6598</v>
      </c>
      <c r="M168" s="247">
        <v>16014</v>
      </c>
      <c r="N168" s="425">
        <f t="shared" si="48"/>
        <v>41.201448732359189</v>
      </c>
      <c r="O168" s="584">
        <v>274</v>
      </c>
      <c r="P168" s="574">
        <v>85</v>
      </c>
    </row>
    <row r="169" spans="1:16" s="573" customFormat="1" ht="36.75" customHeight="1" x14ac:dyDescent="0.25">
      <c r="A169" s="7">
        <v>9</v>
      </c>
      <c r="B169" s="547" t="s">
        <v>683</v>
      </c>
      <c r="C169" s="247">
        <v>10530348</v>
      </c>
      <c r="D169" s="247">
        <v>11127863</v>
      </c>
      <c r="E169" s="425">
        <f t="shared" si="45"/>
        <v>94.630460493627581</v>
      </c>
      <c r="F169" s="247">
        <v>9845546</v>
      </c>
      <c r="G169" s="247">
        <v>2397794</v>
      </c>
      <c r="H169" s="425">
        <f t="shared" si="46"/>
        <v>410.60850098048462</v>
      </c>
      <c r="I169" s="247">
        <v>10530348</v>
      </c>
      <c r="J169" s="247">
        <v>11127863</v>
      </c>
      <c r="K169" s="425">
        <f t="shared" si="47"/>
        <v>94.630460493627581</v>
      </c>
      <c r="L169" s="247">
        <v>10522413</v>
      </c>
      <c r="M169" s="247">
        <v>11038036</v>
      </c>
      <c r="N169" s="425">
        <f t="shared" si="48"/>
        <v>95.328670788897583</v>
      </c>
      <c r="O169" s="584">
        <v>83</v>
      </c>
      <c r="P169" s="574">
        <v>235</v>
      </c>
    </row>
    <row r="170" spans="1:16" s="573" customFormat="1" ht="38.25" customHeight="1" x14ac:dyDescent="0.25">
      <c r="A170" s="7">
        <v>10</v>
      </c>
      <c r="B170" s="547" t="s">
        <v>539</v>
      </c>
      <c r="C170" s="247">
        <v>737014</v>
      </c>
      <c r="D170" s="247">
        <v>1165487</v>
      </c>
      <c r="E170" s="425">
        <f t="shared" si="45"/>
        <v>63.236569777269068</v>
      </c>
      <c r="F170" s="247">
        <v>86459</v>
      </c>
      <c r="G170" s="247">
        <v>223665</v>
      </c>
      <c r="H170" s="425">
        <f t="shared" si="46"/>
        <v>38.655578655578651</v>
      </c>
      <c r="I170" s="247">
        <v>736283</v>
      </c>
      <c r="J170" s="247">
        <v>1101957</v>
      </c>
      <c r="K170" s="425">
        <f t="shared" si="47"/>
        <v>66.81594653874879</v>
      </c>
      <c r="L170" s="247">
        <v>372624</v>
      </c>
      <c r="M170" s="247">
        <v>725758</v>
      </c>
      <c r="N170" s="425">
        <f t="shared" si="48"/>
        <v>51.342734079403876</v>
      </c>
      <c r="O170" s="584">
        <v>204</v>
      </c>
      <c r="P170" s="574"/>
    </row>
    <row r="171" spans="1:16" s="575" customFormat="1" ht="51.75" x14ac:dyDescent="0.25">
      <c r="A171" s="7">
        <v>11</v>
      </c>
      <c r="B171" s="547" t="s">
        <v>684</v>
      </c>
      <c r="C171" s="247">
        <v>55183</v>
      </c>
      <c r="D171" s="247">
        <v>63206</v>
      </c>
      <c r="E171" s="425">
        <f t="shared" si="45"/>
        <v>87.306584817897033</v>
      </c>
      <c r="F171" s="247">
        <v>1367</v>
      </c>
      <c r="G171" s="247">
        <v>981</v>
      </c>
      <c r="H171" s="425">
        <f t="shared" si="46"/>
        <v>139.34760448521916</v>
      </c>
      <c r="I171" s="247">
        <v>55183</v>
      </c>
      <c r="J171" s="247">
        <v>63206</v>
      </c>
      <c r="K171" s="425">
        <f t="shared" si="47"/>
        <v>87.306584817897033</v>
      </c>
      <c r="L171" s="247">
        <v>25507</v>
      </c>
      <c r="M171" s="247">
        <v>37675</v>
      </c>
      <c r="N171" s="425">
        <f t="shared" si="48"/>
        <v>67.702720637027198</v>
      </c>
      <c r="O171" s="645">
        <v>9</v>
      </c>
      <c r="P171" s="574">
        <v>80</v>
      </c>
    </row>
    <row r="172" spans="1:16" s="673" customFormat="1" ht="17.25" x14ac:dyDescent="0.25">
      <c r="A172" s="669">
        <v>12</v>
      </c>
      <c r="B172" s="670" t="s">
        <v>301</v>
      </c>
      <c r="C172" s="666">
        <v>4415979</v>
      </c>
      <c r="D172" s="666">
        <v>3713165</v>
      </c>
      <c r="E172" s="667">
        <f t="shared" si="45"/>
        <v>118.9276264318984</v>
      </c>
      <c r="F172" s="666">
        <v>343421</v>
      </c>
      <c r="G172" s="666">
        <v>386935</v>
      </c>
      <c r="H172" s="667">
        <f t="shared" si="46"/>
        <v>88.754183519195735</v>
      </c>
      <c r="I172" s="666">
        <v>4270870</v>
      </c>
      <c r="J172" s="666">
        <v>3676150</v>
      </c>
      <c r="K172" s="667">
        <f t="shared" si="47"/>
        <v>116.17779470369815</v>
      </c>
      <c r="L172" s="666">
        <v>603524</v>
      </c>
      <c r="M172" s="666">
        <v>782682</v>
      </c>
      <c r="N172" s="667">
        <f t="shared" si="48"/>
        <v>77.10973294390314</v>
      </c>
      <c r="O172" s="671">
        <v>697</v>
      </c>
      <c r="P172" s="672"/>
    </row>
    <row r="173" spans="1:16" s="573" customFormat="1" ht="34.5" x14ac:dyDescent="0.25">
      <c r="A173" s="7">
        <v>13</v>
      </c>
      <c r="B173" s="547" t="s">
        <v>750</v>
      </c>
      <c r="C173" s="247">
        <v>77721</v>
      </c>
      <c r="D173" s="247">
        <v>18080</v>
      </c>
      <c r="E173" s="425">
        <f t="shared" si="45"/>
        <v>429.87278761061953</v>
      </c>
      <c r="F173" s="247">
        <v>3582</v>
      </c>
      <c r="G173" s="247">
        <v>1211</v>
      </c>
      <c r="H173" s="425">
        <f t="shared" si="46"/>
        <v>295.78860445912471</v>
      </c>
      <c r="I173" s="247">
        <v>77721</v>
      </c>
      <c r="J173" s="247">
        <v>18080</v>
      </c>
      <c r="K173" s="425">
        <f t="shared" si="47"/>
        <v>429.87278761061953</v>
      </c>
      <c r="L173" s="247">
        <v>56363.199999999997</v>
      </c>
      <c r="M173" s="247">
        <v>6751</v>
      </c>
      <c r="N173" s="425">
        <f t="shared" si="48"/>
        <v>834.8866834543029</v>
      </c>
      <c r="O173" s="584">
        <v>45</v>
      </c>
      <c r="P173" s="574"/>
    </row>
    <row r="174" spans="1:16" s="573" customFormat="1" ht="17.25" x14ac:dyDescent="0.25">
      <c r="A174" s="7">
        <v>14</v>
      </c>
      <c r="B174" s="546" t="s">
        <v>237</v>
      </c>
      <c r="C174" s="247">
        <v>1344929</v>
      </c>
      <c r="D174" s="247">
        <v>386169</v>
      </c>
      <c r="E174" s="425">
        <f t="shared" si="45"/>
        <v>348.2747190996688</v>
      </c>
      <c r="F174" s="247">
        <v>189165</v>
      </c>
      <c r="G174" s="247">
        <v>60563</v>
      </c>
      <c r="H174" s="425">
        <f t="shared" si="46"/>
        <v>312.34417053316383</v>
      </c>
      <c r="I174" s="247">
        <v>1344929</v>
      </c>
      <c r="J174" s="247">
        <v>386169</v>
      </c>
      <c r="K174" s="425">
        <f t="shared" si="47"/>
        <v>348.2747190996688</v>
      </c>
      <c r="L174" s="247">
        <v>1255683</v>
      </c>
      <c r="M174" s="247">
        <v>239581</v>
      </c>
      <c r="N174" s="425">
        <f t="shared" si="48"/>
        <v>524.11626965410449</v>
      </c>
      <c r="O174" s="584">
        <v>32</v>
      </c>
      <c r="P174" s="574">
        <v>110</v>
      </c>
    </row>
    <row r="175" spans="1:16" s="573" customFormat="1" ht="17.25" x14ac:dyDescent="0.25">
      <c r="A175" s="7">
        <v>15</v>
      </c>
      <c r="B175" s="546" t="s">
        <v>229</v>
      </c>
      <c r="C175" s="247">
        <v>6139964</v>
      </c>
      <c r="D175" s="247">
        <v>2940788</v>
      </c>
      <c r="E175" s="425">
        <f t="shared" si="45"/>
        <v>208.78635250143839</v>
      </c>
      <c r="F175" s="247">
        <v>739589</v>
      </c>
      <c r="G175" s="247">
        <v>475616</v>
      </c>
      <c r="H175" s="425">
        <f t="shared" si="46"/>
        <v>155.50128675233802</v>
      </c>
      <c r="I175" s="247">
        <v>5813693</v>
      </c>
      <c r="J175" s="247">
        <v>3137422</v>
      </c>
      <c r="K175" s="425">
        <f t="shared" si="47"/>
        <v>185.30159474880969</v>
      </c>
      <c r="L175" s="247">
        <v>1813632</v>
      </c>
      <c r="M175" s="247">
        <v>835158</v>
      </c>
      <c r="N175" s="425">
        <f t="shared" si="48"/>
        <v>217.16034570703985</v>
      </c>
      <c r="O175" s="584">
        <v>349</v>
      </c>
      <c r="P175" s="574">
        <v>115</v>
      </c>
    </row>
    <row r="176" spans="1:16" ht="51.75" x14ac:dyDescent="0.25">
      <c r="A176" s="7">
        <v>16</v>
      </c>
      <c r="B176" s="545" t="s">
        <v>230</v>
      </c>
      <c r="C176" s="247">
        <v>2056413</v>
      </c>
      <c r="D176" s="247">
        <v>1384134</v>
      </c>
      <c r="E176" s="425">
        <f t="shared" si="45"/>
        <v>148.570369631842</v>
      </c>
      <c r="F176" s="247">
        <v>232156</v>
      </c>
      <c r="G176" s="247">
        <v>117117</v>
      </c>
      <c r="H176" s="425">
        <f t="shared" si="46"/>
        <v>198.2257059180136</v>
      </c>
      <c r="I176" s="247">
        <v>1973959</v>
      </c>
      <c r="J176" s="247">
        <v>1372897</v>
      </c>
      <c r="K176" s="425">
        <f t="shared" si="47"/>
        <v>143.78056037707125</v>
      </c>
      <c r="L176" s="282">
        <v>0</v>
      </c>
      <c r="M176" s="247">
        <v>7217</v>
      </c>
      <c r="N176" s="425">
        <f t="shared" si="48"/>
        <v>0</v>
      </c>
      <c r="O176" s="573">
        <v>50</v>
      </c>
      <c r="P176" s="576">
        <v>85</v>
      </c>
    </row>
    <row r="177" spans="1:16" ht="27" customHeight="1" x14ac:dyDescent="0.25">
      <c r="A177" s="7">
        <v>17</v>
      </c>
      <c r="B177" s="572" t="s">
        <v>298</v>
      </c>
      <c r="C177" s="247">
        <v>107564</v>
      </c>
      <c r="D177" s="247">
        <v>80254</v>
      </c>
      <c r="E177" s="425">
        <f t="shared" si="45"/>
        <v>134.0294564756897</v>
      </c>
      <c r="F177" s="247">
        <v>0</v>
      </c>
      <c r="G177" s="247">
        <v>0</v>
      </c>
      <c r="H177" s="425" t="e">
        <f t="shared" si="46"/>
        <v>#DIV/0!</v>
      </c>
      <c r="I177" s="247">
        <v>107564</v>
      </c>
      <c r="J177" s="247">
        <v>80254</v>
      </c>
      <c r="K177" s="425">
        <f t="shared" si="47"/>
        <v>134.0294564756897</v>
      </c>
      <c r="L177" s="247">
        <v>65285</v>
      </c>
      <c r="M177" s="247">
        <v>59029</v>
      </c>
      <c r="N177" s="425">
        <f t="shared" si="48"/>
        <v>110.59818055532027</v>
      </c>
      <c r="O177" s="126">
        <v>11</v>
      </c>
      <c r="P177" s="576">
        <v>80</v>
      </c>
    </row>
    <row r="178" spans="1:16" ht="34.5" x14ac:dyDescent="0.25">
      <c r="A178" s="7">
        <v>18</v>
      </c>
      <c r="B178" s="545" t="s">
        <v>239</v>
      </c>
      <c r="C178" s="247">
        <v>2713339</v>
      </c>
      <c r="D178" s="247">
        <v>1449358</v>
      </c>
      <c r="E178" s="425">
        <f t="shared" si="45"/>
        <v>187.20971630197647</v>
      </c>
      <c r="F178" s="247">
        <v>283421</v>
      </c>
      <c r="G178" s="247">
        <v>224473</v>
      </c>
      <c r="H178" s="425">
        <f t="shared" si="46"/>
        <v>126.26061931724529</v>
      </c>
      <c r="I178" s="247">
        <v>2504011</v>
      </c>
      <c r="J178" s="247">
        <v>1464998</v>
      </c>
      <c r="K178" s="425">
        <f t="shared" si="47"/>
        <v>170.92248590100465</v>
      </c>
      <c r="L178" s="247">
        <v>255953</v>
      </c>
      <c r="M178" s="247">
        <v>287653</v>
      </c>
      <c r="N178" s="425">
        <f t="shared" si="48"/>
        <v>88.979777718292524</v>
      </c>
      <c r="O178" s="126">
        <v>321</v>
      </c>
      <c r="P178" s="127"/>
    </row>
    <row r="179" spans="1:16" ht="34.5" x14ac:dyDescent="0.25">
      <c r="A179" s="7">
        <v>19</v>
      </c>
      <c r="B179" s="548" t="s">
        <v>548</v>
      </c>
      <c r="C179" s="247">
        <v>0</v>
      </c>
      <c r="D179" s="247">
        <v>11426</v>
      </c>
      <c r="E179" s="425">
        <f t="shared" si="45"/>
        <v>0</v>
      </c>
      <c r="F179" s="247">
        <v>0</v>
      </c>
      <c r="G179" s="247">
        <v>0</v>
      </c>
      <c r="H179" s="425" t="e">
        <f t="shared" si="46"/>
        <v>#DIV/0!</v>
      </c>
      <c r="I179" s="247">
        <v>0</v>
      </c>
      <c r="J179" s="247">
        <v>0</v>
      </c>
      <c r="K179" s="425" t="e">
        <f t="shared" si="47"/>
        <v>#DIV/0!</v>
      </c>
      <c r="L179" s="247">
        <v>0</v>
      </c>
      <c r="M179" s="247">
        <v>0</v>
      </c>
      <c r="N179" s="425" t="e">
        <f t="shared" si="48"/>
        <v>#DIV/0!</v>
      </c>
      <c r="P179" s="127"/>
    </row>
    <row r="180" spans="1:16" ht="51.75" x14ac:dyDescent="0.25">
      <c r="A180" s="7">
        <v>20</v>
      </c>
      <c r="B180" s="548" t="s">
        <v>552</v>
      </c>
      <c r="C180" s="247">
        <v>329706</v>
      </c>
      <c r="D180" s="247">
        <v>271934</v>
      </c>
      <c r="E180" s="425">
        <f t="shared" si="45"/>
        <v>121.24486088536189</v>
      </c>
      <c r="F180" s="247">
        <v>37193</v>
      </c>
      <c r="G180" s="247">
        <v>91834</v>
      </c>
      <c r="H180" s="425">
        <f t="shared" si="46"/>
        <v>40.500250451902346</v>
      </c>
      <c r="I180" s="247">
        <v>329706</v>
      </c>
      <c r="J180" s="247">
        <v>271934</v>
      </c>
      <c r="K180" s="425">
        <f t="shared" si="47"/>
        <v>121.24486088536189</v>
      </c>
      <c r="L180" s="247">
        <v>329706</v>
      </c>
      <c r="M180" s="247">
        <v>271934</v>
      </c>
      <c r="N180" s="425">
        <f t="shared" si="48"/>
        <v>121.24486088536189</v>
      </c>
      <c r="O180" s="126">
        <v>32</v>
      </c>
      <c r="P180" s="127"/>
    </row>
    <row r="181" spans="1:16" ht="17.25" x14ac:dyDescent="0.25">
      <c r="A181" s="7">
        <v>21</v>
      </c>
      <c r="B181" s="548" t="s">
        <v>562</v>
      </c>
      <c r="C181" s="247">
        <v>185630</v>
      </c>
      <c r="D181" s="247">
        <v>149082</v>
      </c>
      <c r="E181" s="425">
        <f t="shared" si="45"/>
        <v>124.51536738170938</v>
      </c>
      <c r="F181" s="247">
        <v>34915</v>
      </c>
      <c r="G181" s="247">
        <v>9619</v>
      </c>
      <c r="H181" s="425">
        <f t="shared" si="46"/>
        <v>362.97951970059262</v>
      </c>
      <c r="I181" s="247">
        <v>185630</v>
      </c>
      <c r="J181" s="247">
        <v>149082</v>
      </c>
      <c r="K181" s="425">
        <f t="shared" si="47"/>
        <v>124.51536738170938</v>
      </c>
      <c r="L181" s="247">
        <v>147665</v>
      </c>
      <c r="M181" s="247">
        <v>113438</v>
      </c>
      <c r="N181" s="425">
        <f t="shared" si="48"/>
        <v>130.17242899204854</v>
      </c>
      <c r="O181" s="126">
        <v>13</v>
      </c>
      <c r="P181" s="127">
        <v>88</v>
      </c>
    </row>
    <row r="182" spans="1:16" ht="17.25" x14ac:dyDescent="0.25">
      <c r="A182" s="7">
        <v>22</v>
      </c>
      <c r="B182" s="548" t="s">
        <v>757</v>
      </c>
      <c r="C182" s="247"/>
      <c r="D182" s="247"/>
      <c r="E182" s="425" t="e">
        <f t="shared" si="45"/>
        <v>#DIV/0!</v>
      </c>
      <c r="F182" s="247"/>
      <c r="G182" s="247"/>
      <c r="H182" s="425" t="e">
        <f t="shared" si="46"/>
        <v>#DIV/0!</v>
      </c>
      <c r="I182" s="247"/>
      <c r="J182" s="247"/>
      <c r="K182" s="425" t="e">
        <f t="shared" si="47"/>
        <v>#DIV/0!</v>
      </c>
      <c r="L182" s="247"/>
      <c r="M182" s="247"/>
      <c r="N182" s="425" t="e">
        <f t="shared" si="48"/>
        <v>#DIV/0!</v>
      </c>
      <c r="O182" s="126">
        <v>25</v>
      </c>
      <c r="P182" s="127">
        <v>123</v>
      </c>
    </row>
    <row r="183" spans="1:16" ht="34.5" x14ac:dyDescent="0.25">
      <c r="A183" s="7">
        <v>23</v>
      </c>
      <c r="B183" s="548" t="s">
        <v>564</v>
      </c>
      <c r="C183" s="247">
        <v>1863661</v>
      </c>
      <c r="D183" s="247">
        <v>2008346</v>
      </c>
      <c r="E183" s="425">
        <f t="shared" si="45"/>
        <v>92.795813072050336</v>
      </c>
      <c r="F183" s="247">
        <v>298915</v>
      </c>
      <c r="G183" s="247">
        <v>462389</v>
      </c>
      <c r="H183" s="425">
        <f t="shared" si="46"/>
        <v>64.645785258732374</v>
      </c>
      <c r="I183" s="247">
        <v>1863661</v>
      </c>
      <c r="J183" s="247">
        <v>2008346</v>
      </c>
      <c r="K183" s="425">
        <f t="shared" si="47"/>
        <v>92.795813072050336</v>
      </c>
      <c r="L183" s="247">
        <v>1823874</v>
      </c>
      <c r="M183" s="247">
        <v>1956242</v>
      </c>
      <c r="N183" s="425">
        <f t="shared" si="48"/>
        <v>93.233556993459914</v>
      </c>
      <c r="O183" s="126">
        <v>28</v>
      </c>
      <c r="P183" s="127">
        <v>110</v>
      </c>
    </row>
    <row r="184" spans="1:16" ht="34.5" x14ac:dyDescent="0.25">
      <c r="A184" s="7">
        <v>24</v>
      </c>
      <c r="B184" s="548" t="s">
        <v>753</v>
      </c>
      <c r="C184" s="247">
        <v>247422</v>
      </c>
      <c r="D184" s="247">
        <v>3128</v>
      </c>
      <c r="E184" s="425">
        <f t="shared" si="45"/>
        <v>7909.9104859335039</v>
      </c>
      <c r="F184" s="247">
        <v>28002</v>
      </c>
      <c r="G184" s="247">
        <v>321</v>
      </c>
      <c r="H184" s="425">
        <f t="shared" si="46"/>
        <v>8723.3644859813085</v>
      </c>
      <c r="I184" s="247">
        <v>247422</v>
      </c>
      <c r="J184" s="247">
        <v>3128</v>
      </c>
      <c r="K184" s="425">
        <f t="shared" si="47"/>
        <v>7909.9104859335039</v>
      </c>
      <c r="L184" s="247">
        <v>170231</v>
      </c>
      <c r="M184" s="247">
        <v>0</v>
      </c>
      <c r="N184" s="425" t="e">
        <f t="shared" si="48"/>
        <v>#DIV/0!</v>
      </c>
      <c r="O184" s="126">
        <v>8</v>
      </c>
      <c r="P184" s="127">
        <v>150</v>
      </c>
    </row>
    <row r="185" spans="1:16" ht="17.25" x14ac:dyDescent="0.25">
      <c r="A185" s="7">
        <v>25</v>
      </c>
      <c r="B185" s="548" t="s">
        <v>754</v>
      </c>
      <c r="C185" s="247">
        <v>127507</v>
      </c>
      <c r="D185" s="247">
        <v>160157</v>
      </c>
      <c r="E185" s="425">
        <f t="shared" si="45"/>
        <v>79.613754003883685</v>
      </c>
      <c r="F185" s="247">
        <v>11109</v>
      </c>
      <c r="G185" s="247">
        <v>16772</v>
      </c>
      <c r="H185" s="425">
        <f t="shared" si="46"/>
        <v>66.235392320534231</v>
      </c>
      <c r="I185" s="247">
        <v>127507</v>
      </c>
      <c r="J185" s="247">
        <v>160157</v>
      </c>
      <c r="K185" s="425">
        <f t="shared" si="47"/>
        <v>79.613754003883685</v>
      </c>
      <c r="L185" s="247">
        <v>0</v>
      </c>
      <c r="M185" s="247">
        <v>0</v>
      </c>
      <c r="N185" s="425" t="e">
        <f t="shared" si="48"/>
        <v>#DIV/0!</v>
      </c>
      <c r="O185" s="126">
        <v>31</v>
      </c>
      <c r="P185" s="127">
        <v>120</v>
      </c>
    </row>
    <row r="186" spans="1:16" ht="17.25" x14ac:dyDescent="0.25">
      <c r="A186" s="7">
        <v>26</v>
      </c>
      <c r="B186" s="548" t="s">
        <v>686</v>
      </c>
      <c r="C186" s="247">
        <v>1513656</v>
      </c>
      <c r="D186" s="247">
        <v>1364755</v>
      </c>
      <c r="E186" s="425">
        <f t="shared" si="45"/>
        <v>110.91045645555428</v>
      </c>
      <c r="F186" s="247">
        <v>156321</v>
      </c>
      <c r="G186" s="247">
        <v>114818</v>
      </c>
      <c r="H186" s="425">
        <f t="shared" si="46"/>
        <v>136.14677141214793</v>
      </c>
      <c r="I186" s="247">
        <v>766551</v>
      </c>
      <c r="J186" s="247">
        <v>679638</v>
      </c>
      <c r="K186" s="425">
        <f t="shared" si="47"/>
        <v>112.78813132873677</v>
      </c>
      <c r="L186" s="247">
        <v>916337</v>
      </c>
      <c r="M186" s="247">
        <v>741080</v>
      </c>
      <c r="N186" s="425">
        <f t="shared" si="48"/>
        <v>123.64886382037028</v>
      </c>
      <c r="O186" s="126">
        <v>150</v>
      </c>
      <c r="P186" s="127">
        <v>111</v>
      </c>
    </row>
    <row r="188" spans="1:16" x14ac:dyDescent="0.25">
      <c r="A188" s="1033" t="s">
        <v>364</v>
      </c>
      <c r="B188" s="1034" t="s">
        <v>155</v>
      </c>
      <c r="C188" s="254">
        <f>SUM(C189:C192)</f>
        <v>51965020</v>
      </c>
      <c r="D188" s="254">
        <f>SUM(D189:D192)</f>
        <v>29718375</v>
      </c>
      <c r="E188" s="451">
        <f t="shared" ref="E188:E192" si="49">C188/D188*100</f>
        <v>174.85821482500305</v>
      </c>
      <c r="F188" s="254">
        <f>SUM(F189:F192)</f>
        <v>7208375</v>
      </c>
      <c r="G188" s="254">
        <f>SUM(G189:G192)</f>
        <v>3137591</v>
      </c>
      <c r="H188" s="451">
        <f t="shared" ref="H188:H192" si="50">F188/G188*100</f>
        <v>229.74234054087992</v>
      </c>
      <c r="I188" s="254">
        <f>SUM(I189:I192)</f>
        <v>53591225</v>
      </c>
      <c r="J188" s="254">
        <f>SUM(J189:J192)</f>
        <v>31283086</v>
      </c>
      <c r="K188" s="451">
        <f t="shared" ref="K188:K192" si="51">I188/J188*100</f>
        <v>171.31054461826432</v>
      </c>
      <c r="L188" s="254">
        <f>SUM(L189:L192)</f>
        <v>37957837</v>
      </c>
      <c r="M188" s="254">
        <f>SUM(M189:M192)</f>
        <v>21597407</v>
      </c>
      <c r="N188" s="451">
        <f t="shared" ref="N188:N192" si="52">L188/M188*100</f>
        <v>175.75182520753535</v>
      </c>
    </row>
    <row r="189" spans="1:16" ht="17.25" x14ac:dyDescent="0.25">
      <c r="A189" s="272">
        <v>1</v>
      </c>
      <c r="B189" s="577" t="s">
        <v>687</v>
      </c>
      <c r="C189" s="282">
        <v>25830022</v>
      </c>
      <c r="D189" s="282">
        <v>10353774</v>
      </c>
      <c r="E189" s="425">
        <f t="shared" si="49"/>
        <v>249.47446216229946</v>
      </c>
      <c r="F189" s="282">
        <v>4130414</v>
      </c>
      <c r="G189" s="282">
        <v>1333844</v>
      </c>
      <c r="H189" s="425">
        <f t="shared" si="50"/>
        <v>309.66244928192503</v>
      </c>
      <c r="I189" s="282">
        <v>21769451</v>
      </c>
      <c r="J189" s="282">
        <v>9474908</v>
      </c>
      <c r="K189" s="425">
        <f t="shared" si="51"/>
        <v>229.7589696913152</v>
      </c>
      <c r="L189" s="282">
        <v>10640615</v>
      </c>
      <c r="M189" s="282">
        <v>3280172</v>
      </c>
      <c r="N189" s="425">
        <f t="shared" si="52"/>
        <v>324.39198310332506</v>
      </c>
      <c r="O189" s="126">
        <v>871</v>
      </c>
    </row>
    <row r="190" spans="1:16" ht="17.25" x14ac:dyDescent="0.25">
      <c r="A190" s="272">
        <v>2</v>
      </c>
      <c r="B190" s="577" t="s">
        <v>299</v>
      </c>
      <c r="C190" s="282">
        <v>731</v>
      </c>
      <c r="D190" s="282">
        <v>810133</v>
      </c>
      <c r="E190" s="425">
        <f t="shared" si="49"/>
        <v>9.0232097692601085E-2</v>
      </c>
      <c r="F190" s="282">
        <v>0</v>
      </c>
      <c r="G190" s="282">
        <v>310227</v>
      </c>
      <c r="H190" s="425">
        <f t="shared" si="50"/>
        <v>0</v>
      </c>
      <c r="I190" s="282">
        <v>1059212</v>
      </c>
      <c r="J190" s="282">
        <v>713260</v>
      </c>
      <c r="K190" s="425">
        <f t="shared" si="51"/>
        <v>148.50293020777835</v>
      </c>
      <c r="L190" s="282">
        <v>0</v>
      </c>
      <c r="M190" s="282">
        <v>0</v>
      </c>
      <c r="N190" s="425" t="e">
        <f t="shared" si="52"/>
        <v>#DIV/0!</v>
      </c>
      <c r="O190" s="126">
        <v>197</v>
      </c>
    </row>
    <row r="191" spans="1:16" ht="17.25" x14ac:dyDescent="0.25">
      <c r="A191" s="272">
        <v>3</v>
      </c>
      <c r="B191" s="577" t="s">
        <v>244</v>
      </c>
      <c r="C191" s="282">
        <v>307038</v>
      </c>
      <c r="D191" s="282">
        <v>133923</v>
      </c>
      <c r="E191" s="425">
        <f t="shared" si="49"/>
        <v>229.2645774064201</v>
      </c>
      <c r="F191" s="282">
        <v>69316</v>
      </c>
      <c r="G191" s="282">
        <v>26745</v>
      </c>
      <c r="H191" s="425">
        <f t="shared" si="50"/>
        <v>259.17367732286408</v>
      </c>
      <c r="I191" s="282">
        <v>335049</v>
      </c>
      <c r="J191" s="282">
        <v>131489</v>
      </c>
      <c r="K191" s="425">
        <f t="shared" si="51"/>
        <v>254.81142909292794</v>
      </c>
      <c r="L191" s="282">
        <v>256986</v>
      </c>
      <c r="M191" s="282">
        <v>131489</v>
      </c>
      <c r="N191" s="425">
        <f t="shared" si="52"/>
        <v>195.44296481074463</v>
      </c>
      <c r="O191" s="126">
        <v>110</v>
      </c>
      <c r="P191" s="126">
        <v>184</v>
      </c>
    </row>
    <row r="192" spans="1:16" ht="34.5" x14ac:dyDescent="0.25">
      <c r="A192" s="272">
        <v>4</v>
      </c>
      <c r="B192" s="578" t="s">
        <v>688</v>
      </c>
      <c r="C192" s="282">
        <v>25827229</v>
      </c>
      <c r="D192" s="282">
        <v>18420545</v>
      </c>
      <c r="E192" s="425">
        <f t="shared" si="49"/>
        <v>140.2088211830866</v>
      </c>
      <c r="F192" s="282">
        <v>3008645</v>
      </c>
      <c r="G192" s="282">
        <v>1466775</v>
      </c>
      <c r="H192" s="425">
        <f t="shared" si="50"/>
        <v>205.11973547408431</v>
      </c>
      <c r="I192" s="282">
        <v>30427513</v>
      </c>
      <c r="J192" s="282">
        <v>20963429</v>
      </c>
      <c r="K192" s="425">
        <f t="shared" si="51"/>
        <v>145.14568680534086</v>
      </c>
      <c r="L192" s="282">
        <v>27060236</v>
      </c>
      <c r="M192" s="282">
        <v>18185746</v>
      </c>
      <c r="N192" s="425">
        <f t="shared" si="52"/>
        <v>148.79915291899491</v>
      </c>
      <c r="O192" s="126">
        <v>1146</v>
      </c>
      <c r="P192" s="126">
        <v>163</v>
      </c>
    </row>
    <row r="193" spans="1:16" x14ac:dyDescent="0.25">
      <c r="A193" s="579"/>
      <c r="B193" s="579"/>
      <c r="C193" s="579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</row>
    <row r="194" spans="1:16" x14ac:dyDescent="0.25">
      <c r="A194" s="1033" t="s">
        <v>363</v>
      </c>
      <c r="B194" s="1034" t="s">
        <v>119</v>
      </c>
      <c r="C194" s="254">
        <f>SUM(C195:C234)</f>
        <v>90153883</v>
      </c>
      <c r="D194" s="254">
        <f>SUM(D195:D234)</f>
        <v>80942937</v>
      </c>
      <c r="E194" s="451">
        <f>C194/D194*100</f>
        <v>111.37955495733989</v>
      </c>
      <c r="F194" s="254">
        <f>SUM(F195:F234)</f>
        <v>10013436</v>
      </c>
      <c r="G194" s="254">
        <f>SUM(G195:G234)</f>
        <v>11769534</v>
      </c>
      <c r="H194" s="451">
        <f>F194/G194*100</f>
        <v>85.079290310049657</v>
      </c>
      <c r="I194" s="254">
        <f>SUM(I195:I234)</f>
        <v>85706383</v>
      </c>
      <c r="J194" s="254">
        <f>SUM(J195:J234)</f>
        <v>69562111</v>
      </c>
      <c r="K194" s="451">
        <f>I194/J194*100</f>
        <v>123.20842735781841</v>
      </c>
      <c r="L194" s="254">
        <f>SUM(L195:L234)</f>
        <v>9497583</v>
      </c>
      <c r="M194" s="254">
        <f>SUM(M195:M234)</f>
        <v>9782237</v>
      </c>
      <c r="N194" s="451">
        <f>L194/M194*100</f>
        <v>97.090092992022164</v>
      </c>
    </row>
    <row r="195" spans="1:16" ht="17.25" x14ac:dyDescent="0.25">
      <c r="A195" s="53">
        <v>1</v>
      </c>
      <c r="B195" s="545" t="s">
        <v>689</v>
      </c>
      <c r="C195" s="247">
        <v>81512</v>
      </c>
      <c r="D195" s="247">
        <v>93290</v>
      </c>
      <c r="E195" s="425">
        <f t="shared" ref="E195:E234" si="53">C195/D195*100</f>
        <v>87.374852610140422</v>
      </c>
      <c r="F195" s="247">
        <v>11574</v>
      </c>
      <c r="G195" s="247">
        <v>15049</v>
      </c>
      <c r="H195" s="425">
        <f t="shared" ref="H195:H234" si="54">F195/G195*100</f>
        <v>76.908764701973553</v>
      </c>
      <c r="I195" s="247">
        <v>119396</v>
      </c>
      <c r="J195" s="247">
        <v>88569</v>
      </c>
      <c r="K195" s="425">
        <f t="shared" ref="K195:K234" si="55">I195/J195*100</f>
        <v>134.80563176732267</v>
      </c>
      <c r="L195" s="247">
        <v>117786</v>
      </c>
      <c r="M195" s="247">
        <v>83695</v>
      </c>
      <c r="N195" s="425">
        <f t="shared" ref="N195:N234" si="56">L195/M195*100</f>
        <v>140.73242129159448</v>
      </c>
      <c r="O195" s="126">
        <v>53</v>
      </c>
      <c r="P195" s="126">
        <v>107</v>
      </c>
    </row>
    <row r="196" spans="1:16" ht="34.5" x14ac:dyDescent="0.25">
      <c r="A196" s="53">
        <v>2</v>
      </c>
      <c r="B196" s="545" t="s">
        <v>690</v>
      </c>
      <c r="C196" s="247">
        <v>1465384</v>
      </c>
      <c r="D196" s="247">
        <v>1187630</v>
      </c>
      <c r="E196" s="425">
        <f t="shared" si="53"/>
        <v>123.3872502378687</v>
      </c>
      <c r="F196" s="247">
        <v>243061</v>
      </c>
      <c r="G196" s="247">
        <v>131802</v>
      </c>
      <c r="H196" s="425">
        <f t="shared" si="54"/>
        <v>184.4137418248585</v>
      </c>
      <c r="I196" s="247">
        <v>1477145</v>
      </c>
      <c r="J196" s="247">
        <v>1201357</v>
      </c>
      <c r="K196" s="425">
        <f t="shared" si="55"/>
        <v>122.956373500966</v>
      </c>
      <c r="L196" s="247">
        <v>794595</v>
      </c>
      <c r="M196" s="247">
        <v>531303</v>
      </c>
      <c r="N196" s="425">
        <f t="shared" si="56"/>
        <v>149.55590312872314</v>
      </c>
      <c r="O196" s="126">
        <v>113</v>
      </c>
      <c r="P196" s="126">
        <v>71</v>
      </c>
    </row>
    <row r="197" spans="1:16" ht="17.25" x14ac:dyDescent="0.25">
      <c r="A197" s="53">
        <v>3</v>
      </c>
      <c r="B197" s="545" t="s">
        <v>692</v>
      </c>
      <c r="C197" s="247">
        <v>439831</v>
      </c>
      <c r="D197" s="247">
        <v>309172</v>
      </c>
      <c r="E197" s="425">
        <f t="shared" si="53"/>
        <v>142.26094212930022</v>
      </c>
      <c r="F197" s="247">
        <v>57048</v>
      </c>
      <c r="G197" s="247">
        <v>18450</v>
      </c>
      <c r="H197" s="425">
        <f t="shared" si="54"/>
        <v>309.20325203252031</v>
      </c>
      <c r="I197" s="247">
        <v>684582</v>
      </c>
      <c r="J197" s="247">
        <v>538856</v>
      </c>
      <c r="K197" s="425">
        <f t="shared" si="55"/>
        <v>127.04358863963657</v>
      </c>
      <c r="L197" s="247">
        <v>560573</v>
      </c>
      <c r="M197" s="247">
        <v>448311</v>
      </c>
      <c r="N197" s="425">
        <f t="shared" si="56"/>
        <v>125.041098701571</v>
      </c>
      <c r="O197" s="126">
        <v>179</v>
      </c>
      <c r="P197" s="126">
        <v>104</v>
      </c>
    </row>
    <row r="198" spans="1:16" ht="17.25" x14ac:dyDescent="0.25">
      <c r="A198" s="53">
        <v>4</v>
      </c>
      <c r="B198" s="545" t="s">
        <v>691</v>
      </c>
      <c r="C198" s="247">
        <v>2294661</v>
      </c>
      <c r="D198" s="247">
        <v>2618994</v>
      </c>
      <c r="E198" s="425">
        <f t="shared" si="53"/>
        <v>87.616122831896519</v>
      </c>
      <c r="F198" s="247">
        <v>235686</v>
      </c>
      <c r="G198" s="247">
        <v>259937</v>
      </c>
      <c r="H198" s="425">
        <f t="shared" si="54"/>
        <v>90.670431681522828</v>
      </c>
      <c r="I198" s="247">
        <v>2351614</v>
      </c>
      <c r="J198" s="247">
        <v>2578965</v>
      </c>
      <c r="K198" s="425">
        <f t="shared" si="55"/>
        <v>91.184409249446958</v>
      </c>
      <c r="L198" s="247">
        <v>1711829</v>
      </c>
      <c r="M198" s="247">
        <v>1282080</v>
      </c>
      <c r="N198" s="425">
        <f t="shared" si="56"/>
        <v>133.51967115936603</v>
      </c>
      <c r="O198" s="126">
        <v>280</v>
      </c>
      <c r="P198" s="126">
        <v>180</v>
      </c>
    </row>
    <row r="199" spans="1:16" ht="17.25" x14ac:dyDescent="0.25">
      <c r="A199" s="53">
        <v>5</v>
      </c>
      <c r="B199" s="545" t="s">
        <v>693</v>
      </c>
      <c r="C199" s="247">
        <v>39256171</v>
      </c>
      <c r="D199" s="247">
        <v>40166917</v>
      </c>
      <c r="E199" s="425">
        <f t="shared" si="53"/>
        <v>97.732596703899375</v>
      </c>
      <c r="F199" s="247">
        <v>3389857</v>
      </c>
      <c r="G199" s="247">
        <v>7118757</v>
      </c>
      <c r="H199" s="425">
        <f t="shared" si="54"/>
        <v>47.61866432580856</v>
      </c>
      <c r="I199" s="247">
        <v>37820332</v>
      </c>
      <c r="J199" s="247">
        <v>29233658</v>
      </c>
      <c r="K199" s="425">
        <f t="shared" si="55"/>
        <v>129.37256090223127</v>
      </c>
      <c r="L199" s="247">
        <v>312348</v>
      </c>
      <c r="M199" s="247">
        <v>1925223</v>
      </c>
      <c r="N199" s="425">
        <f t="shared" si="56"/>
        <v>16.223990675365918</v>
      </c>
      <c r="O199" s="126">
        <v>597</v>
      </c>
      <c r="P199" s="126">
        <v>150</v>
      </c>
    </row>
    <row r="200" spans="1:16" ht="17.25" x14ac:dyDescent="0.25">
      <c r="A200" s="53">
        <v>6</v>
      </c>
      <c r="B200" s="545" t="s">
        <v>694</v>
      </c>
      <c r="C200" s="247">
        <v>5980117</v>
      </c>
      <c r="D200" s="247">
        <v>4531853</v>
      </c>
      <c r="E200" s="425">
        <f t="shared" si="53"/>
        <v>131.95743551258172</v>
      </c>
      <c r="F200" s="247">
        <v>824383</v>
      </c>
      <c r="G200" s="247">
        <v>459850</v>
      </c>
      <c r="H200" s="425">
        <f t="shared" si="54"/>
        <v>179.27215396324888</v>
      </c>
      <c r="I200" s="247">
        <v>3442011</v>
      </c>
      <c r="J200" s="247">
        <v>4009711</v>
      </c>
      <c r="K200" s="425">
        <f t="shared" si="55"/>
        <v>85.841872394294754</v>
      </c>
      <c r="L200" s="247">
        <v>531389</v>
      </c>
      <c r="M200" s="247">
        <v>1003848</v>
      </c>
      <c r="N200" s="425">
        <f t="shared" si="56"/>
        <v>52.935205329890579</v>
      </c>
      <c r="O200" s="126">
        <v>476</v>
      </c>
      <c r="P200" s="126">
        <v>138</v>
      </c>
    </row>
    <row r="201" spans="1:16" ht="17.25" x14ac:dyDescent="0.25">
      <c r="A201" s="53">
        <v>7</v>
      </c>
      <c r="B201" s="545" t="s">
        <v>695</v>
      </c>
      <c r="C201" s="247">
        <v>1528239</v>
      </c>
      <c r="D201" s="247">
        <v>1708079</v>
      </c>
      <c r="E201" s="425">
        <f t="shared" si="53"/>
        <v>89.471212982537693</v>
      </c>
      <c r="F201" s="247">
        <v>229464</v>
      </c>
      <c r="G201" s="247">
        <v>247960</v>
      </c>
      <c r="H201" s="425">
        <f t="shared" si="54"/>
        <v>92.540732376189709</v>
      </c>
      <c r="I201" s="247">
        <v>1491359</v>
      </c>
      <c r="J201" s="247">
        <v>1512662</v>
      </c>
      <c r="K201" s="425">
        <f t="shared" si="55"/>
        <v>98.591688030769603</v>
      </c>
      <c r="L201" s="247">
        <v>211551</v>
      </c>
      <c r="M201" s="247">
        <v>58563</v>
      </c>
      <c r="N201" s="425">
        <f t="shared" si="56"/>
        <v>361.23661697658929</v>
      </c>
      <c r="O201" s="126">
        <v>165</v>
      </c>
      <c r="P201" s="126">
        <v>105</v>
      </c>
    </row>
    <row r="202" spans="1:16" ht="17.25" x14ac:dyDescent="0.25">
      <c r="A202" s="53">
        <v>8</v>
      </c>
      <c r="B202" s="545" t="s">
        <v>696</v>
      </c>
      <c r="C202" s="247">
        <v>191290</v>
      </c>
      <c r="D202" s="247">
        <v>336364</v>
      </c>
      <c r="E202" s="425">
        <f t="shared" si="53"/>
        <v>56.869938518985386</v>
      </c>
      <c r="F202" s="247">
        <v>17434</v>
      </c>
      <c r="G202" s="247">
        <v>31005</v>
      </c>
      <c r="H202" s="425">
        <f t="shared" si="54"/>
        <v>56.229640380583781</v>
      </c>
      <c r="I202" s="247">
        <v>274565</v>
      </c>
      <c r="J202" s="247">
        <v>516532</v>
      </c>
      <c r="K202" s="425">
        <f t="shared" si="55"/>
        <v>53.155467618656736</v>
      </c>
      <c r="L202" s="247">
        <v>178386</v>
      </c>
      <c r="M202" s="247">
        <v>448428</v>
      </c>
      <c r="N202" s="425">
        <f t="shared" si="56"/>
        <v>39.78029917846343</v>
      </c>
      <c r="O202" s="126">
        <v>42</v>
      </c>
      <c r="P202" s="126">
        <v>80</v>
      </c>
    </row>
    <row r="203" spans="1:16" ht="17.25" x14ac:dyDescent="0.25">
      <c r="A203" s="53">
        <v>9</v>
      </c>
      <c r="B203" s="545" t="s">
        <v>697</v>
      </c>
      <c r="C203" s="247">
        <v>2576231</v>
      </c>
      <c r="D203" s="247">
        <v>1541377</v>
      </c>
      <c r="E203" s="425">
        <f t="shared" si="53"/>
        <v>167.13827960323789</v>
      </c>
      <c r="F203" s="247">
        <v>379293</v>
      </c>
      <c r="G203" s="247">
        <v>216592</v>
      </c>
      <c r="H203" s="425">
        <f t="shared" si="54"/>
        <v>175.11865627539336</v>
      </c>
      <c r="I203" s="247">
        <v>2570015</v>
      </c>
      <c r="J203" s="247">
        <v>1537437</v>
      </c>
      <c r="K203" s="425">
        <f t="shared" si="55"/>
        <v>167.16229673150835</v>
      </c>
      <c r="L203" s="247">
        <v>57975</v>
      </c>
      <c r="M203" s="247">
        <v>0</v>
      </c>
      <c r="N203" s="425" t="e">
        <f t="shared" si="56"/>
        <v>#DIV/0!</v>
      </c>
      <c r="O203" s="126">
        <v>153</v>
      </c>
      <c r="P203" s="126">
        <v>110</v>
      </c>
    </row>
    <row r="204" spans="1:16" ht="17.25" x14ac:dyDescent="0.25">
      <c r="A204" s="53">
        <v>10</v>
      </c>
      <c r="B204" s="545" t="s">
        <v>227</v>
      </c>
      <c r="C204" s="247">
        <v>948276</v>
      </c>
      <c r="D204" s="247">
        <v>828690</v>
      </c>
      <c r="E204" s="425">
        <f t="shared" si="53"/>
        <v>114.43072801650797</v>
      </c>
      <c r="F204" s="247">
        <v>153453</v>
      </c>
      <c r="G204" s="247">
        <v>101323</v>
      </c>
      <c r="H204" s="425">
        <f t="shared" si="54"/>
        <v>151.44932542463212</v>
      </c>
      <c r="I204" s="247">
        <v>948276</v>
      </c>
      <c r="J204" s="247">
        <v>828690</v>
      </c>
      <c r="K204" s="425">
        <f t="shared" si="55"/>
        <v>114.43072801650797</v>
      </c>
      <c r="L204" s="247">
        <v>573668</v>
      </c>
      <c r="M204" s="247">
        <v>693462</v>
      </c>
      <c r="N204" s="425">
        <f t="shared" si="56"/>
        <v>82.725225030354949</v>
      </c>
      <c r="O204" s="126">
        <v>123</v>
      </c>
      <c r="P204" s="126">
        <v>85</v>
      </c>
    </row>
    <row r="205" spans="1:16" ht="17.25" x14ac:dyDescent="0.25">
      <c r="A205" s="53">
        <v>11</v>
      </c>
      <c r="B205" s="545" t="s">
        <v>235</v>
      </c>
      <c r="C205" s="247">
        <v>217600</v>
      </c>
      <c r="D205" s="247">
        <v>168492</v>
      </c>
      <c r="E205" s="425">
        <f t="shared" si="53"/>
        <v>129.14559741708806</v>
      </c>
      <c r="F205" s="247">
        <v>27159</v>
      </c>
      <c r="G205" s="247">
        <v>24039</v>
      </c>
      <c r="H205" s="425">
        <f t="shared" si="54"/>
        <v>112.9789092724323</v>
      </c>
      <c r="I205" s="247">
        <v>217600</v>
      </c>
      <c r="J205" s="247">
        <v>168492</v>
      </c>
      <c r="K205" s="425">
        <f t="shared" si="55"/>
        <v>129.14559741708806</v>
      </c>
      <c r="L205" s="247">
        <v>0</v>
      </c>
      <c r="M205" s="247">
        <v>0</v>
      </c>
      <c r="N205" s="425" t="e">
        <f t="shared" si="56"/>
        <v>#DIV/0!</v>
      </c>
      <c r="O205" s="126">
        <v>17</v>
      </c>
      <c r="P205" s="126">
        <v>80</v>
      </c>
    </row>
    <row r="206" spans="1:16" ht="17.25" x14ac:dyDescent="0.25">
      <c r="A206" s="53">
        <v>12</v>
      </c>
      <c r="B206" s="545" t="s">
        <v>698</v>
      </c>
      <c r="C206" s="247">
        <v>1845981</v>
      </c>
      <c r="D206" s="247">
        <v>1514404</v>
      </c>
      <c r="E206" s="425">
        <f t="shared" si="53"/>
        <v>121.89488405999984</v>
      </c>
      <c r="F206" s="247">
        <v>196548</v>
      </c>
      <c r="G206" s="247">
        <v>229776</v>
      </c>
      <c r="H206" s="425">
        <f t="shared" si="54"/>
        <v>85.538959682473376</v>
      </c>
      <c r="I206" s="247">
        <v>1845981</v>
      </c>
      <c r="J206" s="247">
        <v>1514404</v>
      </c>
      <c r="K206" s="425">
        <f t="shared" si="55"/>
        <v>121.89488405999984</v>
      </c>
      <c r="L206" s="247">
        <v>236793</v>
      </c>
      <c r="M206" s="247">
        <v>229308</v>
      </c>
      <c r="N206" s="425">
        <f t="shared" si="56"/>
        <v>103.26416871631167</v>
      </c>
      <c r="O206" s="126">
        <v>173</v>
      </c>
      <c r="P206" s="126">
        <v>115</v>
      </c>
    </row>
    <row r="207" spans="1:16" ht="17.25" x14ac:dyDescent="0.25">
      <c r="A207" s="53">
        <v>13</v>
      </c>
      <c r="B207" s="545" t="s">
        <v>699</v>
      </c>
      <c r="C207" s="247">
        <v>444654</v>
      </c>
      <c r="D207" s="247">
        <v>275753</v>
      </c>
      <c r="E207" s="425">
        <f t="shared" si="53"/>
        <v>161.25082954673204</v>
      </c>
      <c r="F207" s="247">
        <v>66580</v>
      </c>
      <c r="G207" s="247">
        <v>40836</v>
      </c>
      <c r="H207" s="425">
        <f t="shared" si="54"/>
        <v>163.04241355666568</v>
      </c>
      <c r="I207" s="247">
        <v>442402</v>
      </c>
      <c r="J207" s="247">
        <v>272476</v>
      </c>
      <c r="K207" s="425">
        <f t="shared" si="55"/>
        <v>162.36365771664293</v>
      </c>
      <c r="L207" s="247">
        <v>0</v>
      </c>
      <c r="M207" s="247">
        <v>0</v>
      </c>
      <c r="N207" s="425" t="e">
        <f t="shared" si="56"/>
        <v>#DIV/0!</v>
      </c>
      <c r="O207" s="126">
        <v>131</v>
      </c>
    </row>
    <row r="208" spans="1:16" ht="34.5" x14ac:dyDescent="0.25">
      <c r="A208" s="53">
        <v>14</v>
      </c>
      <c r="B208" s="545" t="s">
        <v>700</v>
      </c>
      <c r="C208" s="247">
        <v>6944</v>
      </c>
      <c r="D208" s="247">
        <v>12407</v>
      </c>
      <c r="E208" s="425">
        <f t="shared" si="53"/>
        <v>55.968404932699279</v>
      </c>
      <c r="F208" s="247">
        <v>2214</v>
      </c>
      <c r="G208" s="247">
        <v>0</v>
      </c>
      <c r="H208" s="425" t="e">
        <f t="shared" si="54"/>
        <v>#DIV/0!</v>
      </c>
      <c r="I208" s="247">
        <v>2850</v>
      </c>
      <c r="J208" s="247">
        <v>0</v>
      </c>
      <c r="K208" s="425" t="e">
        <f t="shared" si="55"/>
        <v>#DIV/0!</v>
      </c>
      <c r="L208" s="247">
        <v>0</v>
      </c>
      <c r="M208" s="247">
        <v>0</v>
      </c>
      <c r="N208" s="425" t="e">
        <f t="shared" si="56"/>
        <v>#DIV/0!</v>
      </c>
      <c r="O208" s="126">
        <v>38</v>
      </c>
      <c r="P208" s="126">
        <v>80</v>
      </c>
    </row>
    <row r="209" spans="1:16" ht="34.5" x14ac:dyDescent="0.25">
      <c r="A209" s="53">
        <v>15</v>
      </c>
      <c r="B209" s="545" t="s">
        <v>701</v>
      </c>
      <c r="C209" s="247">
        <v>3380391</v>
      </c>
      <c r="D209" s="247">
        <v>2733255</v>
      </c>
      <c r="E209" s="425">
        <f t="shared" si="53"/>
        <v>123.6763858476432</v>
      </c>
      <c r="F209" s="247">
        <v>324705</v>
      </c>
      <c r="G209" s="247">
        <v>110745</v>
      </c>
      <c r="H209" s="425">
        <f t="shared" si="54"/>
        <v>293.20059596370038</v>
      </c>
      <c r="I209" s="247">
        <v>2577389</v>
      </c>
      <c r="J209" s="247">
        <v>2014504</v>
      </c>
      <c r="K209" s="425">
        <f t="shared" si="55"/>
        <v>127.94161739068277</v>
      </c>
      <c r="L209" s="247">
        <v>0</v>
      </c>
      <c r="M209" s="247">
        <v>0</v>
      </c>
      <c r="N209" s="425" t="e">
        <f t="shared" si="56"/>
        <v>#DIV/0!</v>
      </c>
      <c r="O209" s="126">
        <v>403</v>
      </c>
      <c r="P209" s="126">
        <v>100</v>
      </c>
    </row>
    <row r="210" spans="1:16" ht="17.25" x14ac:dyDescent="0.25">
      <c r="A210" s="53">
        <v>16</v>
      </c>
      <c r="B210" s="545" t="s">
        <v>785</v>
      </c>
      <c r="C210" s="247">
        <v>17879770</v>
      </c>
      <c r="D210" s="247">
        <v>14524475</v>
      </c>
      <c r="E210" s="425">
        <f t="shared" si="53"/>
        <v>123.1009726685474</v>
      </c>
      <c r="F210" s="247">
        <v>2192361</v>
      </c>
      <c r="G210" s="247">
        <v>1756058</v>
      </c>
      <c r="H210" s="425">
        <f t="shared" si="54"/>
        <v>124.84559166041214</v>
      </c>
      <c r="I210" s="247">
        <v>18066317</v>
      </c>
      <c r="J210" s="247">
        <v>14858232</v>
      </c>
      <c r="K210" s="425">
        <f t="shared" si="55"/>
        <v>121.59129699953534</v>
      </c>
      <c r="L210" s="247">
        <v>987248</v>
      </c>
      <c r="M210" s="247">
        <v>736224</v>
      </c>
      <c r="N210" s="425">
        <f t="shared" si="56"/>
        <v>134.09614465162775</v>
      </c>
      <c r="O210" s="126">
        <v>1732</v>
      </c>
      <c r="P210" s="126">
        <v>168</v>
      </c>
    </row>
    <row r="211" spans="1:16" ht="34.5" x14ac:dyDescent="0.25">
      <c r="A211" s="53">
        <v>17</v>
      </c>
      <c r="B211" s="545" t="s">
        <v>547</v>
      </c>
      <c r="C211" s="247"/>
      <c r="D211" s="247"/>
      <c r="E211" s="425" t="e">
        <f t="shared" si="53"/>
        <v>#DIV/0!</v>
      </c>
      <c r="F211" s="247"/>
      <c r="G211" s="247"/>
      <c r="H211" s="425" t="e">
        <f t="shared" si="54"/>
        <v>#DIV/0!</v>
      </c>
      <c r="I211" s="247"/>
      <c r="J211" s="247"/>
      <c r="K211" s="425" t="e">
        <f t="shared" si="55"/>
        <v>#DIV/0!</v>
      </c>
      <c r="L211" s="247"/>
      <c r="M211" s="247"/>
      <c r="N211" s="425" t="e">
        <f t="shared" si="56"/>
        <v>#DIV/0!</v>
      </c>
    </row>
    <row r="212" spans="1:16" ht="17.25" x14ac:dyDescent="0.25">
      <c r="A212" s="53">
        <v>18</v>
      </c>
      <c r="B212" s="545" t="s">
        <v>549</v>
      </c>
      <c r="C212" s="247"/>
      <c r="D212" s="247"/>
      <c r="E212" s="425" t="e">
        <f t="shared" si="53"/>
        <v>#DIV/0!</v>
      </c>
      <c r="F212" s="247"/>
      <c r="G212" s="247"/>
      <c r="H212" s="425" t="e">
        <f t="shared" si="54"/>
        <v>#DIV/0!</v>
      </c>
      <c r="I212" s="247"/>
      <c r="J212" s="247"/>
      <c r="K212" s="425" t="e">
        <f t="shared" si="55"/>
        <v>#DIV/0!</v>
      </c>
      <c r="L212" s="247"/>
      <c r="M212" s="247"/>
      <c r="N212" s="425" t="e">
        <f t="shared" si="56"/>
        <v>#DIV/0!</v>
      </c>
      <c r="O212" s="126">
        <v>121</v>
      </c>
      <c r="P212" s="126">
        <v>107</v>
      </c>
    </row>
    <row r="213" spans="1:16" ht="17.25" x14ac:dyDescent="0.25">
      <c r="A213" s="53">
        <v>19</v>
      </c>
      <c r="B213" s="545" t="s">
        <v>550</v>
      </c>
      <c r="C213" s="247"/>
      <c r="D213" s="247"/>
      <c r="E213" s="425" t="e">
        <f t="shared" si="53"/>
        <v>#DIV/0!</v>
      </c>
      <c r="F213" s="247"/>
      <c r="G213" s="247"/>
      <c r="H213" s="425" t="e">
        <f>F213/G213*100</f>
        <v>#DIV/0!</v>
      </c>
      <c r="I213" s="247"/>
      <c r="J213" s="247"/>
      <c r="K213" s="425" t="e">
        <f t="shared" si="55"/>
        <v>#DIV/0!</v>
      </c>
      <c r="L213" s="247"/>
      <c r="M213" s="247"/>
      <c r="N213" s="425" t="e">
        <f t="shared" si="56"/>
        <v>#DIV/0!</v>
      </c>
      <c r="O213" s="126">
        <v>6</v>
      </c>
      <c r="P213" s="126">
        <v>83</v>
      </c>
    </row>
    <row r="214" spans="1:16" ht="17.25" x14ac:dyDescent="0.25">
      <c r="A214" s="53">
        <v>20</v>
      </c>
      <c r="B214" s="545" t="s">
        <v>551</v>
      </c>
      <c r="C214" s="247">
        <v>1110890</v>
      </c>
      <c r="D214" s="247">
        <v>747257</v>
      </c>
      <c r="E214" s="425">
        <f t="shared" si="53"/>
        <v>148.66237452442735</v>
      </c>
      <c r="F214" s="282">
        <v>113334</v>
      </c>
      <c r="G214" s="247">
        <v>82868</v>
      </c>
      <c r="H214" s="425">
        <f t="shared" si="54"/>
        <v>136.76449292851282</v>
      </c>
      <c r="I214" s="247">
        <v>1056128</v>
      </c>
      <c r="J214" s="247">
        <v>727148</v>
      </c>
      <c r="K214" s="425">
        <f t="shared" si="55"/>
        <v>145.24250909030897</v>
      </c>
      <c r="L214" s="247">
        <v>14005</v>
      </c>
      <c r="M214" s="247">
        <v>8210</v>
      </c>
      <c r="N214" s="425">
        <f t="shared" si="56"/>
        <v>170.58465286236299</v>
      </c>
      <c r="O214" s="126">
        <v>301</v>
      </c>
      <c r="P214" s="126">
        <v>97</v>
      </c>
    </row>
    <row r="215" spans="1:16" ht="17.25" x14ac:dyDescent="0.25">
      <c r="A215" s="53">
        <v>21</v>
      </c>
      <c r="B215" s="545" t="s">
        <v>553</v>
      </c>
      <c r="C215" s="247">
        <v>280265</v>
      </c>
      <c r="D215" s="247">
        <v>104137</v>
      </c>
      <c r="E215" s="425">
        <f t="shared" si="53"/>
        <v>269.13104852261921</v>
      </c>
      <c r="F215" s="247">
        <v>31481</v>
      </c>
      <c r="G215" s="247">
        <v>2280</v>
      </c>
      <c r="H215" s="425">
        <f t="shared" si="54"/>
        <v>1380.7456140350878</v>
      </c>
      <c r="I215" s="247">
        <v>207808</v>
      </c>
      <c r="J215" s="247">
        <v>67618</v>
      </c>
      <c r="K215" s="425">
        <f t="shared" si="55"/>
        <v>307.32645153657307</v>
      </c>
      <c r="L215" s="247">
        <v>0</v>
      </c>
      <c r="M215" s="247">
        <v>0</v>
      </c>
      <c r="N215" s="425" t="e">
        <f t="shared" si="56"/>
        <v>#DIV/0!</v>
      </c>
    </row>
    <row r="216" spans="1:16" ht="34.5" x14ac:dyDescent="0.25">
      <c r="A216" s="53">
        <v>22</v>
      </c>
      <c r="B216" s="545" t="s">
        <v>554</v>
      </c>
      <c r="C216" s="247">
        <v>3515073</v>
      </c>
      <c r="D216" s="247">
        <v>2094258</v>
      </c>
      <c r="E216" s="425">
        <f t="shared" si="53"/>
        <v>167.84336027366257</v>
      </c>
      <c r="F216" s="247">
        <v>524851</v>
      </c>
      <c r="G216" s="247">
        <v>190301</v>
      </c>
      <c r="H216" s="425">
        <f t="shared" si="54"/>
        <v>275.80044245694978</v>
      </c>
      <c r="I216" s="247">
        <v>3515073</v>
      </c>
      <c r="J216" s="247">
        <v>2094258</v>
      </c>
      <c r="K216" s="425">
        <f t="shared" si="55"/>
        <v>167.84336027366257</v>
      </c>
      <c r="L216" s="247">
        <v>672033</v>
      </c>
      <c r="M216" s="247">
        <v>103647</v>
      </c>
      <c r="N216" s="425">
        <f t="shared" si="56"/>
        <v>648.38634982199198</v>
      </c>
    </row>
    <row r="217" spans="1:16" ht="34.5" x14ac:dyDescent="0.25">
      <c r="A217" s="53">
        <v>23</v>
      </c>
      <c r="B217" s="545" t="s">
        <v>575</v>
      </c>
      <c r="C217" s="247">
        <v>130734</v>
      </c>
      <c r="D217" s="247">
        <v>13087</v>
      </c>
      <c r="E217" s="425">
        <f t="shared" si="53"/>
        <v>998.96080079468175</v>
      </c>
      <c r="F217" s="247">
        <v>12145</v>
      </c>
      <c r="G217" s="247">
        <v>10656</v>
      </c>
      <c r="H217" s="425">
        <f t="shared" si="54"/>
        <v>113.97334834834835</v>
      </c>
      <c r="I217" s="247">
        <v>42202</v>
      </c>
      <c r="J217" s="247">
        <v>32043</v>
      </c>
      <c r="K217" s="425">
        <f t="shared" si="55"/>
        <v>131.70427238398401</v>
      </c>
      <c r="L217" s="247">
        <v>11201</v>
      </c>
      <c r="M217" s="247">
        <v>5673</v>
      </c>
      <c r="N217" s="425">
        <f t="shared" si="56"/>
        <v>197.44403313943241</v>
      </c>
    </row>
    <row r="218" spans="1:16" ht="17.25" x14ac:dyDescent="0.25">
      <c r="A218" s="53">
        <v>24</v>
      </c>
      <c r="B218" s="545" t="s">
        <v>576</v>
      </c>
      <c r="C218" s="247">
        <v>45161</v>
      </c>
      <c r="D218" s="247">
        <v>42804</v>
      </c>
      <c r="E218" s="425">
        <f t="shared" si="53"/>
        <v>105.50649472011962</v>
      </c>
      <c r="F218" s="247">
        <v>5890</v>
      </c>
      <c r="G218" s="247">
        <v>4706</v>
      </c>
      <c r="H218" s="425">
        <f t="shared" si="54"/>
        <v>125.1593710157246</v>
      </c>
      <c r="I218" s="247">
        <v>42849</v>
      </c>
      <c r="J218" s="247">
        <v>43219</v>
      </c>
      <c r="K218" s="425">
        <f>I218/J218*100</f>
        <v>99.143895046160253</v>
      </c>
      <c r="L218" s="247">
        <v>0</v>
      </c>
      <c r="M218" s="247">
        <v>0</v>
      </c>
      <c r="N218" s="425" t="e">
        <f t="shared" si="56"/>
        <v>#DIV/0!</v>
      </c>
      <c r="O218" s="126">
        <v>3</v>
      </c>
      <c r="P218" s="126">
        <v>81</v>
      </c>
    </row>
    <row r="219" spans="1:16" ht="17.25" x14ac:dyDescent="0.25">
      <c r="A219" s="53">
        <v>25</v>
      </c>
      <c r="B219" s="545" t="s">
        <v>755</v>
      </c>
      <c r="C219" s="247"/>
      <c r="D219" s="247"/>
      <c r="E219" s="425" t="e">
        <f t="shared" si="53"/>
        <v>#DIV/0!</v>
      </c>
      <c r="F219" s="247"/>
      <c r="G219" s="247"/>
      <c r="H219" s="425" t="e">
        <f t="shared" si="54"/>
        <v>#DIV/0!</v>
      </c>
      <c r="I219" s="247"/>
      <c r="J219" s="247"/>
      <c r="K219" s="425" t="e">
        <f t="shared" si="55"/>
        <v>#DIV/0!</v>
      </c>
      <c r="L219" s="247"/>
      <c r="M219" s="247"/>
      <c r="N219" s="425" t="e">
        <f t="shared" si="56"/>
        <v>#DIV/0!</v>
      </c>
      <c r="O219" s="126">
        <v>25</v>
      </c>
      <c r="P219" s="126">
        <v>87</v>
      </c>
    </row>
    <row r="220" spans="1:16" ht="34.5" x14ac:dyDescent="0.25">
      <c r="A220" s="53">
        <v>27</v>
      </c>
      <c r="B220" s="545" t="s">
        <v>557</v>
      </c>
      <c r="C220" s="247">
        <v>862523</v>
      </c>
      <c r="D220" s="247">
        <v>1041560</v>
      </c>
      <c r="E220" s="425">
        <f t="shared" si="53"/>
        <v>82.8106878144322</v>
      </c>
      <c r="F220" s="247">
        <v>249270</v>
      </c>
      <c r="G220" s="247">
        <v>170881</v>
      </c>
      <c r="H220" s="425">
        <f t="shared" si="54"/>
        <v>145.87344409267268</v>
      </c>
      <c r="I220" s="247">
        <v>872195</v>
      </c>
      <c r="J220" s="247">
        <v>1057374</v>
      </c>
      <c r="K220" s="425">
        <f t="shared" si="55"/>
        <v>82.486896783919406</v>
      </c>
      <c r="L220" s="247">
        <v>184702</v>
      </c>
      <c r="M220" s="247">
        <v>357522</v>
      </c>
      <c r="N220" s="425">
        <f t="shared" si="56"/>
        <v>51.661715922376807</v>
      </c>
      <c r="O220" s="126">
        <v>82</v>
      </c>
      <c r="P220" s="126">
        <v>119</v>
      </c>
    </row>
    <row r="221" spans="1:16" ht="17.25" x14ac:dyDescent="0.25">
      <c r="A221" s="53">
        <v>28</v>
      </c>
      <c r="B221" s="545" t="s">
        <v>558</v>
      </c>
      <c r="C221" s="247">
        <v>2147837</v>
      </c>
      <c r="D221" s="247">
        <v>1794845</v>
      </c>
      <c r="E221" s="425">
        <f t="shared" si="53"/>
        <v>119.66699074293324</v>
      </c>
      <c r="F221" s="247">
        <v>346536</v>
      </c>
      <c r="G221" s="247">
        <v>207919</v>
      </c>
      <c r="H221" s="425">
        <f t="shared" si="54"/>
        <v>166.66875081161413</v>
      </c>
      <c r="I221" s="247">
        <v>2147837</v>
      </c>
      <c r="J221" s="247">
        <v>1794845</v>
      </c>
      <c r="K221" s="425">
        <f t="shared" si="55"/>
        <v>119.66699074293324</v>
      </c>
      <c r="L221" s="247">
        <v>2147656</v>
      </c>
      <c r="M221" s="247">
        <v>1794845</v>
      </c>
      <c r="N221" s="425">
        <f t="shared" si="56"/>
        <v>119.65690630667271</v>
      </c>
      <c r="O221" s="126">
        <v>48</v>
      </c>
      <c r="P221" s="126">
        <v>130</v>
      </c>
    </row>
    <row r="222" spans="1:16" ht="17.25" x14ac:dyDescent="0.25">
      <c r="A222" s="53">
        <v>30</v>
      </c>
      <c r="B222" s="545" t="s">
        <v>560</v>
      </c>
      <c r="C222" s="247"/>
      <c r="D222" s="593"/>
      <c r="E222" s="425" t="e">
        <f t="shared" si="53"/>
        <v>#DIV/0!</v>
      </c>
      <c r="F222" s="593"/>
      <c r="G222" s="593"/>
      <c r="H222" s="425" t="e">
        <f t="shared" si="54"/>
        <v>#DIV/0!</v>
      </c>
      <c r="I222" s="593"/>
      <c r="J222" s="593"/>
      <c r="K222" s="425" t="e">
        <f t="shared" si="55"/>
        <v>#DIV/0!</v>
      </c>
      <c r="L222" s="247"/>
      <c r="M222" s="247"/>
      <c r="N222" s="425" t="e">
        <f t="shared" si="56"/>
        <v>#DIV/0!</v>
      </c>
      <c r="O222" s="126">
        <v>57</v>
      </c>
      <c r="P222" s="126">
        <v>95</v>
      </c>
    </row>
    <row r="223" spans="1:16" ht="17.25" x14ac:dyDescent="0.25">
      <c r="A223" s="53">
        <v>31</v>
      </c>
      <c r="B223" s="545" t="s">
        <v>561</v>
      </c>
      <c r="C223" s="247"/>
      <c r="D223" s="247"/>
      <c r="E223" s="425" t="e">
        <f t="shared" si="53"/>
        <v>#DIV/0!</v>
      </c>
      <c r="F223" s="247"/>
      <c r="G223" s="247"/>
      <c r="H223" s="425" t="e">
        <f t="shared" si="54"/>
        <v>#DIV/0!</v>
      </c>
      <c r="I223" s="247"/>
      <c r="J223" s="247"/>
      <c r="K223" s="425" t="e">
        <f t="shared" si="55"/>
        <v>#DIV/0!</v>
      </c>
      <c r="L223" s="247"/>
      <c r="M223" s="247"/>
      <c r="N223" s="425" t="e">
        <f t="shared" si="56"/>
        <v>#DIV/0!</v>
      </c>
    </row>
    <row r="224" spans="1:16" ht="34.5" x14ac:dyDescent="0.25">
      <c r="A224" s="53">
        <v>32</v>
      </c>
      <c r="B224" s="545" t="s">
        <v>565</v>
      </c>
      <c r="C224" s="247">
        <v>57650</v>
      </c>
      <c r="D224" s="247">
        <v>47349</v>
      </c>
      <c r="E224" s="425">
        <f t="shared" si="53"/>
        <v>121.75547530042874</v>
      </c>
      <c r="F224" s="247">
        <v>8699</v>
      </c>
      <c r="G224" s="247">
        <v>3996</v>
      </c>
      <c r="H224" s="425">
        <f t="shared" si="54"/>
        <v>217.6926926926927</v>
      </c>
      <c r="I224" s="247">
        <v>57650</v>
      </c>
      <c r="J224" s="247">
        <v>47349</v>
      </c>
      <c r="K224" s="425">
        <f t="shared" si="55"/>
        <v>121.75547530042874</v>
      </c>
      <c r="L224" s="247">
        <v>0</v>
      </c>
      <c r="M224" s="247">
        <v>0</v>
      </c>
      <c r="N224" s="425" t="e">
        <f t="shared" si="56"/>
        <v>#DIV/0!</v>
      </c>
      <c r="O224" s="126">
        <v>16</v>
      </c>
      <c r="P224" s="126">
        <v>97</v>
      </c>
    </row>
    <row r="225" spans="1:16" ht="17.25" x14ac:dyDescent="0.25">
      <c r="A225" s="53">
        <v>33</v>
      </c>
      <c r="B225" s="545" t="s">
        <v>566</v>
      </c>
      <c r="C225" s="247">
        <v>231903</v>
      </c>
      <c r="D225" s="247">
        <v>214193</v>
      </c>
      <c r="E225" s="425">
        <f t="shared" si="53"/>
        <v>108.26824406026341</v>
      </c>
      <c r="F225" s="425">
        <v>26421</v>
      </c>
      <c r="G225" s="247">
        <v>23853</v>
      </c>
      <c r="H225" s="425">
        <f t="shared" si="54"/>
        <v>110.76594139102001</v>
      </c>
      <c r="I225" s="247">
        <v>231903</v>
      </c>
      <c r="J225" s="247">
        <v>214193</v>
      </c>
      <c r="K225" s="425">
        <f t="shared" si="55"/>
        <v>108.26824406026341</v>
      </c>
      <c r="L225" s="247">
        <v>0</v>
      </c>
      <c r="M225" s="247">
        <v>0</v>
      </c>
      <c r="N225" s="425" t="e">
        <f t="shared" si="56"/>
        <v>#DIV/0!</v>
      </c>
      <c r="O225" s="126">
        <v>26</v>
      </c>
      <c r="P225" s="126">
        <v>120</v>
      </c>
    </row>
    <row r="226" spans="1:16" ht="34.5" x14ac:dyDescent="0.25">
      <c r="A226" s="53">
        <v>34</v>
      </c>
      <c r="B226" s="545" t="s">
        <v>567</v>
      </c>
      <c r="C226" s="247">
        <v>31708</v>
      </c>
      <c r="D226" s="247">
        <v>29985</v>
      </c>
      <c r="E226" s="425">
        <f t="shared" si="53"/>
        <v>105.74620643655162</v>
      </c>
      <c r="F226" s="247">
        <v>3328</v>
      </c>
      <c r="G226" s="247">
        <v>2654</v>
      </c>
      <c r="H226" s="425">
        <f t="shared" si="54"/>
        <v>125.39562923888469</v>
      </c>
      <c r="I226" s="247">
        <v>41656</v>
      </c>
      <c r="J226" s="247">
        <v>40635</v>
      </c>
      <c r="K226" s="425">
        <f t="shared" si="55"/>
        <v>102.51261228005416</v>
      </c>
      <c r="L226" s="247">
        <v>0</v>
      </c>
      <c r="M226" s="247">
        <v>4514</v>
      </c>
      <c r="N226" s="425">
        <f t="shared" si="56"/>
        <v>0</v>
      </c>
      <c r="O226" s="126">
        <v>13</v>
      </c>
    </row>
    <row r="227" spans="1:16" ht="34.5" x14ac:dyDescent="0.25">
      <c r="A227" s="53">
        <v>35</v>
      </c>
      <c r="B227" s="545" t="s">
        <v>574</v>
      </c>
      <c r="C227" s="247">
        <v>255328</v>
      </c>
      <c r="D227" s="247">
        <v>245237</v>
      </c>
      <c r="E227" s="425">
        <f t="shared" si="53"/>
        <v>104.11479507578383</v>
      </c>
      <c r="F227" s="247">
        <v>10018</v>
      </c>
      <c r="G227" s="247">
        <v>18045</v>
      </c>
      <c r="H227" s="425">
        <f t="shared" si="54"/>
        <v>55.516763646439458</v>
      </c>
      <c r="I227" s="247">
        <v>244398</v>
      </c>
      <c r="J227" s="247">
        <v>239301</v>
      </c>
      <c r="K227" s="425">
        <f t="shared" si="55"/>
        <v>102.12995348953828</v>
      </c>
      <c r="L227" s="247">
        <v>0</v>
      </c>
      <c r="M227" s="247">
        <v>0</v>
      </c>
      <c r="N227" s="425" t="e">
        <f t="shared" si="56"/>
        <v>#DIV/0!</v>
      </c>
      <c r="O227" s="126">
        <v>83</v>
      </c>
    </row>
    <row r="228" spans="1:16" ht="17.25" x14ac:dyDescent="0.25">
      <c r="A228" s="53">
        <v>36</v>
      </c>
      <c r="B228" s="545" t="s">
        <v>569</v>
      </c>
      <c r="C228" s="247">
        <v>2586</v>
      </c>
      <c r="D228" s="247">
        <v>44824</v>
      </c>
      <c r="E228" s="425">
        <f t="shared" si="53"/>
        <v>5.7692307692307692</v>
      </c>
      <c r="F228" s="247">
        <v>0</v>
      </c>
      <c r="G228" s="247">
        <v>756</v>
      </c>
      <c r="H228" s="425">
        <f t="shared" si="54"/>
        <v>0</v>
      </c>
      <c r="I228" s="247">
        <v>42467</v>
      </c>
      <c r="J228" s="247">
        <v>57235</v>
      </c>
      <c r="K228" s="425">
        <f t="shared" si="55"/>
        <v>74.19760635974491</v>
      </c>
      <c r="L228" s="247">
        <v>0</v>
      </c>
      <c r="M228" s="247">
        <v>0</v>
      </c>
      <c r="N228" s="425" t="e">
        <f t="shared" si="56"/>
        <v>#DIV/0!</v>
      </c>
      <c r="O228" s="126">
        <v>1</v>
      </c>
      <c r="P228" s="126">
        <v>67</v>
      </c>
    </row>
    <row r="229" spans="1:16" ht="17.25" x14ac:dyDescent="0.25">
      <c r="A229" s="53">
        <v>37</v>
      </c>
      <c r="B229" s="545" t="s">
        <v>704</v>
      </c>
      <c r="C229" s="247">
        <v>248086</v>
      </c>
      <c r="D229" s="247">
        <v>108599</v>
      </c>
      <c r="E229" s="425">
        <f t="shared" si="53"/>
        <v>228.44225084945532</v>
      </c>
      <c r="F229" s="247">
        <v>18202</v>
      </c>
      <c r="G229" s="247">
        <v>4410</v>
      </c>
      <c r="H229" s="425">
        <f t="shared" si="54"/>
        <v>412.7437641723356</v>
      </c>
      <c r="I229" s="247">
        <v>33575</v>
      </c>
      <c r="J229" s="247">
        <v>49584</v>
      </c>
      <c r="K229" s="425">
        <f t="shared" si="55"/>
        <v>67.713375282349148</v>
      </c>
      <c r="L229" s="247">
        <v>193845</v>
      </c>
      <c r="M229" s="247">
        <v>67381</v>
      </c>
      <c r="N229" s="425">
        <f t="shared" si="56"/>
        <v>287.68495569967791</v>
      </c>
      <c r="O229" s="126">
        <v>10</v>
      </c>
    </row>
    <row r="230" spans="1:16" ht="34.5" x14ac:dyDescent="0.25">
      <c r="A230" s="53">
        <v>38</v>
      </c>
      <c r="B230" s="545" t="s">
        <v>705</v>
      </c>
      <c r="C230" s="247">
        <v>42419</v>
      </c>
      <c r="D230" s="247">
        <v>34188</v>
      </c>
      <c r="E230" s="425">
        <f t="shared" si="53"/>
        <v>124.07569907569909</v>
      </c>
      <c r="F230" s="247">
        <v>6197</v>
      </c>
      <c r="G230" s="247">
        <v>2029</v>
      </c>
      <c r="H230" s="425">
        <f t="shared" si="54"/>
        <v>305.42138984721538</v>
      </c>
      <c r="I230" s="247">
        <v>36805</v>
      </c>
      <c r="J230" s="247">
        <v>32790</v>
      </c>
      <c r="K230" s="425">
        <f>I230/J230*100</f>
        <v>112.24458676425739</v>
      </c>
      <c r="L230" s="247">
        <v>0</v>
      </c>
      <c r="M230" s="247">
        <v>0</v>
      </c>
      <c r="N230" s="425" t="e">
        <f t="shared" si="56"/>
        <v>#DIV/0!</v>
      </c>
      <c r="O230" s="126">
        <v>15</v>
      </c>
      <c r="P230" s="126">
        <v>69</v>
      </c>
    </row>
    <row r="231" spans="1:16" ht="34.5" x14ac:dyDescent="0.25">
      <c r="A231" s="53">
        <v>39</v>
      </c>
      <c r="B231" s="545" t="s">
        <v>752</v>
      </c>
      <c r="C231" s="247"/>
      <c r="D231" s="247"/>
      <c r="E231" s="425" t="e">
        <f t="shared" si="53"/>
        <v>#DIV/0!</v>
      </c>
      <c r="F231" s="247"/>
      <c r="G231" s="247"/>
      <c r="H231" s="425" t="e">
        <f t="shared" si="54"/>
        <v>#DIV/0!</v>
      </c>
      <c r="I231" s="247"/>
      <c r="J231" s="247"/>
      <c r="K231" s="425" t="e">
        <f t="shared" si="55"/>
        <v>#DIV/0!</v>
      </c>
      <c r="L231" s="247"/>
      <c r="M231" s="247"/>
      <c r="N231" s="425" t="e">
        <f t="shared" si="56"/>
        <v>#DIV/0!</v>
      </c>
      <c r="O231" s="126">
        <v>146</v>
      </c>
      <c r="P231" s="126">
        <v>103</v>
      </c>
    </row>
    <row r="232" spans="1:16" s="727" customFormat="1" ht="17.25" x14ac:dyDescent="0.25">
      <c r="A232" s="272">
        <v>40</v>
      </c>
      <c r="B232" s="549" t="s">
        <v>783</v>
      </c>
      <c r="C232" s="282">
        <v>2608120</v>
      </c>
      <c r="D232" s="282">
        <v>1790624</v>
      </c>
      <c r="E232" s="372">
        <f t="shared" si="53"/>
        <v>145.65425237235735</v>
      </c>
      <c r="F232" s="282">
        <v>300750</v>
      </c>
      <c r="G232" s="282">
        <v>278598</v>
      </c>
      <c r="H232" s="372">
        <f t="shared" si="54"/>
        <v>107.95124157388065</v>
      </c>
      <c r="I232" s="282">
        <v>2755455</v>
      </c>
      <c r="J232" s="282">
        <v>2151136</v>
      </c>
      <c r="K232" s="372">
        <f t="shared" si="55"/>
        <v>128.09301689897802</v>
      </c>
      <c r="L232" s="282">
        <v>0</v>
      </c>
      <c r="M232" s="282">
        <v>0</v>
      </c>
      <c r="N232" s="372" t="e">
        <f t="shared" si="56"/>
        <v>#DIV/0!</v>
      </c>
      <c r="O232" s="727">
        <v>50</v>
      </c>
      <c r="P232" s="727">
        <v>103</v>
      </c>
    </row>
    <row r="233" spans="1:16" ht="17.25" x14ac:dyDescent="0.25">
      <c r="A233" s="53">
        <v>41</v>
      </c>
      <c r="B233" s="545" t="s">
        <v>756</v>
      </c>
      <c r="C233" s="247"/>
      <c r="D233" s="247"/>
      <c r="E233" s="425" t="e">
        <f t="shared" si="53"/>
        <v>#DIV/0!</v>
      </c>
      <c r="F233" s="247"/>
      <c r="G233" s="247"/>
      <c r="H233" s="425" t="e">
        <f t="shared" si="54"/>
        <v>#DIV/0!</v>
      </c>
      <c r="I233" s="247"/>
      <c r="J233" s="247"/>
      <c r="K233" s="425" t="e">
        <f t="shared" si="55"/>
        <v>#DIV/0!</v>
      </c>
      <c r="L233" s="247"/>
      <c r="M233" s="247"/>
      <c r="N233" s="425" t="e">
        <f t="shared" si="56"/>
        <v>#DIV/0!</v>
      </c>
      <c r="O233" s="126">
        <v>220</v>
      </c>
      <c r="P233" s="126">
        <v>114</v>
      </c>
    </row>
    <row r="234" spans="1:16" ht="17.25" x14ac:dyDescent="0.25">
      <c r="A234" s="53">
        <v>42</v>
      </c>
      <c r="B234" s="549" t="s">
        <v>706</v>
      </c>
      <c r="C234" s="247">
        <v>46548</v>
      </c>
      <c r="D234" s="247">
        <v>38838</v>
      </c>
      <c r="E234" s="425">
        <f t="shared" si="53"/>
        <v>119.85169164220608</v>
      </c>
      <c r="F234" s="247">
        <v>5494</v>
      </c>
      <c r="G234" s="247">
        <v>3403</v>
      </c>
      <c r="H234" s="425">
        <f t="shared" si="54"/>
        <v>161.44578313253012</v>
      </c>
      <c r="I234" s="247">
        <v>46548</v>
      </c>
      <c r="J234" s="247">
        <v>38838</v>
      </c>
      <c r="K234" s="425">
        <f t="shared" si="55"/>
        <v>119.85169164220608</v>
      </c>
      <c r="L234" s="247">
        <v>0</v>
      </c>
      <c r="M234" s="247">
        <v>0</v>
      </c>
      <c r="N234" s="425" t="e">
        <f t="shared" si="56"/>
        <v>#DIV/0!</v>
      </c>
      <c r="O234" s="126">
        <v>10</v>
      </c>
      <c r="P234" s="126">
        <v>90</v>
      </c>
    </row>
    <row r="236" spans="1:16" ht="51.75" x14ac:dyDescent="0.25">
      <c r="A236" s="414"/>
      <c r="B236" s="552" t="s">
        <v>732</v>
      </c>
      <c r="C236" s="345">
        <f>C237+C246</f>
        <v>12007054</v>
      </c>
      <c r="D236" s="345">
        <f>D237+D246</f>
        <v>12372347</v>
      </c>
      <c r="E236" s="345">
        <f>C236/D236*100</f>
        <v>97.047504406399213</v>
      </c>
      <c r="F236" s="345">
        <f>F237+F246</f>
        <v>1065190</v>
      </c>
      <c r="G236" s="345">
        <f>G237+G246</f>
        <v>1288535</v>
      </c>
      <c r="H236" s="345">
        <f>F236/G236*100</f>
        <v>82.666749448016546</v>
      </c>
      <c r="I236" s="345">
        <f>I237+I246</f>
        <v>11852239</v>
      </c>
      <c r="J236" s="345">
        <f>J237+J246</f>
        <v>12330987</v>
      </c>
      <c r="K236" s="345">
        <f>I236/J236*100</f>
        <v>96.117520844032995</v>
      </c>
      <c r="L236" s="345">
        <f>L237+L246</f>
        <v>13571830</v>
      </c>
      <c r="M236" s="345">
        <f>M237+M246</f>
        <v>7369638</v>
      </c>
      <c r="N236" s="345">
        <f>L236/M236*100</f>
        <v>184.15870630280619</v>
      </c>
    </row>
    <row r="237" spans="1:16" ht="17.25" x14ac:dyDescent="0.25">
      <c r="A237" s="1062" t="s">
        <v>340</v>
      </c>
      <c r="B237" s="1063" t="s">
        <v>155</v>
      </c>
      <c r="C237" s="254">
        <f>SUM(C238:C244)</f>
        <v>9139402</v>
      </c>
      <c r="D237" s="254">
        <f>SUM(D238:D244)</f>
        <v>9842299</v>
      </c>
      <c r="E237" s="254">
        <f>C237/D237*100</f>
        <v>92.858406354043908</v>
      </c>
      <c r="F237" s="254">
        <f>SUM(F238:F244)</f>
        <v>929389</v>
      </c>
      <c r="G237" s="254">
        <f>SUM(G238:G244)</f>
        <v>986429</v>
      </c>
      <c r="H237" s="254">
        <f>F237/G237*100</f>
        <v>94.217526045969862</v>
      </c>
      <c r="I237" s="254">
        <f>SUM(I238:I244)</f>
        <v>9219620</v>
      </c>
      <c r="J237" s="254">
        <f>SUM(J238:J244)</f>
        <v>9962740</v>
      </c>
      <c r="K237" s="254">
        <f>I237/J237*100</f>
        <v>92.541007795044337</v>
      </c>
      <c r="L237" s="254">
        <f>SUM(L238:L244)</f>
        <v>11115951</v>
      </c>
      <c r="M237" s="254">
        <f>SUM(M238:M244)</f>
        <v>5374629</v>
      </c>
      <c r="N237" s="254">
        <f>L237/M237*100</f>
        <v>206.82266627147658</v>
      </c>
    </row>
    <row r="238" spans="1:16" ht="17.25" x14ac:dyDescent="0.25">
      <c r="A238" s="568">
        <v>1</v>
      </c>
      <c r="B238" s="545" t="s">
        <v>707</v>
      </c>
      <c r="C238" s="247">
        <v>674558</v>
      </c>
      <c r="D238" s="247">
        <v>983198</v>
      </c>
      <c r="E238" s="425">
        <f t="shared" ref="E238:E244" si="57">C238/D238*100</f>
        <v>68.608561042638399</v>
      </c>
      <c r="F238" s="247">
        <v>21529</v>
      </c>
      <c r="G238" s="247">
        <v>44860</v>
      </c>
      <c r="H238" s="425">
        <f t="shared" ref="H238:H244" si="58">F238/G238*100</f>
        <v>47.991529201961654</v>
      </c>
      <c r="I238" s="247">
        <v>674558</v>
      </c>
      <c r="J238" s="247">
        <v>1153378</v>
      </c>
      <c r="K238" s="425">
        <f t="shared" ref="K238:K244" si="59">I238/J238*100</f>
        <v>58.485422818885048</v>
      </c>
      <c r="L238" s="247">
        <v>6745558</v>
      </c>
      <c r="M238" s="247">
        <v>1153378</v>
      </c>
      <c r="N238" s="425">
        <f t="shared" ref="N238:N244" si="60">L238/M238*100</f>
        <v>584.85232074827161</v>
      </c>
      <c r="O238" s="126">
        <v>125</v>
      </c>
      <c r="P238" s="126">
        <v>180</v>
      </c>
    </row>
    <row r="239" spans="1:16" ht="17.25" x14ac:dyDescent="0.25">
      <c r="A239" s="568">
        <v>2</v>
      </c>
      <c r="B239" s="545" t="s">
        <v>708</v>
      </c>
      <c r="C239" s="247">
        <v>0</v>
      </c>
      <c r="D239" s="247">
        <v>0</v>
      </c>
      <c r="E239" s="425" t="e">
        <f t="shared" si="57"/>
        <v>#DIV/0!</v>
      </c>
      <c r="F239" s="247">
        <v>0</v>
      </c>
      <c r="G239" s="247">
        <v>0</v>
      </c>
      <c r="H239" s="425" t="e">
        <f t="shared" si="58"/>
        <v>#DIV/0!</v>
      </c>
      <c r="I239" s="247">
        <v>0</v>
      </c>
      <c r="J239" s="247">
        <v>0</v>
      </c>
      <c r="K239" s="425" t="e">
        <f t="shared" si="59"/>
        <v>#DIV/0!</v>
      </c>
      <c r="L239" s="247">
        <v>0</v>
      </c>
      <c r="M239" s="247">
        <v>0</v>
      </c>
      <c r="N239" s="425" t="e">
        <f t="shared" si="60"/>
        <v>#DIV/0!</v>
      </c>
      <c r="O239" s="126">
        <v>0</v>
      </c>
      <c r="P239" s="126">
        <v>0</v>
      </c>
    </row>
    <row r="240" spans="1:16" ht="17.25" x14ac:dyDescent="0.25">
      <c r="A240" s="568">
        <v>3</v>
      </c>
      <c r="B240" s="545" t="s">
        <v>709</v>
      </c>
      <c r="C240" s="247">
        <v>4604220</v>
      </c>
      <c r="D240" s="247">
        <v>5259714</v>
      </c>
      <c r="E240" s="425">
        <f t="shared" si="57"/>
        <v>87.537459261092891</v>
      </c>
      <c r="F240" s="247">
        <v>429551</v>
      </c>
      <c r="G240" s="247">
        <v>672082</v>
      </c>
      <c r="H240" s="425">
        <f t="shared" si="58"/>
        <v>63.913480795498167</v>
      </c>
      <c r="I240" s="247">
        <v>4604220</v>
      </c>
      <c r="J240" s="247">
        <v>5259714</v>
      </c>
      <c r="K240" s="425">
        <f t="shared" si="59"/>
        <v>87.537459261092891</v>
      </c>
      <c r="L240" s="247">
        <v>429551</v>
      </c>
      <c r="M240" s="247">
        <v>672082</v>
      </c>
      <c r="N240" s="425">
        <f t="shared" si="60"/>
        <v>63.913480795498167</v>
      </c>
      <c r="O240" s="126">
        <v>106</v>
      </c>
      <c r="P240" s="126">
        <v>189</v>
      </c>
    </row>
    <row r="241" spans="1:16" ht="17.25" x14ac:dyDescent="0.25">
      <c r="A241" s="568">
        <v>4</v>
      </c>
      <c r="B241" s="545" t="s">
        <v>710</v>
      </c>
      <c r="C241" s="247">
        <v>457055</v>
      </c>
      <c r="D241" s="247">
        <v>742658</v>
      </c>
      <c r="E241" s="425">
        <f t="shared" si="57"/>
        <v>61.543132909091405</v>
      </c>
      <c r="F241" s="247">
        <v>135896</v>
      </c>
      <c r="G241" s="247">
        <v>64556</v>
      </c>
      <c r="H241" s="425">
        <f t="shared" si="58"/>
        <v>210.5087056199269</v>
      </c>
      <c r="I241" s="247">
        <v>605882</v>
      </c>
      <c r="J241" s="247">
        <v>712000</v>
      </c>
      <c r="K241" s="425">
        <f t="shared" si="59"/>
        <v>85.095786516853934</v>
      </c>
      <c r="L241" s="247">
        <v>605882</v>
      </c>
      <c r="M241" s="247">
        <v>712000</v>
      </c>
      <c r="N241" s="425">
        <f t="shared" si="60"/>
        <v>85.095786516853934</v>
      </c>
      <c r="O241" s="126">
        <v>52</v>
      </c>
      <c r="P241" s="126">
        <v>95</v>
      </c>
    </row>
    <row r="242" spans="1:16" ht="17.25" x14ac:dyDescent="0.25">
      <c r="A242" s="568">
        <v>5</v>
      </c>
      <c r="B242" s="545" t="s">
        <v>711</v>
      </c>
      <c r="C242" s="247">
        <v>3403569</v>
      </c>
      <c r="D242" s="247">
        <v>2856729</v>
      </c>
      <c r="E242" s="425">
        <f t="shared" si="57"/>
        <v>119.14217274372191</v>
      </c>
      <c r="F242" s="247">
        <v>342413</v>
      </c>
      <c r="G242" s="247">
        <v>204931</v>
      </c>
      <c r="H242" s="425">
        <f>F242/G242*100</f>
        <v>167.08697073649179</v>
      </c>
      <c r="I242" s="247">
        <v>3334960</v>
      </c>
      <c r="J242" s="247">
        <v>2837648</v>
      </c>
      <c r="K242" s="425">
        <f>I242/J242*100</f>
        <v>117.52549999154229</v>
      </c>
      <c r="L242" s="247">
        <v>3334960</v>
      </c>
      <c r="M242" s="247">
        <v>2837169</v>
      </c>
      <c r="N242" s="425">
        <f t="shared" si="60"/>
        <v>117.5453418530937</v>
      </c>
      <c r="O242" s="126">
        <v>65</v>
      </c>
      <c r="P242" s="126">
        <v>117</v>
      </c>
    </row>
    <row r="243" spans="1:16" ht="17.25" x14ac:dyDescent="0.25">
      <c r="A243" s="568">
        <v>6</v>
      </c>
      <c r="B243" s="545" t="s">
        <v>712</v>
      </c>
      <c r="C243" s="247">
        <v>0</v>
      </c>
      <c r="D243" s="247">
        <v>0</v>
      </c>
      <c r="E243" s="425" t="e">
        <f t="shared" si="57"/>
        <v>#DIV/0!</v>
      </c>
      <c r="F243" s="247">
        <v>0</v>
      </c>
      <c r="G243" s="247">
        <v>0</v>
      </c>
      <c r="H243" s="425" t="e">
        <f t="shared" si="58"/>
        <v>#DIV/0!</v>
      </c>
      <c r="I243" s="247">
        <v>0</v>
      </c>
      <c r="J243" s="247">
        <v>0</v>
      </c>
      <c r="K243" s="425" t="e">
        <f t="shared" si="59"/>
        <v>#DIV/0!</v>
      </c>
      <c r="L243" s="247">
        <v>0</v>
      </c>
      <c r="M243" s="247">
        <v>0</v>
      </c>
      <c r="N243" s="425" t="e">
        <f t="shared" si="60"/>
        <v>#DIV/0!</v>
      </c>
      <c r="O243" s="126">
        <v>3</v>
      </c>
      <c r="P243" s="126">
        <v>143</v>
      </c>
    </row>
    <row r="244" spans="1:16" ht="17.25" x14ac:dyDescent="0.25">
      <c r="A244" s="568">
        <v>7</v>
      </c>
      <c r="B244" s="545" t="s">
        <v>713</v>
      </c>
      <c r="C244" s="247">
        <v>0</v>
      </c>
      <c r="D244" s="247">
        <v>0</v>
      </c>
      <c r="E244" s="425" t="e">
        <f t="shared" si="57"/>
        <v>#DIV/0!</v>
      </c>
      <c r="F244" s="247">
        <v>0</v>
      </c>
      <c r="G244" s="247">
        <v>0</v>
      </c>
      <c r="H244" s="425" t="e">
        <f t="shared" si="58"/>
        <v>#DIV/0!</v>
      </c>
      <c r="I244" s="247">
        <v>0</v>
      </c>
      <c r="J244" s="247">
        <v>0</v>
      </c>
      <c r="K244" s="425" t="e">
        <f t="shared" si="59"/>
        <v>#DIV/0!</v>
      </c>
      <c r="L244" s="247">
        <v>0</v>
      </c>
      <c r="M244" s="247">
        <v>0</v>
      </c>
      <c r="N244" s="425" t="e">
        <f t="shared" si="60"/>
        <v>#DIV/0!</v>
      </c>
    </row>
    <row r="246" spans="1:16" ht="17.25" x14ac:dyDescent="0.25">
      <c r="A246" s="1062" t="s">
        <v>541</v>
      </c>
      <c r="B246" s="1063" t="s">
        <v>155</v>
      </c>
      <c r="C246" s="254">
        <f>SUM(C247:C251)</f>
        <v>2867652</v>
      </c>
      <c r="D246" s="254">
        <f>SUM(D247:D251)</f>
        <v>2530048</v>
      </c>
      <c r="E246" s="329">
        <f>C246/D246*100</f>
        <v>113.34377845795811</v>
      </c>
      <c r="F246" s="254">
        <f>SUM(F247:F251)</f>
        <v>135801</v>
      </c>
      <c r="G246" s="254">
        <f>SUM(G247:G251)</f>
        <v>302106</v>
      </c>
      <c r="H246" s="329">
        <f>F246/G246*100</f>
        <v>44.951440884987385</v>
      </c>
      <c r="I246" s="254">
        <f>SUM(I247:I251)</f>
        <v>2632619</v>
      </c>
      <c r="J246" s="254">
        <f>SUM(J247:J251)</f>
        <v>2368247</v>
      </c>
      <c r="K246" s="329">
        <f>I246/J246*100</f>
        <v>111.16319370403509</v>
      </c>
      <c r="L246" s="254">
        <f>SUM(L247:L251)</f>
        <v>2455879</v>
      </c>
      <c r="M246" s="254">
        <f>SUM(M247:M251)</f>
        <v>1995009</v>
      </c>
      <c r="N246" s="329">
        <f>L246/M246*100</f>
        <v>123.10114891712267</v>
      </c>
    </row>
    <row r="247" spans="1:16" ht="17.25" x14ac:dyDescent="0.25">
      <c r="A247" s="581">
        <v>1</v>
      </c>
      <c r="B247" s="545" t="s">
        <v>714</v>
      </c>
      <c r="C247" s="247">
        <v>1682819</v>
      </c>
      <c r="D247" s="247">
        <v>1670841</v>
      </c>
      <c r="E247" s="425">
        <f t="shared" ref="E247:E251" si="61">C247/D247*100</f>
        <v>100.71688449110358</v>
      </c>
      <c r="F247" s="247">
        <v>135801</v>
      </c>
      <c r="G247" s="247">
        <v>217052</v>
      </c>
      <c r="H247" s="425">
        <f t="shared" ref="H247:H251" si="62">F247/G247*100</f>
        <v>62.566113189466122</v>
      </c>
      <c r="I247" s="247">
        <v>1420121</v>
      </c>
      <c r="J247" s="247">
        <v>1464537</v>
      </c>
      <c r="K247" s="425">
        <f t="shared" ref="K247:K251" si="63">I247/J247*100</f>
        <v>96.967232647587593</v>
      </c>
      <c r="L247" s="247">
        <v>1272918</v>
      </c>
      <c r="M247" s="247">
        <v>1138239</v>
      </c>
      <c r="N247" s="425">
        <f t="shared" ref="N247:N251" si="64">L247/M247*100</f>
        <v>111.83222504236807</v>
      </c>
      <c r="O247" s="126">
        <v>145</v>
      </c>
      <c r="P247" s="126">
        <v>159</v>
      </c>
    </row>
    <row r="248" spans="1:16" ht="34.5" x14ac:dyDescent="0.25">
      <c r="A248" s="581">
        <v>2</v>
      </c>
      <c r="B248" s="545" t="s">
        <v>715</v>
      </c>
      <c r="C248" s="247">
        <v>1872</v>
      </c>
      <c r="D248" s="247">
        <v>2437</v>
      </c>
      <c r="E248" s="425">
        <f t="shared" si="61"/>
        <v>76.815757078375043</v>
      </c>
      <c r="F248" s="247">
        <v>0</v>
      </c>
      <c r="G248" s="247">
        <v>203</v>
      </c>
      <c r="H248" s="425">
        <f t="shared" si="62"/>
        <v>0</v>
      </c>
      <c r="I248" s="247">
        <v>29537</v>
      </c>
      <c r="J248" s="247">
        <v>46940</v>
      </c>
      <c r="K248" s="425">
        <f t="shared" si="63"/>
        <v>62.925010651896038</v>
      </c>
      <c r="L248" s="247">
        <v>0</v>
      </c>
      <c r="M248" s="247">
        <v>0</v>
      </c>
      <c r="N248" s="425" t="e">
        <f t="shared" si="64"/>
        <v>#DIV/0!</v>
      </c>
      <c r="O248" s="126">
        <v>65</v>
      </c>
      <c r="P248" s="126">
        <v>132</v>
      </c>
    </row>
    <row r="249" spans="1:16" ht="17.25" x14ac:dyDescent="0.25">
      <c r="A249" s="581">
        <v>3</v>
      </c>
      <c r="B249" s="545" t="s">
        <v>716</v>
      </c>
      <c r="C249" s="247">
        <v>0</v>
      </c>
      <c r="D249" s="247">
        <v>0</v>
      </c>
      <c r="E249" s="425" t="e">
        <f t="shared" si="61"/>
        <v>#DIV/0!</v>
      </c>
      <c r="F249" s="247">
        <v>0</v>
      </c>
      <c r="G249" s="247">
        <v>0</v>
      </c>
      <c r="H249" s="425" t="e">
        <f t="shared" si="62"/>
        <v>#DIV/0!</v>
      </c>
      <c r="I249" s="247">
        <v>0</v>
      </c>
      <c r="J249" s="247">
        <v>0</v>
      </c>
      <c r="K249" s="425" t="e">
        <f t="shared" si="63"/>
        <v>#DIV/0!</v>
      </c>
      <c r="L249" s="247">
        <v>0</v>
      </c>
      <c r="M249" s="247">
        <v>0</v>
      </c>
      <c r="N249" s="425" t="e">
        <f t="shared" si="64"/>
        <v>#DIV/0!</v>
      </c>
      <c r="O249" s="126">
        <v>0</v>
      </c>
      <c r="P249" s="126">
        <v>0</v>
      </c>
    </row>
    <row r="250" spans="1:16" ht="17.25" x14ac:dyDescent="0.25">
      <c r="A250" s="581">
        <v>4</v>
      </c>
      <c r="B250" s="545" t="s">
        <v>717</v>
      </c>
      <c r="C250" s="247">
        <v>878636</v>
      </c>
      <c r="D250" s="247">
        <v>686942</v>
      </c>
      <c r="E250" s="425">
        <f t="shared" si="61"/>
        <v>127.90541268404027</v>
      </c>
      <c r="F250" s="247">
        <v>0</v>
      </c>
      <c r="G250" s="247">
        <v>75825</v>
      </c>
      <c r="H250" s="425">
        <f t="shared" si="62"/>
        <v>0</v>
      </c>
      <c r="I250" s="247">
        <v>878636</v>
      </c>
      <c r="J250" s="247">
        <v>686942</v>
      </c>
      <c r="K250" s="425">
        <f t="shared" si="63"/>
        <v>127.90541268404027</v>
      </c>
      <c r="L250" s="247">
        <v>878636</v>
      </c>
      <c r="M250" s="247">
        <v>686942</v>
      </c>
      <c r="N250" s="425">
        <f t="shared" si="64"/>
        <v>127.90541268404027</v>
      </c>
      <c r="O250" s="126">
        <v>32</v>
      </c>
      <c r="P250" s="126">
        <v>125</v>
      </c>
    </row>
    <row r="251" spans="1:16" ht="17.25" x14ac:dyDescent="0.25">
      <c r="A251" s="581">
        <v>5</v>
      </c>
      <c r="B251" s="582" t="s">
        <v>718</v>
      </c>
      <c r="C251" s="594">
        <v>304325</v>
      </c>
      <c r="D251" s="594">
        <v>169828</v>
      </c>
      <c r="E251" s="425">
        <f t="shared" si="61"/>
        <v>179.19601008078763</v>
      </c>
      <c r="F251" s="594">
        <v>0</v>
      </c>
      <c r="G251" s="594">
        <v>9026</v>
      </c>
      <c r="H251" s="425">
        <f t="shared" si="62"/>
        <v>0</v>
      </c>
      <c r="I251" s="594">
        <v>304325</v>
      </c>
      <c r="J251" s="594">
        <v>169828</v>
      </c>
      <c r="K251" s="425">
        <f t="shared" si="63"/>
        <v>179.19601008078763</v>
      </c>
      <c r="L251" s="594">
        <v>304325</v>
      </c>
      <c r="M251" s="594">
        <v>169828</v>
      </c>
      <c r="N251" s="425">
        <f t="shared" si="64"/>
        <v>179.19601008078763</v>
      </c>
      <c r="O251" s="126">
        <v>40</v>
      </c>
      <c r="P251" s="126">
        <v>140</v>
      </c>
    </row>
    <row r="252" spans="1:16" x14ac:dyDescent="0.25">
      <c r="O252" s="584"/>
    </row>
    <row r="253" spans="1:16" ht="34.5" x14ac:dyDescent="0.25">
      <c r="A253" s="348"/>
      <c r="B253" s="553" t="s">
        <v>733</v>
      </c>
      <c r="C253" s="254">
        <f>SUM(C254:C262)</f>
        <v>951881.9</v>
      </c>
      <c r="D253" s="254">
        <f>SUM(D254:D262)</f>
        <v>932550.9</v>
      </c>
      <c r="E253" s="452">
        <f>C253/D253*100</f>
        <v>102.07291634161739</v>
      </c>
      <c r="F253" s="254">
        <f>SUM(F254:F262)</f>
        <v>112875.8</v>
      </c>
      <c r="G253" s="254">
        <f>SUM(G254:G262)</f>
        <v>134176.6</v>
      </c>
      <c r="H253" s="452">
        <f>F253/G253*100</f>
        <v>84.124802685416086</v>
      </c>
      <c r="I253" s="254">
        <f>SUM(I254:I262)</f>
        <v>647383.9</v>
      </c>
      <c r="J253" s="254">
        <f>SUM(J254:J262)</f>
        <v>563078.19999999995</v>
      </c>
      <c r="K253" s="452">
        <f>I253/J253*100</f>
        <v>114.97228981693841</v>
      </c>
      <c r="L253" s="254">
        <f>SUM(L254:L262)</f>
        <v>18691</v>
      </c>
      <c r="M253" s="254">
        <f>SUM(M254:M262)</f>
        <v>3595</v>
      </c>
      <c r="N253" s="452">
        <f>L253/M253*100</f>
        <v>519.91655076495135</v>
      </c>
    </row>
    <row r="254" spans="1:16" ht="34.5" x14ac:dyDescent="0.2">
      <c r="A254" s="7">
        <v>1</v>
      </c>
      <c r="B254" s="545" t="s">
        <v>719</v>
      </c>
      <c r="C254" s="658">
        <v>691779.9</v>
      </c>
      <c r="D254" s="652">
        <v>683913.9</v>
      </c>
      <c r="E254" s="425">
        <f>C254/D254*100</f>
        <v>101.15014477699604</v>
      </c>
      <c r="F254" s="652">
        <v>73366.8</v>
      </c>
      <c r="G254" s="652">
        <v>99905.600000000006</v>
      </c>
      <c r="H254" s="425">
        <f t="shared" ref="H254:H262" si="65">F254/G254*100</f>
        <v>73.436123700773521</v>
      </c>
      <c r="I254" s="652">
        <v>517301.9</v>
      </c>
      <c r="J254" s="652">
        <v>431207.2</v>
      </c>
      <c r="K254" s="425">
        <f t="shared" ref="K254:K262" si="66">I254/J254*100</f>
        <v>119.96596995597477</v>
      </c>
      <c r="L254" s="658">
        <v>0</v>
      </c>
      <c r="M254" s="658">
        <v>0</v>
      </c>
      <c r="N254" s="425" t="e">
        <f t="shared" ref="N254:N262" si="67">L254/M254*100</f>
        <v>#DIV/0!</v>
      </c>
      <c r="O254" s="658">
        <v>256</v>
      </c>
      <c r="P254" s="652">
        <v>263</v>
      </c>
    </row>
    <row r="255" spans="1:16" ht="34.5" x14ac:dyDescent="0.2">
      <c r="A255" s="291">
        <v>2</v>
      </c>
      <c r="B255" s="545" t="s">
        <v>720</v>
      </c>
      <c r="C255" s="653">
        <v>112607</v>
      </c>
      <c r="D255" s="653">
        <v>111865</v>
      </c>
      <c r="E255" s="425">
        <f t="shared" ref="E255:E262" si="68">C255/D255*100</f>
        <v>100.66329951280562</v>
      </c>
      <c r="F255" s="653">
        <v>16539</v>
      </c>
      <c r="G255" s="653">
        <v>13882</v>
      </c>
      <c r="H255" s="425">
        <f t="shared" si="65"/>
        <v>119.13989338712001</v>
      </c>
      <c r="I255" s="654">
        <v>0</v>
      </c>
      <c r="J255" s="654">
        <v>0</v>
      </c>
      <c r="K255" s="425" t="e">
        <f t="shared" si="66"/>
        <v>#DIV/0!</v>
      </c>
      <c r="L255" s="654">
        <v>0</v>
      </c>
      <c r="M255" s="654">
        <v>0</v>
      </c>
      <c r="N255" s="425" t="e">
        <f t="shared" si="67"/>
        <v>#DIV/0!</v>
      </c>
      <c r="O255" s="654">
        <v>85</v>
      </c>
      <c r="P255" s="655">
        <v>109</v>
      </c>
    </row>
    <row r="256" spans="1:16" ht="34.5" x14ac:dyDescent="0.2">
      <c r="A256" s="7">
        <v>3</v>
      </c>
      <c r="B256" s="545" t="s">
        <v>721</v>
      </c>
      <c r="C256" s="663">
        <v>0</v>
      </c>
      <c r="D256" s="657">
        <v>1126</v>
      </c>
      <c r="E256" s="425">
        <f t="shared" si="68"/>
        <v>0</v>
      </c>
      <c r="F256" s="654">
        <v>0</v>
      </c>
      <c r="G256" s="655">
        <v>136</v>
      </c>
      <c r="H256" s="425">
        <f t="shared" si="65"/>
        <v>0</v>
      </c>
      <c r="I256" s="656">
        <v>0</v>
      </c>
      <c r="J256" s="657">
        <v>1126</v>
      </c>
      <c r="K256" s="425">
        <f t="shared" si="66"/>
        <v>0</v>
      </c>
      <c r="L256" s="654">
        <v>0</v>
      </c>
      <c r="M256" s="654">
        <v>0</v>
      </c>
      <c r="N256" s="425" t="e">
        <f t="shared" si="67"/>
        <v>#DIV/0!</v>
      </c>
      <c r="O256" s="654">
        <v>4</v>
      </c>
      <c r="P256" s="655">
        <v>52.5</v>
      </c>
    </row>
    <row r="257" spans="1:16" ht="34.5" x14ac:dyDescent="0.2">
      <c r="A257" s="291">
        <v>4</v>
      </c>
      <c r="B257" s="545" t="s">
        <v>722</v>
      </c>
      <c r="C257" s="655">
        <v>29032</v>
      </c>
      <c r="D257" s="655">
        <v>26132</v>
      </c>
      <c r="E257" s="425">
        <f t="shared" si="68"/>
        <v>111.0975049747436</v>
      </c>
      <c r="F257" s="655">
        <v>7767</v>
      </c>
      <c r="G257" s="655">
        <v>3240</v>
      </c>
      <c r="H257" s="425">
        <f t="shared" si="65"/>
        <v>239.72222222222223</v>
      </c>
      <c r="I257" s="655">
        <v>29032</v>
      </c>
      <c r="J257" s="655">
        <v>26132</v>
      </c>
      <c r="K257" s="425">
        <f t="shared" si="66"/>
        <v>111.0975049747436</v>
      </c>
      <c r="L257" s="654">
        <v>0</v>
      </c>
      <c r="M257" s="654">
        <v>0</v>
      </c>
      <c r="N257" s="425" t="e">
        <f t="shared" si="67"/>
        <v>#DIV/0!</v>
      </c>
      <c r="O257" s="654">
        <v>13</v>
      </c>
      <c r="P257" s="655">
        <v>71</v>
      </c>
    </row>
    <row r="258" spans="1:16" ht="17.25" x14ac:dyDescent="0.2">
      <c r="A258" s="7">
        <v>5</v>
      </c>
      <c r="B258" s="545" t="s">
        <v>723</v>
      </c>
      <c r="C258" s="655">
        <v>8300</v>
      </c>
      <c r="D258" s="655">
        <v>9890</v>
      </c>
      <c r="E258" s="425">
        <f t="shared" si="68"/>
        <v>83.9231547017189</v>
      </c>
      <c r="F258" s="655">
        <v>310</v>
      </c>
      <c r="G258" s="655">
        <v>950</v>
      </c>
      <c r="H258" s="425">
        <f t="shared" si="65"/>
        <v>32.631578947368425</v>
      </c>
      <c r="I258" s="651">
        <v>0</v>
      </c>
      <c r="J258" s="651">
        <v>0</v>
      </c>
      <c r="K258" s="425" t="e">
        <f t="shared" si="66"/>
        <v>#DIV/0!</v>
      </c>
      <c r="L258" s="654">
        <v>0</v>
      </c>
      <c r="M258" s="654">
        <v>0</v>
      </c>
      <c r="N258" s="425" t="e">
        <f t="shared" si="67"/>
        <v>#DIV/0!</v>
      </c>
      <c r="O258" s="654">
        <v>10</v>
      </c>
      <c r="P258" s="655">
        <v>78</v>
      </c>
    </row>
    <row r="259" spans="1:16" ht="17.25" x14ac:dyDescent="0.2">
      <c r="A259" s="291">
        <v>6</v>
      </c>
      <c r="B259" s="545" t="s">
        <v>724</v>
      </c>
      <c r="C259" s="655">
        <v>73510</v>
      </c>
      <c r="D259" s="655">
        <v>78489</v>
      </c>
      <c r="E259" s="425">
        <f t="shared" si="68"/>
        <v>93.656435933697708</v>
      </c>
      <c r="F259" s="655">
        <v>13227</v>
      </c>
      <c r="G259" s="655">
        <v>14368</v>
      </c>
      <c r="H259" s="425">
        <f t="shared" si="65"/>
        <v>92.058741648106903</v>
      </c>
      <c r="I259" s="655">
        <v>63281</v>
      </c>
      <c r="J259" s="655">
        <v>83018</v>
      </c>
      <c r="K259" s="425">
        <f t="shared" si="66"/>
        <v>76.22563781348623</v>
      </c>
      <c r="L259" s="654">
        <v>0</v>
      </c>
      <c r="M259" s="654">
        <v>0</v>
      </c>
      <c r="N259" s="425" t="e">
        <f t="shared" si="67"/>
        <v>#DIV/0!</v>
      </c>
      <c r="O259" s="654">
        <v>19</v>
      </c>
      <c r="P259" s="655">
        <v>168.3</v>
      </c>
    </row>
    <row r="260" spans="1:16" s="422" customFormat="1" ht="34.5" x14ac:dyDescent="0.3">
      <c r="A260" s="277">
        <v>7</v>
      </c>
      <c r="B260" s="728" t="s">
        <v>725</v>
      </c>
      <c r="C260" s="655">
        <v>18691</v>
      </c>
      <c r="D260" s="655">
        <v>3595</v>
      </c>
      <c r="E260" s="729">
        <f t="shared" si="68"/>
        <v>519.91655076495135</v>
      </c>
      <c r="F260" s="655">
        <v>0</v>
      </c>
      <c r="G260" s="655">
        <v>0</v>
      </c>
      <c r="H260" s="729" t="e">
        <f t="shared" si="65"/>
        <v>#DIV/0!</v>
      </c>
      <c r="I260" s="655">
        <v>18691</v>
      </c>
      <c r="J260" s="655">
        <v>3595</v>
      </c>
      <c r="K260" s="729">
        <f t="shared" si="66"/>
        <v>519.91655076495135</v>
      </c>
      <c r="L260" s="655">
        <v>18691</v>
      </c>
      <c r="M260" s="655">
        <v>3595</v>
      </c>
      <c r="N260" s="729">
        <f t="shared" si="67"/>
        <v>519.91655076495135</v>
      </c>
      <c r="O260" s="654">
        <v>11</v>
      </c>
      <c r="P260" s="655">
        <v>119.2</v>
      </c>
    </row>
    <row r="261" spans="1:16" ht="17.25" x14ac:dyDescent="0.2">
      <c r="A261" s="291">
        <v>8</v>
      </c>
      <c r="B261" s="545" t="s">
        <v>726</v>
      </c>
      <c r="C261" s="655">
        <v>2837</v>
      </c>
      <c r="D261" s="655">
        <v>3465</v>
      </c>
      <c r="E261" s="425">
        <f t="shared" si="68"/>
        <v>81.875901875901874</v>
      </c>
      <c r="F261" s="655">
        <v>335</v>
      </c>
      <c r="G261" s="655">
        <v>250</v>
      </c>
      <c r="H261" s="425">
        <f t="shared" si="65"/>
        <v>134</v>
      </c>
      <c r="I261" s="655">
        <v>3953</v>
      </c>
      <c r="J261" s="655">
        <v>3925</v>
      </c>
      <c r="K261" s="425">
        <f t="shared" si="66"/>
        <v>100.71337579617834</v>
      </c>
      <c r="L261" s="654">
        <v>0</v>
      </c>
      <c r="M261" s="654">
        <v>0</v>
      </c>
      <c r="N261" s="425" t="e">
        <f t="shared" si="67"/>
        <v>#DIV/0!</v>
      </c>
      <c r="O261" s="654">
        <v>21</v>
      </c>
      <c r="P261" s="655">
        <v>71.900000000000006</v>
      </c>
    </row>
    <row r="262" spans="1:16" ht="34.5" x14ac:dyDescent="0.2">
      <c r="A262" s="7">
        <v>9</v>
      </c>
      <c r="B262" s="545" t="s">
        <v>727</v>
      </c>
      <c r="C262" s="655">
        <v>15125</v>
      </c>
      <c r="D262" s="655">
        <v>14075</v>
      </c>
      <c r="E262" s="425">
        <f t="shared" si="68"/>
        <v>107.46003552397869</v>
      </c>
      <c r="F262" s="655">
        <v>1331</v>
      </c>
      <c r="G262" s="655">
        <v>1445</v>
      </c>
      <c r="H262" s="425">
        <f t="shared" si="65"/>
        <v>92.110726643598611</v>
      </c>
      <c r="I262" s="655">
        <v>15125</v>
      </c>
      <c r="J262" s="655">
        <v>14075</v>
      </c>
      <c r="K262" s="425">
        <f t="shared" si="66"/>
        <v>107.46003552397869</v>
      </c>
      <c r="L262" s="654">
        <v>0</v>
      </c>
      <c r="M262" s="654">
        <v>0</v>
      </c>
      <c r="N262" s="425" t="e">
        <f t="shared" si="67"/>
        <v>#DIV/0!</v>
      </c>
      <c r="O262" s="654">
        <v>11</v>
      </c>
      <c r="P262" s="655">
        <v>75</v>
      </c>
    </row>
    <row r="264" spans="1:16" s="339" customFormat="1" ht="16.5" x14ac:dyDescent="0.25">
      <c r="A264" s="339">
        <v>2</v>
      </c>
      <c r="B264" s="418" t="s">
        <v>345</v>
      </c>
      <c r="C264" s="366"/>
    </row>
    <row r="265" spans="1:16" ht="18" thickBot="1" x14ac:dyDescent="0.3">
      <c r="A265" s="1059" t="s">
        <v>734</v>
      </c>
      <c r="B265" s="1059" t="s">
        <v>155</v>
      </c>
      <c r="C265" s="254">
        <f>SUM(C266:C282)</f>
        <v>184324501.90000001</v>
      </c>
      <c r="D265" s="254">
        <f>SUM(D266:D282)</f>
        <v>151007043.5</v>
      </c>
      <c r="E265" s="57">
        <f t="shared" ref="E265:E282" si="69">C265/D265*100</f>
        <v>122.06351281885736</v>
      </c>
      <c r="F265" s="254">
        <f>SUM(F266:F282)</f>
        <v>26114255.199999999</v>
      </c>
      <c r="G265" s="254">
        <f>SUM(G266:G282)</f>
        <v>17976365</v>
      </c>
      <c r="H265" s="57">
        <f t="shared" ref="H265:H282" si="70">F265/G265*100</f>
        <v>145.26994306134748</v>
      </c>
      <c r="I265" s="254">
        <f>SUM(I266:I282)</f>
        <v>184324501.90000001</v>
      </c>
      <c r="J265" s="254">
        <f>SUM(J266:J282)</f>
        <v>151007043.5</v>
      </c>
      <c r="K265" s="57">
        <f t="shared" ref="K265:K282" si="71">I265/J265*100</f>
        <v>122.06351281885736</v>
      </c>
      <c r="L265" s="254">
        <f>SUM(L266:L282)</f>
        <v>14658382</v>
      </c>
      <c r="M265" s="254">
        <f>SUM(M266:M282)</f>
        <v>14571174</v>
      </c>
      <c r="N265" s="57">
        <f t="shared" ref="N265:N282" si="72">L265/M265*100</f>
        <v>100.59849673059975</v>
      </c>
    </row>
    <row r="266" spans="1:16" ht="17.25" x14ac:dyDescent="0.25">
      <c r="A266" s="272">
        <v>1</v>
      </c>
      <c r="B266" s="550" t="s">
        <v>306</v>
      </c>
      <c r="C266" s="682">
        <v>20742757</v>
      </c>
      <c r="D266" s="674">
        <v>19060813</v>
      </c>
      <c r="E266" s="602">
        <f t="shared" si="69"/>
        <v>108.82409370471238</v>
      </c>
      <c r="F266" s="675">
        <v>0</v>
      </c>
      <c r="G266" s="675">
        <v>0</v>
      </c>
      <c r="H266" s="602" t="e">
        <f t="shared" si="70"/>
        <v>#DIV/0!</v>
      </c>
      <c r="I266" s="676">
        <v>20742757</v>
      </c>
      <c r="J266" s="677">
        <v>19060813</v>
      </c>
      <c r="K266" s="602">
        <f t="shared" si="71"/>
        <v>108.82409370471238</v>
      </c>
      <c r="L266" s="679">
        <v>0</v>
      </c>
      <c r="M266" s="678">
        <v>0</v>
      </c>
      <c r="N266" s="687"/>
      <c r="O266" s="605">
        <v>1780</v>
      </c>
      <c r="P266" s="605">
        <v>314</v>
      </c>
    </row>
    <row r="267" spans="1:16" ht="17.25" x14ac:dyDescent="0.25">
      <c r="A267" s="272">
        <v>2</v>
      </c>
      <c r="B267" s="550" t="s">
        <v>307</v>
      </c>
      <c r="C267" s="683">
        <v>28639008</v>
      </c>
      <c r="D267" s="680">
        <v>22867598</v>
      </c>
      <c r="E267" s="602">
        <f t="shared" si="69"/>
        <v>125.23837440206881</v>
      </c>
      <c r="F267" s="684">
        <v>4464967</v>
      </c>
      <c r="G267" s="684">
        <v>2697426</v>
      </c>
      <c r="H267" s="602">
        <f t="shared" si="70"/>
        <v>165.52695050763208</v>
      </c>
      <c r="I267" s="688">
        <v>28639008</v>
      </c>
      <c r="J267" s="689">
        <v>22867598</v>
      </c>
      <c r="K267" s="602">
        <f t="shared" si="71"/>
        <v>125.23837440206881</v>
      </c>
      <c r="L267" s="690">
        <v>14658382</v>
      </c>
      <c r="M267" s="691">
        <v>14571174</v>
      </c>
      <c r="N267" s="686">
        <f t="shared" ref="N267:N277" si="73">L267/M267*100</f>
        <v>100.59849673059975</v>
      </c>
      <c r="O267" s="605">
        <v>448</v>
      </c>
      <c r="P267" s="605">
        <v>190</v>
      </c>
    </row>
    <row r="268" spans="1:16" ht="17.25" x14ac:dyDescent="0.25">
      <c r="A268" s="272">
        <v>3</v>
      </c>
      <c r="B268" s="550" t="s">
        <v>318</v>
      </c>
      <c r="C268" s="683">
        <v>24059706.899999999</v>
      </c>
      <c r="D268" s="680">
        <v>13503235</v>
      </c>
      <c r="E268" s="602">
        <f>C268/D268*100</f>
        <v>178.17735453763487</v>
      </c>
      <c r="F268" s="684">
        <v>4007129.0999999978</v>
      </c>
      <c r="G268" s="684">
        <v>2750273.4000000004</v>
      </c>
      <c r="H268" s="602">
        <f>F268/G268*100</f>
        <v>145.69930029501782</v>
      </c>
      <c r="I268" s="688">
        <v>24059706.899999999</v>
      </c>
      <c r="J268" s="689">
        <v>13503235</v>
      </c>
      <c r="K268" s="602">
        <f>I268/J268*100</f>
        <v>178.17735453763487</v>
      </c>
      <c r="L268" s="693" t="s">
        <v>786</v>
      </c>
      <c r="M268" s="692">
        <v>0</v>
      </c>
      <c r="N268" s="686" t="e">
        <f t="shared" si="73"/>
        <v>#VALUE!</v>
      </c>
      <c r="O268" s="605">
        <v>681</v>
      </c>
      <c r="P268" s="605">
        <v>150.4</v>
      </c>
    </row>
    <row r="269" spans="1:16" ht="17.25" x14ac:dyDescent="0.25">
      <c r="A269" s="272">
        <v>4</v>
      </c>
      <c r="B269" s="550" t="s">
        <v>308</v>
      </c>
      <c r="C269" s="685">
        <v>5611924</v>
      </c>
      <c r="D269" s="681">
        <v>5177814</v>
      </c>
      <c r="E269" s="602">
        <f t="shared" si="69"/>
        <v>108.38404006014895</v>
      </c>
      <c r="F269" s="684">
        <v>609159</v>
      </c>
      <c r="G269" s="684">
        <v>830822</v>
      </c>
      <c r="H269" s="602">
        <f t="shared" si="70"/>
        <v>73.3200372642997</v>
      </c>
      <c r="I269" s="688">
        <v>5611924</v>
      </c>
      <c r="J269" s="689">
        <v>5177814</v>
      </c>
      <c r="K269" s="602">
        <f t="shared" si="71"/>
        <v>108.38404006014895</v>
      </c>
      <c r="L269" s="693">
        <v>0</v>
      </c>
      <c r="M269" s="692">
        <v>0</v>
      </c>
      <c r="N269" s="686" t="e">
        <f t="shared" si="73"/>
        <v>#DIV/0!</v>
      </c>
      <c r="O269" s="605">
        <v>211</v>
      </c>
      <c r="P269" s="605">
        <v>217</v>
      </c>
    </row>
    <row r="270" spans="1:16" ht="51.75" x14ac:dyDescent="0.25">
      <c r="A270" s="272">
        <v>5</v>
      </c>
      <c r="B270" s="549" t="s">
        <v>317</v>
      </c>
      <c r="C270" s="696">
        <v>3061849</v>
      </c>
      <c r="D270" s="697">
        <v>2449970</v>
      </c>
      <c r="E270" s="602">
        <f>C270/D270*100</f>
        <v>124.97495887704748</v>
      </c>
      <c r="F270" s="698">
        <v>274791</v>
      </c>
      <c r="G270" s="698">
        <v>228406</v>
      </c>
      <c r="H270" s="602">
        <f>F270/G270*100</f>
        <v>120.3081355130776</v>
      </c>
      <c r="I270" s="700">
        <v>3061849</v>
      </c>
      <c r="J270" s="701">
        <v>2449970</v>
      </c>
      <c r="K270" s="602">
        <f>I270/J270*100</f>
        <v>124.97495887704748</v>
      </c>
      <c r="L270" s="704">
        <v>0</v>
      </c>
      <c r="M270" s="702">
        <v>0</v>
      </c>
      <c r="N270" s="686" t="e">
        <f t="shared" si="73"/>
        <v>#DIV/0!</v>
      </c>
      <c r="O270" s="605">
        <v>456</v>
      </c>
      <c r="P270" s="605">
        <v>198.5</v>
      </c>
    </row>
    <row r="271" spans="1:16" ht="34.5" x14ac:dyDescent="0.25">
      <c r="A271" s="272">
        <v>6</v>
      </c>
      <c r="B271" s="642" t="s">
        <v>571</v>
      </c>
      <c r="C271" s="694">
        <v>16537770</v>
      </c>
      <c r="D271" s="695">
        <v>17508130</v>
      </c>
      <c r="E271" s="602">
        <f>C271/D271*100</f>
        <v>94.457660526852379</v>
      </c>
      <c r="F271" s="698">
        <v>8568607</v>
      </c>
      <c r="G271" s="698">
        <v>6030716</v>
      </c>
      <c r="H271" s="602">
        <f>F271/G271*100</f>
        <v>142.0827477201712</v>
      </c>
      <c r="I271" s="700">
        <v>16537770</v>
      </c>
      <c r="J271" s="701">
        <v>17508130</v>
      </c>
      <c r="K271" s="602">
        <f>I271/J271*100</f>
        <v>94.457660526852379</v>
      </c>
      <c r="L271" s="705" t="s">
        <v>789</v>
      </c>
      <c r="M271" s="703" t="s">
        <v>790</v>
      </c>
      <c r="N271" s="606"/>
      <c r="O271" s="605">
        <v>374</v>
      </c>
      <c r="P271" s="605">
        <v>257</v>
      </c>
    </row>
    <row r="272" spans="1:16" ht="17.25" x14ac:dyDescent="0.25">
      <c r="A272" s="272">
        <v>17</v>
      </c>
      <c r="B272" s="550" t="s">
        <v>570</v>
      </c>
      <c r="C272" s="694">
        <v>11761868</v>
      </c>
      <c r="D272" s="695">
        <v>12331316</v>
      </c>
      <c r="E272" s="602">
        <f>C272/D272*100</f>
        <v>95.382098715173626</v>
      </c>
      <c r="F272" s="698">
        <v>811759</v>
      </c>
      <c r="G272" s="698">
        <v>861996</v>
      </c>
      <c r="H272" s="602">
        <f>F272/G272*100</f>
        <v>94.172014719325844</v>
      </c>
      <c r="I272" s="700">
        <v>11761868</v>
      </c>
      <c r="J272" s="701">
        <v>12331316</v>
      </c>
      <c r="K272" s="602">
        <f>I272/J272*100</f>
        <v>95.382098715173626</v>
      </c>
      <c r="L272" s="704">
        <v>0</v>
      </c>
      <c r="M272" s="702">
        <v>0</v>
      </c>
      <c r="N272" s="602" t="e">
        <f>L272/M272*100</f>
        <v>#DIV/0!</v>
      </c>
      <c r="O272" s="605">
        <v>1490</v>
      </c>
      <c r="P272" s="605">
        <v>112</v>
      </c>
    </row>
    <row r="273" spans="1:16" ht="17.25" x14ac:dyDescent="0.25">
      <c r="A273" s="272">
        <v>7</v>
      </c>
      <c r="B273" s="550" t="s">
        <v>309</v>
      </c>
      <c r="C273" s="694">
        <v>6470777</v>
      </c>
      <c r="D273" s="695">
        <v>3313768</v>
      </c>
      <c r="E273" s="602">
        <f t="shared" si="69"/>
        <v>195.26946364380368</v>
      </c>
      <c r="F273" s="699">
        <v>854069</v>
      </c>
      <c r="G273" s="699">
        <v>552298</v>
      </c>
      <c r="H273" s="602">
        <f t="shared" si="70"/>
        <v>154.63916219142564</v>
      </c>
      <c r="I273" s="700">
        <v>6470777</v>
      </c>
      <c r="J273" s="701">
        <v>3313768</v>
      </c>
      <c r="K273" s="602">
        <f t="shared" si="71"/>
        <v>195.26946364380368</v>
      </c>
      <c r="L273" s="704">
        <v>0</v>
      </c>
      <c r="M273" s="702">
        <v>0</v>
      </c>
      <c r="N273" s="602" t="e">
        <f t="shared" si="73"/>
        <v>#DIV/0!</v>
      </c>
      <c r="O273" s="605">
        <v>748</v>
      </c>
      <c r="P273" s="605">
        <v>211</v>
      </c>
    </row>
    <row r="274" spans="1:16" ht="34.5" x14ac:dyDescent="0.25">
      <c r="A274" s="272">
        <v>8</v>
      </c>
      <c r="B274" s="549" t="s">
        <v>316</v>
      </c>
      <c r="C274" s="706">
        <v>30859340</v>
      </c>
      <c r="D274" s="707">
        <v>28099417</v>
      </c>
      <c r="E274" s="602">
        <f>C274/D274*100</f>
        <v>109.82199381574358</v>
      </c>
      <c r="F274" s="712">
        <v>2180016</v>
      </c>
      <c r="G274" s="712">
        <v>162902</v>
      </c>
      <c r="H274" s="602">
        <f>F274/G274*100</f>
        <v>1338.2377134719034</v>
      </c>
      <c r="I274" s="715">
        <v>30859340</v>
      </c>
      <c r="J274" s="716">
        <v>28099417</v>
      </c>
      <c r="K274" s="602">
        <f>I274/J274*100</f>
        <v>109.82199381574358</v>
      </c>
      <c r="L274" s="724">
        <v>0</v>
      </c>
      <c r="M274" s="721">
        <v>0</v>
      </c>
      <c r="N274" s="602" t="e">
        <f t="shared" si="73"/>
        <v>#DIV/0!</v>
      </c>
      <c r="O274" s="605">
        <v>7731</v>
      </c>
      <c r="P274" s="605">
        <v>203.9</v>
      </c>
    </row>
    <row r="275" spans="1:16" ht="34.5" x14ac:dyDescent="0.25">
      <c r="A275" s="272">
        <v>9</v>
      </c>
      <c r="B275" s="549" t="s">
        <v>572</v>
      </c>
      <c r="C275" s="708">
        <v>35233016</v>
      </c>
      <c r="D275" s="709">
        <v>25431320</v>
      </c>
      <c r="E275" s="602">
        <f>C275/D275*100</f>
        <v>138.54182952359531</v>
      </c>
      <c r="F275" s="712">
        <v>4187775</v>
      </c>
      <c r="G275" s="712">
        <v>3729201</v>
      </c>
      <c r="H275" s="602">
        <f>F275/G275*100</f>
        <v>112.29684321118651</v>
      </c>
      <c r="I275" s="717">
        <v>35233016</v>
      </c>
      <c r="J275" s="718">
        <v>25431320</v>
      </c>
      <c r="K275" s="602">
        <f>I275/J275*100</f>
        <v>138.54182952359531</v>
      </c>
      <c r="L275" s="725">
        <v>0</v>
      </c>
      <c r="M275" s="722">
        <v>0</v>
      </c>
      <c r="N275" s="602" t="e">
        <f t="shared" si="73"/>
        <v>#DIV/0!</v>
      </c>
      <c r="O275" s="605">
        <v>4871</v>
      </c>
      <c r="P275" s="605">
        <v>228</v>
      </c>
    </row>
    <row r="276" spans="1:16" ht="51.75" x14ac:dyDescent="0.25">
      <c r="A276" s="272">
        <v>10</v>
      </c>
      <c r="B276" s="549" t="s">
        <v>787</v>
      </c>
      <c r="C276" s="706">
        <v>155751</v>
      </c>
      <c r="D276" s="707">
        <v>125561</v>
      </c>
      <c r="E276" s="602">
        <f>C276/D276*100</f>
        <v>124.04409012352562</v>
      </c>
      <c r="F276" s="712">
        <v>17634</v>
      </c>
      <c r="G276" s="712">
        <v>15456</v>
      </c>
      <c r="H276" s="602">
        <f>F276/G276*100</f>
        <v>114.09161490683231</v>
      </c>
      <c r="I276" s="715">
        <v>155751</v>
      </c>
      <c r="J276" s="716">
        <v>125561</v>
      </c>
      <c r="K276" s="602">
        <f>I276/J276*100</f>
        <v>124.04409012352562</v>
      </c>
      <c r="L276" s="724">
        <v>0</v>
      </c>
      <c r="M276" s="721">
        <v>0</v>
      </c>
      <c r="N276" s="602" t="e">
        <f t="shared" si="73"/>
        <v>#DIV/0!</v>
      </c>
      <c r="O276" s="605">
        <v>35</v>
      </c>
      <c r="P276" s="605">
        <v>362</v>
      </c>
    </row>
    <row r="277" spans="1:16" ht="52.5" thickBot="1" x14ac:dyDescent="0.3">
      <c r="A277" s="272">
        <v>11</v>
      </c>
      <c r="B277" s="549" t="s">
        <v>310</v>
      </c>
      <c r="C277" s="710">
        <v>1190735</v>
      </c>
      <c r="D277" s="711">
        <v>1138101.5</v>
      </c>
      <c r="E277" s="602">
        <f t="shared" si="69"/>
        <v>104.62467539143039</v>
      </c>
      <c r="F277" s="713">
        <v>138349.10000000009</v>
      </c>
      <c r="G277" s="714">
        <v>116868.59999999998</v>
      </c>
      <c r="H277" s="602">
        <f t="shared" si="70"/>
        <v>118.38004391256516</v>
      </c>
      <c r="I277" s="719">
        <v>1190735</v>
      </c>
      <c r="J277" s="720">
        <v>1138101.5</v>
      </c>
      <c r="K277" s="602">
        <f t="shared" si="71"/>
        <v>104.62467539143039</v>
      </c>
      <c r="L277" s="726">
        <v>0</v>
      </c>
      <c r="M277" s="723">
        <v>0</v>
      </c>
      <c r="N277" s="602" t="e">
        <f t="shared" si="73"/>
        <v>#DIV/0!</v>
      </c>
      <c r="O277" s="605">
        <v>190</v>
      </c>
      <c r="P277" s="605">
        <v>294.2</v>
      </c>
    </row>
    <row r="278" spans="1:16" ht="34.5" x14ac:dyDescent="0.25">
      <c r="A278" s="272">
        <v>12</v>
      </c>
      <c r="B278" s="549" t="s">
        <v>788</v>
      </c>
      <c r="C278" s="474"/>
      <c r="D278" s="474"/>
      <c r="E278" s="425" t="e">
        <f t="shared" si="69"/>
        <v>#DIV/0!</v>
      </c>
      <c r="F278" s="474"/>
      <c r="G278" s="474"/>
      <c r="H278" s="425" t="e">
        <f t="shared" si="70"/>
        <v>#DIV/0!</v>
      </c>
      <c r="I278" s="473"/>
      <c r="J278" s="473"/>
      <c r="K278" s="425" t="e">
        <f t="shared" si="71"/>
        <v>#DIV/0!</v>
      </c>
      <c r="L278" s="474"/>
      <c r="M278" s="474"/>
      <c r="N278" s="425" t="e">
        <f t="shared" si="72"/>
        <v>#DIV/0!</v>
      </c>
      <c r="O278" s="127"/>
      <c r="P278" s="127"/>
    </row>
    <row r="279" spans="1:16" ht="17.25" x14ac:dyDescent="0.25">
      <c r="A279" s="272">
        <v>13</v>
      </c>
      <c r="B279" s="550" t="s">
        <v>314</v>
      </c>
      <c r="C279" s="474"/>
      <c r="D279" s="474"/>
      <c r="E279" s="425" t="e">
        <f t="shared" si="69"/>
        <v>#DIV/0!</v>
      </c>
      <c r="F279" s="474"/>
      <c r="G279" s="474"/>
      <c r="H279" s="425" t="e">
        <f t="shared" si="70"/>
        <v>#DIV/0!</v>
      </c>
      <c r="I279" s="473"/>
      <c r="J279" s="473"/>
      <c r="K279" s="425" t="e">
        <f t="shared" si="71"/>
        <v>#DIV/0!</v>
      </c>
      <c r="L279" s="474"/>
      <c r="M279" s="474"/>
      <c r="N279" s="425" t="e">
        <f t="shared" si="72"/>
        <v>#DIV/0!</v>
      </c>
      <c r="O279" s="127"/>
      <c r="P279" s="127"/>
    </row>
    <row r="280" spans="1:16" ht="17.25" x14ac:dyDescent="0.25">
      <c r="A280" s="272">
        <v>14</v>
      </c>
      <c r="B280" s="550" t="s">
        <v>315</v>
      </c>
      <c r="C280" s="474"/>
      <c r="D280" s="474"/>
      <c r="E280" s="425" t="e">
        <f t="shared" si="69"/>
        <v>#DIV/0!</v>
      </c>
      <c r="F280" s="474"/>
      <c r="G280" s="474"/>
      <c r="H280" s="425" t="e">
        <f t="shared" si="70"/>
        <v>#DIV/0!</v>
      </c>
      <c r="I280" s="473"/>
      <c r="J280" s="473"/>
      <c r="K280" s="425" t="e">
        <f t="shared" si="71"/>
        <v>#DIV/0!</v>
      </c>
      <c r="L280" s="474"/>
      <c r="M280" s="474"/>
      <c r="N280" s="425" t="e">
        <f t="shared" si="72"/>
        <v>#DIV/0!</v>
      </c>
      <c r="O280" s="127"/>
      <c r="P280" s="127"/>
    </row>
    <row r="281" spans="1:16" ht="51.75" x14ac:dyDescent="0.25">
      <c r="A281" s="272">
        <v>15</v>
      </c>
      <c r="B281" s="549" t="s">
        <v>313</v>
      </c>
      <c r="C281" s="474"/>
      <c r="D281" s="474"/>
      <c r="E281" s="425" t="e">
        <f>C281/D281*100</f>
        <v>#DIV/0!</v>
      </c>
      <c r="F281" s="474"/>
      <c r="G281" s="474"/>
      <c r="H281" s="425" t="e">
        <f>F281/G281*100</f>
        <v>#DIV/0!</v>
      </c>
      <c r="I281" s="473"/>
      <c r="J281" s="473"/>
      <c r="K281" s="425" t="e">
        <f>I281/J281*100</f>
        <v>#DIV/0!</v>
      </c>
      <c r="L281" s="474"/>
      <c r="M281" s="474"/>
      <c r="N281" s="425" t="e">
        <f>L281/M281*100</f>
        <v>#DIV/0!</v>
      </c>
      <c r="O281" s="127"/>
      <c r="P281" s="127"/>
    </row>
    <row r="282" spans="1:16" ht="17.25" x14ac:dyDescent="0.25">
      <c r="A282" s="272">
        <v>16</v>
      </c>
      <c r="B282" s="550" t="s">
        <v>320</v>
      </c>
      <c r="C282" s="474"/>
      <c r="D282" s="474"/>
      <c r="E282" s="425" t="e">
        <f t="shared" si="69"/>
        <v>#DIV/0!</v>
      </c>
      <c r="F282" s="474"/>
      <c r="G282" s="474"/>
      <c r="H282" s="425" t="e">
        <f t="shared" si="70"/>
        <v>#DIV/0!</v>
      </c>
      <c r="I282" s="473"/>
      <c r="J282" s="473"/>
      <c r="K282" s="425" t="e">
        <f t="shared" si="71"/>
        <v>#DIV/0!</v>
      </c>
      <c r="L282" s="474"/>
      <c r="M282" s="474"/>
      <c r="N282" s="425" t="e">
        <f t="shared" si="72"/>
        <v>#DIV/0!</v>
      </c>
      <c r="O282" s="127"/>
      <c r="P282" s="127"/>
    </row>
    <row r="283" spans="1:16" ht="120" customHeight="1" x14ac:dyDescent="0.25">
      <c r="A283" s="504"/>
      <c r="B283" s="541"/>
      <c r="C283" s="542"/>
      <c r="D283" s="542"/>
      <c r="E283" s="542"/>
      <c r="F283" s="542"/>
      <c r="G283" s="542"/>
      <c r="H283" s="542"/>
      <c r="I283" s="543"/>
      <c r="J283" s="543"/>
      <c r="K283" s="542"/>
      <c r="L283" s="542"/>
      <c r="M283" s="542"/>
      <c r="N283" s="439"/>
    </row>
    <row r="284" spans="1:16" s="587" customFormat="1" ht="16.5" x14ac:dyDescent="0.25">
      <c r="A284" s="585">
        <v>3</v>
      </c>
      <c r="B284" s="586" t="s">
        <v>346</v>
      </c>
      <c r="C284" s="586"/>
      <c r="F284" s="586"/>
      <c r="G284" s="586"/>
      <c r="H284" s="586"/>
      <c r="I284" s="586"/>
      <c r="J284" s="586"/>
      <c r="K284" s="586"/>
      <c r="L284" s="586"/>
      <c r="M284" s="586"/>
      <c r="N284" s="586"/>
    </row>
    <row r="285" spans="1:16" ht="16.5" x14ac:dyDescent="0.25">
      <c r="A285" s="1060" t="s">
        <v>734</v>
      </c>
      <c r="B285" s="1061"/>
      <c r="C285" s="588">
        <f>SUM(C286:C290)</f>
        <v>1528016</v>
      </c>
      <c r="D285" s="588">
        <f>SUM(D286:D290)</f>
        <v>1611382</v>
      </c>
      <c r="E285" s="589">
        <f>C285/D285*100</f>
        <v>94.826428494298682</v>
      </c>
      <c r="F285" s="588">
        <f>SUM(F286:F290)</f>
        <v>163919</v>
      </c>
      <c r="G285" s="588">
        <f>SUM(G286:G290)</f>
        <v>173343</v>
      </c>
      <c r="H285" s="589">
        <f>F285/G285*100</f>
        <v>94.563380119185652</v>
      </c>
      <c r="I285" s="588">
        <f>SUM(I286:I290)</f>
        <v>1795703</v>
      </c>
      <c r="J285" s="588">
        <f>SUM(J286:J290)</f>
        <v>1757533</v>
      </c>
      <c r="K285" s="589">
        <f>I285/J285*100</f>
        <v>102.1717942138213</v>
      </c>
      <c r="L285" s="588">
        <f>SUM(L286:L290)</f>
        <v>306970</v>
      </c>
      <c r="M285" s="588">
        <f>SUM(M286:M290)</f>
        <v>350151</v>
      </c>
      <c r="N285" s="589">
        <f>L285/M285*100</f>
        <v>87.667891852372264</v>
      </c>
    </row>
    <row r="286" spans="1:16" ht="34.5" x14ac:dyDescent="0.25">
      <c r="A286" s="307">
        <v>1</v>
      </c>
      <c r="B286" s="548" t="s">
        <v>331</v>
      </c>
      <c r="C286" s="731">
        <v>0</v>
      </c>
      <c r="D286" s="731">
        <v>0</v>
      </c>
      <c r="E286" s="425" t="e">
        <f t="shared" ref="E286:E290" si="74">C286/D286*100</f>
        <v>#DIV/0!</v>
      </c>
      <c r="F286" s="731">
        <v>8411</v>
      </c>
      <c r="G286" s="731">
        <v>8494</v>
      </c>
      <c r="H286" s="425">
        <f t="shared" ref="H286:H290" si="75">F286/G286*100</f>
        <v>99.022839651518723</v>
      </c>
      <c r="I286" s="731">
        <v>83616</v>
      </c>
      <c r="J286" s="731">
        <v>83354</v>
      </c>
      <c r="K286" s="425">
        <f t="shared" ref="K286:K290" si="76">I286/J286*100</f>
        <v>100.31432204813207</v>
      </c>
      <c r="L286" s="731">
        <v>0</v>
      </c>
      <c r="M286" s="731">
        <v>0</v>
      </c>
      <c r="N286" s="659" t="e">
        <f t="shared" ref="N286:N290" si="77">L286/M286*100</f>
        <v>#DIV/0!</v>
      </c>
      <c r="O286" s="605">
        <v>34</v>
      </c>
      <c r="P286" s="605">
        <v>84.9</v>
      </c>
    </row>
    <row r="287" spans="1:16" ht="34.5" x14ac:dyDescent="0.25">
      <c r="A287" s="307">
        <v>2</v>
      </c>
      <c r="B287" s="548" t="s">
        <v>332</v>
      </c>
      <c r="C287" s="731">
        <v>204632</v>
      </c>
      <c r="D287" s="731">
        <v>211229</v>
      </c>
      <c r="E287" s="425">
        <f t="shared" si="74"/>
        <v>96.876849296261398</v>
      </c>
      <c r="F287" s="731">
        <v>20427</v>
      </c>
      <c r="G287" s="731">
        <v>20837</v>
      </c>
      <c r="H287" s="425">
        <f t="shared" si="75"/>
        <v>98.032346307049949</v>
      </c>
      <c r="I287" s="731">
        <v>204632</v>
      </c>
      <c r="J287" s="731">
        <v>211229</v>
      </c>
      <c r="K287" s="425">
        <f t="shared" si="76"/>
        <v>96.876849296261398</v>
      </c>
      <c r="L287" s="731">
        <v>0</v>
      </c>
      <c r="M287" s="731">
        <v>0</v>
      </c>
      <c r="N287" s="659" t="e">
        <f t="shared" si="77"/>
        <v>#DIV/0!</v>
      </c>
      <c r="O287" s="605">
        <v>196</v>
      </c>
      <c r="P287" s="605">
        <v>88.5</v>
      </c>
    </row>
    <row r="288" spans="1:16" ht="69" x14ac:dyDescent="0.25">
      <c r="A288" s="307">
        <v>3</v>
      </c>
      <c r="B288" s="548" t="s">
        <v>333</v>
      </c>
      <c r="C288" s="731">
        <v>1323384</v>
      </c>
      <c r="D288" s="731">
        <v>1400153</v>
      </c>
      <c r="E288" s="425">
        <f t="shared" si="74"/>
        <v>94.517099202729995</v>
      </c>
      <c r="F288" s="731">
        <v>127646</v>
      </c>
      <c r="G288" s="731">
        <v>136934</v>
      </c>
      <c r="H288" s="425">
        <f t="shared" si="75"/>
        <v>93.217170315626504</v>
      </c>
      <c r="I288" s="731">
        <v>1323384</v>
      </c>
      <c r="J288" s="731">
        <v>1400153</v>
      </c>
      <c r="K288" s="425">
        <f t="shared" si="76"/>
        <v>94.517099202729995</v>
      </c>
      <c r="L288" s="731">
        <v>306970</v>
      </c>
      <c r="M288" s="731">
        <v>350151</v>
      </c>
      <c r="N288" s="659">
        <f t="shared" si="77"/>
        <v>87.667891852372264</v>
      </c>
      <c r="O288" s="605">
        <v>670</v>
      </c>
      <c r="P288" s="605">
        <v>96</v>
      </c>
    </row>
    <row r="289" spans="1:16" ht="17.25" x14ac:dyDescent="0.25">
      <c r="A289" s="307">
        <v>4</v>
      </c>
      <c r="B289" s="548" t="s">
        <v>334</v>
      </c>
      <c r="C289" s="731">
        <v>0</v>
      </c>
      <c r="D289" s="731">
        <v>0</v>
      </c>
      <c r="E289" s="425" t="e">
        <f t="shared" si="74"/>
        <v>#DIV/0!</v>
      </c>
      <c r="F289" s="731">
        <v>7435</v>
      </c>
      <c r="G289" s="731">
        <v>7078</v>
      </c>
      <c r="H289" s="425">
        <f t="shared" si="75"/>
        <v>105.04379768296128</v>
      </c>
      <c r="I289" s="731">
        <v>184071</v>
      </c>
      <c r="J289" s="731">
        <v>62797</v>
      </c>
      <c r="K289" s="425">
        <f t="shared" si="76"/>
        <v>293.12069047884455</v>
      </c>
      <c r="L289" s="731">
        <v>0</v>
      </c>
      <c r="M289" s="731">
        <v>0</v>
      </c>
      <c r="N289" s="659" t="e">
        <f t="shared" si="77"/>
        <v>#DIV/0!</v>
      </c>
      <c r="O289" s="605">
        <v>37</v>
      </c>
      <c r="P289" s="605">
        <v>136</v>
      </c>
    </row>
    <row r="290" spans="1:16" ht="51.75" x14ac:dyDescent="0.25">
      <c r="A290" s="307">
        <v>5</v>
      </c>
      <c r="B290" s="548" t="s">
        <v>335</v>
      </c>
      <c r="C290" s="322"/>
      <c r="D290" s="322"/>
      <c r="E290" s="425" t="e">
        <f t="shared" si="74"/>
        <v>#DIV/0!</v>
      </c>
      <c r="F290" s="322"/>
      <c r="G290" s="322"/>
      <c r="H290" s="425" t="e">
        <f t="shared" si="75"/>
        <v>#DIV/0!</v>
      </c>
      <c r="I290" s="322"/>
      <c r="J290" s="322"/>
      <c r="K290" s="425" t="e">
        <f t="shared" si="76"/>
        <v>#DIV/0!</v>
      </c>
      <c r="L290" s="322"/>
      <c r="M290" s="322"/>
      <c r="N290" s="555" t="e">
        <f t="shared" si="77"/>
        <v>#DIV/0!</v>
      </c>
    </row>
    <row r="292" spans="1:16" ht="16.5" x14ac:dyDescent="0.25">
      <c r="A292" s="585">
        <v>4</v>
      </c>
      <c r="B292" s="590" t="s">
        <v>543</v>
      </c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</row>
    <row r="293" spans="1:16" ht="16.5" x14ac:dyDescent="0.25">
      <c r="A293" s="588"/>
      <c r="B293" s="591" t="s">
        <v>734</v>
      </c>
      <c r="C293" s="588">
        <f>SUM(C294:C294)</f>
        <v>0</v>
      </c>
      <c r="D293" s="588">
        <f>SUM(D294:D294)</f>
        <v>0</v>
      </c>
      <c r="E293" s="589" t="e">
        <f>C293/D293*100</f>
        <v>#DIV/0!</v>
      </c>
      <c r="F293" s="588">
        <f>SUM(F294:F294)</f>
        <v>0</v>
      </c>
      <c r="G293" s="588">
        <f>SUM(G294:G294)</f>
        <v>0</v>
      </c>
      <c r="H293" s="589" t="e">
        <f>F293/G293*100</f>
        <v>#DIV/0!</v>
      </c>
      <c r="I293" s="588">
        <f>SUM(I294:I294)</f>
        <v>0</v>
      </c>
      <c r="J293" s="588">
        <f>SUM(J294:J294)</f>
        <v>0</v>
      </c>
      <c r="K293" s="589" t="e">
        <f>I293/J293*100</f>
        <v>#DIV/0!</v>
      </c>
      <c r="L293" s="588">
        <f>SUM(L294:L294)</f>
        <v>0</v>
      </c>
      <c r="M293" s="588">
        <f>SUM(M294:M294)</f>
        <v>0</v>
      </c>
      <c r="N293" s="589">
        <v>0</v>
      </c>
    </row>
    <row r="294" spans="1:16" ht="17.25" x14ac:dyDescent="0.25">
      <c r="A294" s="307">
        <v>1</v>
      </c>
      <c r="B294" s="548" t="s">
        <v>728</v>
      </c>
      <c r="C294" s="426"/>
      <c r="D294" s="426"/>
      <c r="E294" s="323" t="e">
        <f>C294/D294*100</f>
        <v>#DIV/0!</v>
      </c>
      <c r="F294" s="426"/>
      <c r="G294" s="426"/>
      <c r="H294" s="323" t="e">
        <f>F294/G294*100</f>
        <v>#DIV/0!</v>
      </c>
      <c r="I294" s="426"/>
      <c r="J294" s="426"/>
      <c r="K294" s="323" t="e">
        <f>I294/J294*100</f>
        <v>#DIV/0!</v>
      </c>
      <c r="L294" s="426"/>
      <c r="M294" s="426"/>
      <c r="N294" s="323">
        <v>0</v>
      </c>
    </row>
  </sheetData>
  <mergeCells count="39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M4:M8"/>
    <mergeCell ref="N4:N8"/>
    <mergeCell ref="L4:L8"/>
    <mergeCell ref="G4:G8"/>
    <mergeCell ref="H4:H8"/>
    <mergeCell ref="I4:I8"/>
    <mergeCell ref="J4:J8"/>
    <mergeCell ref="K4:K8"/>
    <mergeCell ref="A29:N30"/>
    <mergeCell ref="A246:B246"/>
    <mergeCell ref="A95:B95"/>
    <mergeCell ref="A55:B55"/>
    <mergeCell ref="A69:B69"/>
    <mergeCell ref="A79:B79"/>
    <mergeCell ref="B31:B32"/>
    <mergeCell ref="C31:G31"/>
    <mergeCell ref="H31:K31"/>
    <mergeCell ref="A34:B34"/>
    <mergeCell ref="A35:B35"/>
    <mergeCell ref="A31:A32"/>
    <mergeCell ref="A265:B265"/>
    <mergeCell ref="A285:B285"/>
    <mergeCell ref="A133:B133"/>
    <mergeCell ref="A134:B134"/>
    <mergeCell ref="A159:B159"/>
    <mergeCell ref="A160:B160"/>
    <mergeCell ref="A188:B188"/>
    <mergeCell ref="A194:B194"/>
    <mergeCell ref="A237:B237"/>
  </mergeCells>
  <pageMargins left="0.25" right="0.25" top="0.25" bottom="0.25" header="0.25" footer="0.25"/>
  <pageSetup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190" zoomScale="96" zoomScaleNormal="96" workbookViewId="0">
      <selection activeCell="A197" sqref="A197:XFD197"/>
    </sheetView>
  </sheetViews>
  <sheetFormatPr defaultColWidth="11.28515625" defaultRowHeight="15" x14ac:dyDescent="0.25"/>
  <cols>
    <col min="1" max="1" width="6.85546875" style="126" customWidth="1"/>
    <col min="2" max="2" width="28.85546875" style="126" customWidth="1"/>
    <col min="3" max="3" width="14.85546875" style="126" customWidth="1"/>
    <col min="4" max="4" width="14.42578125" style="126" customWidth="1"/>
    <col min="5" max="5" width="12.5703125" style="126" customWidth="1"/>
    <col min="6" max="6" width="14.7109375" style="126" customWidth="1"/>
    <col min="7" max="7" width="12.42578125" style="126" customWidth="1"/>
    <col min="8" max="8" width="10.42578125" style="126" customWidth="1"/>
    <col min="9" max="9" width="15.28515625" style="126" customWidth="1"/>
    <col min="10" max="10" width="14.5703125" style="126" customWidth="1"/>
    <col min="11" max="11" width="8" style="126" customWidth="1"/>
    <col min="12" max="12" width="13.7109375" style="126" customWidth="1"/>
    <col min="13" max="13" width="12.28515625" style="126" customWidth="1"/>
    <col min="14" max="14" width="11" style="126" customWidth="1"/>
    <col min="15" max="16384" width="11.28515625" style="126"/>
  </cols>
  <sheetData>
    <row r="1" spans="1:14" s="556" customFormat="1" ht="16.5" x14ac:dyDescent="0.25">
      <c r="A1" s="1051" t="s">
        <v>800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</row>
    <row r="2" spans="1:14" s="556" customFormat="1" ht="21.75" customHeight="1" thickBot="1" x14ac:dyDescent="0.3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16.5" x14ac:dyDescent="0.25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</row>
    <row r="4" spans="1:14" s="556" customFormat="1" ht="16.5" customHeight="1" x14ac:dyDescent="0.25">
      <c r="A4" s="1021"/>
      <c r="B4" s="1013"/>
      <c r="C4" s="1064" t="s">
        <v>801</v>
      </c>
      <c r="D4" s="1064" t="s">
        <v>802</v>
      </c>
      <c r="E4" s="1067" t="s">
        <v>545</v>
      </c>
      <c r="F4" s="1064" t="s">
        <v>803</v>
      </c>
      <c r="G4" s="1064" t="s">
        <v>804</v>
      </c>
      <c r="H4" s="1067" t="s">
        <v>545</v>
      </c>
      <c r="I4" s="1064" t="s">
        <v>805</v>
      </c>
      <c r="J4" s="1064" t="s">
        <v>802</v>
      </c>
      <c r="K4" s="1067" t="s">
        <v>545</v>
      </c>
      <c r="L4" s="1064" t="s">
        <v>805</v>
      </c>
      <c r="M4" s="1064" t="s">
        <v>806</v>
      </c>
      <c r="N4" s="1067" t="s">
        <v>545</v>
      </c>
    </row>
    <row r="5" spans="1:14" s="556" customFormat="1" ht="16.5" x14ac:dyDescent="0.25">
      <c r="A5" s="1021"/>
      <c r="B5" s="1013"/>
      <c r="C5" s="1065"/>
      <c r="D5" s="1065"/>
      <c r="E5" s="1068"/>
      <c r="F5" s="1065"/>
      <c r="G5" s="1065"/>
      <c r="H5" s="1068"/>
      <c r="I5" s="1065"/>
      <c r="J5" s="1065"/>
      <c r="K5" s="1068"/>
      <c r="L5" s="1065"/>
      <c r="M5" s="1065"/>
      <c r="N5" s="1068"/>
    </row>
    <row r="6" spans="1:14" s="556" customFormat="1" ht="16.5" x14ac:dyDescent="0.25">
      <c r="A6" s="1021"/>
      <c r="B6" s="1013"/>
      <c r="C6" s="1065"/>
      <c r="D6" s="1065"/>
      <c r="E6" s="1068"/>
      <c r="F6" s="1065"/>
      <c r="G6" s="1065"/>
      <c r="H6" s="1068"/>
      <c r="I6" s="1065"/>
      <c r="J6" s="1065"/>
      <c r="K6" s="1068"/>
      <c r="L6" s="1065"/>
      <c r="M6" s="1065"/>
      <c r="N6" s="1068"/>
    </row>
    <row r="7" spans="1:14" s="556" customFormat="1" ht="9.75" customHeight="1" x14ac:dyDescent="0.25">
      <c r="A7" s="1021"/>
      <c r="B7" s="1013"/>
      <c r="C7" s="1065"/>
      <c r="D7" s="1065"/>
      <c r="E7" s="1068"/>
      <c r="F7" s="1065"/>
      <c r="G7" s="1065"/>
      <c r="H7" s="1068"/>
      <c r="I7" s="1065"/>
      <c r="J7" s="1065"/>
      <c r="K7" s="1068"/>
      <c r="L7" s="1065"/>
      <c r="M7" s="1065"/>
      <c r="N7" s="1068"/>
    </row>
    <row r="8" spans="1:14" s="556" customFormat="1" ht="17.25" thickBot="1" x14ac:dyDescent="0.3">
      <c r="A8" s="1022"/>
      <c r="B8" s="1014"/>
      <c r="C8" s="1066"/>
      <c r="D8" s="1066"/>
      <c r="E8" s="1069"/>
      <c r="F8" s="1066"/>
      <c r="G8" s="1066"/>
      <c r="H8" s="1069"/>
      <c r="I8" s="1066"/>
      <c r="J8" s="1066"/>
      <c r="K8" s="1069"/>
      <c r="L8" s="1066"/>
      <c r="M8" s="1066"/>
      <c r="N8" s="1069"/>
    </row>
    <row r="9" spans="1:14" s="556" customFormat="1" ht="17.25" thickBot="1" x14ac:dyDescent="0.3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</row>
    <row r="10" spans="1:14" s="557" customFormat="1" ht="34.5" x14ac:dyDescent="0.25">
      <c r="A10" s="456"/>
      <c r="B10" s="395" t="s">
        <v>348</v>
      </c>
      <c r="C10" s="396">
        <f>C11+C25</f>
        <v>819.81838854900002</v>
      </c>
      <c r="D10" s="396">
        <f>D11+D25</f>
        <v>736.14763288899996</v>
      </c>
      <c r="E10" s="397">
        <f>C10/D10*100</f>
        <v>111.36602930198056</v>
      </c>
      <c r="F10" s="396">
        <f>F11+F25</f>
        <v>86.901983748999996</v>
      </c>
      <c r="G10" s="396">
        <f>G11+G25</f>
        <v>75.139661488999991</v>
      </c>
      <c r="H10" s="397">
        <f>F10/G10*100</f>
        <v>115.65394630067895</v>
      </c>
      <c r="I10" s="396">
        <f>I11+I25</f>
        <v>798.35824694900009</v>
      </c>
      <c r="J10" s="396">
        <f>J11+J25</f>
        <v>705.70013358900007</v>
      </c>
      <c r="K10" s="397">
        <f>I10/J10*100</f>
        <v>113.12995547964061</v>
      </c>
      <c r="L10" s="396">
        <f>L11+L25</f>
        <v>390.57319699999999</v>
      </c>
      <c r="M10" s="396">
        <f>M11+M25</f>
        <v>372.141166</v>
      </c>
      <c r="N10" s="397">
        <f>L10/M10*100</f>
        <v>104.95296749836056</v>
      </c>
    </row>
    <row r="11" spans="1:14" ht="34.5" x14ac:dyDescent="0.25">
      <c r="A11" s="222">
        <v>1</v>
      </c>
      <c r="B11" s="373" t="s">
        <v>730</v>
      </c>
      <c r="C11" s="374">
        <f>C12+C13</f>
        <v>612.71496569999999</v>
      </c>
      <c r="D11" s="374">
        <f>D12+D13</f>
        <v>566.28622529999996</v>
      </c>
      <c r="E11" s="374">
        <f>C11/D11*100</f>
        <v>108.19881154188478</v>
      </c>
      <c r="F11" s="374">
        <f>F12+F13</f>
        <v>64.1230628</v>
      </c>
      <c r="G11" s="374">
        <f>G12+G13</f>
        <v>56.285297399999997</v>
      </c>
      <c r="H11" s="374">
        <f>F11/G11*100</f>
        <v>113.92506704601688</v>
      </c>
      <c r="I11" s="374">
        <f>I12+I13</f>
        <v>591.25482410000006</v>
      </c>
      <c r="J11" s="374">
        <f>J12+J13</f>
        <v>535.83872600000007</v>
      </c>
      <c r="K11" s="374">
        <f>I11/J11*100</f>
        <v>110.34193599885501</v>
      </c>
      <c r="L11" s="374">
        <f>L12+L13</f>
        <v>374.64838800000001</v>
      </c>
      <c r="M11" s="374">
        <f>M12+M13</f>
        <v>357.05325900000003</v>
      </c>
      <c r="N11" s="374">
        <f>L11/M11*100</f>
        <v>104.92787239900252</v>
      </c>
    </row>
    <row r="12" spans="1:14" ht="45" customHeight="1" thickBot="1" x14ac:dyDescent="0.3">
      <c r="A12" s="476">
        <v>1.1000000000000001</v>
      </c>
      <c r="B12" s="400" t="s">
        <v>527</v>
      </c>
      <c r="C12" s="390">
        <f>C134/1000000</f>
        <v>163.692061</v>
      </c>
      <c r="D12" s="390">
        <f>D134/1000000</f>
        <v>167.04575399999999</v>
      </c>
      <c r="E12" s="392">
        <f>E134</f>
        <v>97.992350646637803</v>
      </c>
      <c r="F12" s="390">
        <f>F134/1000000</f>
        <v>14.343301</v>
      </c>
      <c r="G12" s="390">
        <f>G134/1000000</f>
        <v>14.773199</v>
      </c>
      <c r="H12" s="391">
        <f>H134</f>
        <v>97.090014153332675</v>
      </c>
      <c r="I12" s="390">
        <f>I134/1000000</f>
        <v>151.45145099999999</v>
      </c>
      <c r="J12" s="390">
        <f>J134/1000000</f>
        <v>152.84877800000001</v>
      </c>
      <c r="K12" s="391">
        <f>K134</f>
        <v>99.085810813613435</v>
      </c>
      <c r="L12" s="390">
        <f>L134/1000000</f>
        <v>103.77687400000001</v>
      </c>
      <c r="M12" s="390">
        <f>M134/1000000</f>
        <v>106.285909</v>
      </c>
      <c r="N12" s="392">
        <f>N134</f>
        <v>97.639353115002294</v>
      </c>
    </row>
    <row r="13" spans="1:14" ht="49.5" x14ac:dyDescent="0.25">
      <c r="A13" s="353">
        <v>1.2</v>
      </c>
      <c r="B13" s="401" t="s">
        <v>350</v>
      </c>
      <c r="C13" s="379">
        <f>SUM(C14:C24)</f>
        <v>449.02290469999997</v>
      </c>
      <c r="D13" s="379">
        <f>SUM(D14:D24)</f>
        <v>399.24047129999997</v>
      </c>
      <c r="E13" s="380">
        <f t="shared" ref="E13" si="0">C13/D13*100</f>
        <v>112.46928530013484</v>
      </c>
      <c r="F13" s="379">
        <f>SUM(F14:F24)</f>
        <v>49.779761799999996</v>
      </c>
      <c r="G13" s="379">
        <f>SUM(G14:G24)</f>
        <v>41.512098399999999</v>
      </c>
      <c r="H13" s="380">
        <f t="shared" ref="H13" si="1">F13/G13*100</f>
        <v>119.91627433606197</v>
      </c>
      <c r="I13" s="379">
        <f>SUM(I14:I24)</f>
        <v>439.80337310000004</v>
      </c>
      <c r="J13" s="379">
        <f>SUM(J14:J24)</f>
        <v>382.98994800000008</v>
      </c>
      <c r="K13" s="380">
        <f t="shared" ref="K13" si="2">I13/J13*100</f>
        <v>114.83418178379969</v>
      </c>
      <c r="L13" s="379">
        <f>SUM(L14:L24)</f>
        <v>270.87151399999999</v>
      </c>
      <c r="M13" s="379">
        <f>SUM(M14:M24)</f>
        <v>250.76734999999999</v>
      </c>
      <c r="N13" s="380">
        <f t="shared" ref="N13" si="3">L13/M13*100</f>
        <v>108.01705804204576</v>
      </c>
    </row>
    <row r="14" spans="1:14" ht="17.25" x14ac:dyDescent="0.25">
      <c r="A14" s="483" t="s">
        <v>528</v>
      </c>
      <c r="B14" s="535" t="s">
        <v>791</v>
      </c>
      <c r="C14" s="520">
        <f>C144/1000000</f>
        <v>153.777961</v>
      </c>
      <c r="D14" s="520">
        <f>D144/1000000</f>
        <v>146.77895799999999</v>
      </c>
      <c r="E14" s="521">
        <f>E144</f>
        <v>104.76839670710838</v>
      </c>
      <c r="F14" s="520">
        <f>F144/1000000</f>
        <v>14.433921</v>
      </c>
      <c r="G14" s="520">
        <f>G144/1000000</f>
        <v>12.450863999999999</v>
      </c>
      <c r="H14" s="521">
        <f>H144</f>
        <v>115.92706337487904</v>
      </c>
      <c r="I14" s="520">
        <f>I144/1000000</f>
        <v>153.58550500000001</v>
      </c>
      <c r="J14" s="520">
        <f>J144/1000000</f>
        <v>141.82189500000001</v>
      </c>
      <c r="K14" s="521">
        <f>K144</f>
        <v>108.29463602922525</v>
      </c>
      <c r="L14" s="520">
        <f>L144/1000000</f>
        <v>140.04587699999999</v>
      </c>
      <c r="M14" s="520">
        <f>M144/1000000</f>
        <v>133.789706</v>
      </c>
      <c r="N14" s="521">
        <f>N144</f>
        <v>104.67612284012344</v>
      </c>
    </row>
    <row r="15" spans="1:14" ht="17.25" x14ac:dyDescent="0.25">
      <c r="A15" s="7" t="s">
        <v>529</v>
      </c>
      <c r="B15" s="535" t="s">
        <v>792</v>
      </c>
      <c r="C15" s="520">
        <f>C154/1000000</f>
        <v>13.19951</v>
      </c>
      <c r="D15" s="520">
        <f>D154/1000000</f>
        <v>13.845874</v>
      </c>
      <c r="E15" s="521">
        <f>E154</f>
        <v>95.331721204454126</v>
      </c>
      <c r="F15" s="520">
        <f>F154/1000000</f>
        <v>1.3855519999999999</v>
      </c>
      <c r="G15" s="520">
        <f>G154/1000000</f>
        <v>1.3929290000000001</v>
      </c>
      <c r="H15" s="521">
        <f>H154</f>
        <v>99.470396552875272</v>
      </c>
      <c r="I15" s="520">
        <f>I154/1000000</f>
        <v>13.337927000000001</v>
      </c>
      <c r="J15" s="520">
        <f>J154/1000000</f>
        <v>13.255376999999999</v>
      </c>
      <c r="K15" s="521">
        <f>K154</f>
        <v>100.62276614237378</v>
      </c>
      <c r="L15" s="520">
        <f>L154/1000000</f>
        <v>5.1043969999999996</v>
      </c>
      <c r="M15" s="520">
        <f>M154/1000000</f>
        <v>6.020753</v>
      </c>
      <c r="N15" s="521">
        <f>N154</f>
        <v>84.780043293588022</v>
      </c>
    </row>
    <row r="16" spans="1:14" ht="17.25" x14ac:dyDescent="0.25">
      <c r="A16" s="483" t="s">
        <v>530</v>
      </c>
      <c r="B16" s="535" t="s">
        <v>793</v>
      </c>
      <c r="C16" s="520">
        <f>C236/1000000</f>
        <v>13.906022999999999</v>
      </c>
      <c r="D16" s="520">
        <f>D236/1000000</f>
        <v>14.156487</v>
      </c>
      <c r="E16" s="521">
        <f>E236</f>
        <v>98.230747501127922</v>
      </c>
      <c r="F16" s="520">
        <f>F236/1000000</f>
        <v>1.697889</v>
      </c>
      <c r="G16" s="520">
        <f>G236/1000000</f>
        <v>1.7841389999999999</v>
      </c>
      <c r="H16" s="521">
        <f>H236</f>
        <v>95.165735405145</v>
      </c>
      <c r="I16" s="520">
        <f>I236/1000000</f>
        <v>14.079162999999999</v>
      </c>
      <c r="J16" s="520">
        <f>J236/1000000</f>
        <v>14.082533</v>
      </c>
      <c r="K16" s="521">
        <f>K236</f>
        <v>99.976069645993377</v>
      </c>
      <c r="L16" s="520">
        <f>L236/1000000</f>
        <v>8.0886370000000003</v>
      </c>
      <c r="M16" s="520">
        <f>M236/1000000</f>
        <v>7.7781630000000002</v>
      </c>
      <c r="N16" s="521">
        <f>N236</f>
        <v>103.99161087264434</v>
      </c>
    </row>
    <row r="17" spans="1:14" ht="17.25" x14ac:dyDescent="0.25">
      <c r="A17" s="7" t="s">
        <v>531</v>
      </c>
      <c r="B17" s="535" t="s">
        <v>354</v>
      </c>
      <c r="C17" s="520">
        <f>C35/1000000</f>
        <v>1.6700090000000001</v>
      </c>
      <c r="D17" s="520">
        <f>D35/1000000</f>
        <v>2.116088</v>
      </c>
      <c r="E17" s="521">
        <f>E35</f>
        <v>78.919638502746579</v>
      </c>
      <c r="F17" s="520">
        <f>F35/1000000</f>
        <v>0.17446</v>
      </c>
      <c r="G17" s="520">
        <f>G35/1000000</f>
        <v>0.18537500000000001</v>
      </c>
      <c r="H17" s="521">
        <f>H35</f>
        <v>94.111935266351992</v>
      </c>
      <c r="I17" s="520">
        <f>I35/1000000</f>
        <v>1.414941</v>
      </c>
      <c r="J17" s="520">
        <f>J35/1000000</f>
        <v>2.1488119999999999</v>
      </c>
      <c r="K17" s="521">
        <f>K35</f>
        <v>65.847593926318353</v>
      </c>
      <c r="L17" s="520">
        <f>L35/1000000</f>
        <v>0.75668400000000002</v>
      </c>
      <c r="M17" s="520">
        <f>M35/1000000</f>
        <v>0.98291899999999999</v>
      </c>
      <c r="N17" s="521">
        <f>N35</f>
        <v>76.983352646555829</v>
      </c>
    </row>
    <row r="18" spans="1:14" ht="17.25" x14ac:dyDescent="0.25">
      <c r="A18" s="483" t="s">
        <v>532</v>
      </c>
      <c r="B18" s="535" t="s">
        <v>355</v>
      </c>
      <c r="C18" s="520">
        <f>C55/1000000</f>
        <v>1.9826820000000001</v>
      </c>
      <c r="D18" s="520">
        <f>D55/1000000</f>
        <v>1.8698699999999999</v>
      </c>
      <c r="E18" s="521">
        <f>E55</f>
        <v>106.03314668934205</v>
      </c>
      <c r="F18" s="520">
        <f>F55/1000000</f>
        <v>0.27938800000000003</v>
      </c>
      <c r="G18" s="520">
        <f>G55/1000000</f>
        <v>0.271646</v>
      </c>
      <c r="H18" s="521">
        <f>H55</f>
        <v>102.85003276322861</v>
      </c>
      <c r="I18" s="520">
        <f>I55/1000000</f>
        <v>1.9399500000000001</v>
      </c>
      <c r="J18" s="520">
        <f>J55/1000000</f>
        <v>1.818011</v>
      </c>
      <c r="K18" s="521">
        <f>K55</f>
        <v>106.7072751485002</v>
      </c>
      <c r="L18" s="520">
        <f>L55/1000000</f>
        <v>1.107723</v>
      </c>
      <c r="M18" s="520">
        <f>M55/1000000</f>
        <v>0.97265199999999996</v>
      </c>
      <c r="N18" s="521">
        <f>N55</f>
        <v>113.88687834909095</v>
      </c>
    </row>
    <row r="19" spans="1:14" ht="17.25" x14ac:dyDescent="0.25">
      <c r="A19" s="7" t="s">
        <v>533</v>
      </c>
      <c r="B19" s="535" t="s">
        <v>356</v>
      </c>
      <c r="C19" s="520">
        <f>C69/1000000</f>
        <v>1.2643180000000001</v>
      </c>
      <c r="D19" s="520">
        <f>D69/1000000</f>
        <v>1.5291520000000001</v>
      </c>
      <c r="E19" s="521">
        <f>E69</f>
        <v>82.680989201858296</v>
      </c>
      <c r="F19" s="520">
        <f>F69/1000000</f>
        <v>8.1547999999999995E-2</v>
      </c>
      <c r="G19" s="520">
        <f>G69/1000000</f>
        <v>0.169158</v>
      </c>
      <c r="H19" s="521">
        <f>H69</f>
        <v>48.208184064602321</v>
      </c>
      <c r="I19" s="520">
        <f>I69/1000000</f>
        <v>1.3083020000000001</v>
      </c>
      <c r="J19" s="520">
        <f>J69/1000000</f>
        <v>1.660086</v>
      </c>
      <c r="K19" s="521">
        <f>K69</f>
        <v>78.809290603016962</v>
      </c>
      <c r="L19" s="520">
        <f>L69/1000000</f>
        <v>0.66426700000000005</v>
      </c>
      <c r="M19" s="520">
        <f>M69/1000000</f>
        <v>0.82784800000000003</v>
      </c>
      <c r="N19" s="521">
        <f>N69</f>
        <v>80.240213179230963</v>
      </c>
    </row>
    <row r="20" spans="1:14" ht="17.25" x14ac:dyDescent="0.25">
      <c r="A20" s="483" t="s">
        <v>534</v>
      </c>
      <c r="B20" s="535" t="s">
        <v>357</v>
      </c>
      <c r="C20" s="520">
        <f>C79/1000000</f>
        <v>7.0083460000000004</v>
      </c>
      <c r="D20" s="520">
        <f>D79/1000000</f>
        <v>6.659071</v>
      </c>
      <c r="E20" s="521">
        <f>E79</f>
        <v>105.245101005831</v>
      </c>
      <c r="F20" s="520">
        <f>F79/1000000</f>
        <v>0.64494700000000005</v>
      </c>
      <c r="G20" s="520">
        <f>G79/1000000</f>
        <v>0.74731199999999998</v>
      </c>
      <c r="H20" s="521">
        <f>H79</f>
        <v>86.302240563512967</v>
      </c>
      <c r="I20" s="520">
        <f>I79/1000000</f>
        <v>8.9796420000000001</v>
      </c>
      <c r="J20" s="520">
        <f>J79/1000000</f>
        <v>9.8045179999999998</v>
      </c>
      <c r="K20" s="521">
        <f>K79</f>
        <v>91.58677662685713</v>
      </c>
      <c r="L20" s="520">
        <f>L79/1000000</f>
        <v>3.0467590000000002</v>
      </c>
      <c r="M20" s="520">
        <f>M79/1000000</f>
        <v>3.1538020000000002</v>
      </c>
      <c r="N20" s="521">
        <f>N79</f>
        <v>96.605906141222562</v>
      </c>
    </row>
    <row r="21" spans="1:14" ht="34.5" x14ac:dyDescent="0.25">
      <c r="A21" s="7" t="s">
        <v>535</v>
      </c>
      <c r="B21" s="535" t="s">
        <v>358</v>
      </c>
      <c r="C21" s="521">
        <f>C159/1000000</f>
        <v>250.63006999999999</v>
      </c>
      <c r="D21" s="521">
        <f>D159/1000000</f>
        <v>208.387023</v>
      </c>
      <c r="E21" s="521">
        <f>E159</f>
        <v>120.27143839950149</v>
      </c>
      <c r="F21" s="520">
        <f>F159/1000000</f>
        <v>30.493894999999998</v>
      </c>
      <c r="G21" s="520">
        <f>G159/1000000</f>
        <v>24.053965999999999</v>
      </c>
      <c r="H21" s="521">
        <f>H159</f>
        <v>126.77283654595671</v>
      </c>
      <c r="I21" s="520">
        <f>I159/1000000</f>
        <v>239.671122</v>
      </c>
      <c r="J21" s="520">
        <f>J159/1000000</f>
        <v>194.81436099999999</v>
      </c>
      <c r="K21" s="521">
        <f>K159</f>
        <v>123.02538723005128</v>
      </c>
      <c r="L21" s="520">
        <f>L159/1000000</f>
        <v>110.67723100000001</v>
      </c>
      <c r="M21" s="520">
        <f>M159/1000000</f>
        <v>96.044550999999998</v>
      </c>
      <c r="N21" s="521">
        <f>N159</f>
        <v>115.235304707708</v>
      </c>
    </row>
    <row r="22" spans="1:14" ht="34.5" x14ac:dyDescent="0.25">
      <c r="A22" s="483" t="s">
        <v>536</v>
      </c>
      <c r="B22" s="535" t="s">
        <v>359</v>
      </c>
      <c r="C22" s="520">
        <f>C95/1000000</f>
        <v>4.3987379999999998</v>
      </c>
      <c r="D22" s="520">
        <f>D95/1000000</f>
        <v>2.6802579999999998</v>
      </c>
      <c r="E22" s="521">
        <f>E95</f>
        <v>164.11621567774446</v>
      </c>
      <c r="F22" s="520">
        <f>F95/1000000</f>
        <v>0.49182100000000001</v>
      </c>
      <c r="G22" s="520">
        <f>G95/1000000</f>
        <v>0.31538500000000003</v>
      </c>
      <c r="H22" s="521">
        <f>H95</f>
        <v>155.94305372798325</v>
      </c>
      <c r="I22" s="520">
        <f>I95/1000000</f>
        <v>4.6319739999999996</v>
      </c>
      <c r="J22" s="520">
        <f>J95/1000000</f>
        <v>2.7633290000000001</v>
      </c>
      <c r="K22" s="521">
        <f>K95</f>
        <v>167.6229649093539</v>
      </c>
      <c r="L22" s="520">
        <f>L95/1000000</f>
        <v>1.3154079999999999</v>
      </c>
      <c r="M22" s="520">
        <f>M95/1000000</f>
        <v>1.1629970000000001</v>
      </c>
      <c r="N22" s="521">
        <f>N95</f>
        <v>113.10502090719066</v>
      </c>
    </row>
    <row r="23" spans="1:14" ht="17.25" x14ac:dyDescent="0.25">
      <c r="A23" s="7" t="s">
        <v>537</v>
      </c>
      <c r="B23" s="535" t="s">
        <v>360</v>
      </c>
      <c r="C23" s="520">
        <f>C125/1000000</f>
        <v>0.14637700000000001</v>
      </c>
      <c r="D23" s="520">
        <f>D125/1000000</f>
        <v>0.149281</v>
      </c>
      <c r="E23" s="521">
        <f>E125</f>
        <v>98.054675410802446</v>
      </c>
      <c r="F23" s="520">
        <f>F125/1000000</f>
        <v>1.0305E-2</v>
      </c>
      <c r="G23" s="520">
        <f>G125/1000000</f>
        <v>8.5419999999999992E-3</v>
      </c>
      <c r="H23" s="521">
        <f>H125</f>
        <v>120.63919456801686</v>
      </c>
      <c r="I23" s="520">
        <f>I125/1000000</f>
        <v>0.151557</v>
      </c>
      <c r="J23" s="520">
        <f>J125/1000000</f>
        <v>0.134273</v>
      </c>
      <c r="K23" s="521">
        <f>K125</f>
        <v>112.87228258845785</v>
      </c>
      <c r="L23" s="520">
        <f>L125/1000000</f>
        <v>4.4880000000000003E-2</v>
      </c>
      <c r="M23" s="521">
        <f>M125/1000000</f>
        <v>2.9329000000000001E-2</v>
      </c>
      <c r="N23" s="521">
        <f>N125</f>
        <v>153.02260561219271</v>
      </c>
    </row>
    <row r="24" spans="1:14" ht="35.25" thickBot="1" x14ac:dyDescent="0.3">
      <c r="A24" s="483" t="s">
        <v>538</v>
      </c>
      <c r="B24" s="535" t="s">
        <v>361</v>
      </c>
      <c r="C24" s="520">
        <f>C254/1000000</f>
        <v>1.0388706999999999</v>
      </c>
      <c r="D24" s="520">
        <f>D254/1000000</f>
        <v>1.0684093000000001</v>
      </c>
      <c r="E24" s="521">
        <f>E254</f>
        <v>97.235273036279253</v>
      </c>
      <c r="F24" s="520">
        <f>F254/1000000</f>
        <v>8.6035800000000009E-2</v>
      </c>
      <c r="G24" s="520">
        <f>G254/1000000</f>
        <v>0.13278239999999999</v>
      </c>
      <c r="H24" s="521">
        <f>H254</f>
        <v>64.794581209557904</v>
      </c>
      <c r="I24" s="520">
        <f>I254/1000000</f>
        <v>0.70329010000000003</v>
      </c>
      <c r="J24" s="520">
        <f>J254/1000000</f>
        <v>0.68675299999999995</v>
      </c>
      <c r="K24" s="521">
        <f>K254</f>
        <v>102.40801277897584</v>
      </c>
      <c r="L24" s="520">
        <f>L254/1000000</f>
        <v>1.9650999999999998E-2</v>
      </c>
      <c r="M24" s="540">
        <f>M254/1000000</f>
        <v>4.6299999999999996E-3</v>
      </c>
      <c r="N24" s="521">
        <f>N254</f>
        <v>424.42764578833697</v>
      </c>
    </row>
    <row r="25" spans="1:14" s="556" customFormat="1" ht="18" thickBot="1" x14ac:dyDescent="0.3">
      <c r="A25" s="458">
        <v>2</v>
      </c>
      <c r="B25" s="458" t="s">
        <v>322</v>
      </c>
      <c r="C25" s="526">
        <f>C266/1000000</f>
        <v>207.103422849</v>
      </c>
      <c r="D25" s="526">
        <f>D266/1000000</f>
        <v>169.86140758899998</v>
      </c>
      <c r="E25" s="526">
        <f t="shared" ref="E25" si="4">C25/D25*100</f>
        <v>121.9249420975667</v>
      </c>
      <c r="F25" s="526">
        <f>F266/1000000</f>
        <v>22.778920949</v>
      </c>
      <c r="G25" s="526">
        <f>G266/1000000</f>
        <v>18.854364089000001</v>
      </c>
      <c r="H25" s="526">
        <f t="shared" ref="H25" si="5">F25/G25*100</f>
        <v>120.81511124678907</v>
      </c>
      <c r="I25" s="526">
        <f>I266/1000000</f>
        <v>207.103422849</v>
      </c>
      <c r="J25" s="526">
        <f>J266/1000000</f>
        <v>169.86140758899998</v>
      </c>
      <c r="K25" s="526">
        <f t="shared" ref="K25" si="6">I25/J25*100</f>
        <v>121.9249420975667</v>
      </c>
      <c r="L25" s="526">
        <f>L266/1000000</f>
        <v>15.924809</v>
      </c>
      <c r="M25" s="526">
        <f>M266/1000000</f>
        <v>15.087907</v>
      </c>
      <c r="N25" s="526">
        <f t="shared" ref="N25" si="7">L25/M25*100</f>
        <v>105.54683959809668</v>
      </c>
    </row>
    <row r="26" spans="1:14" s="556" customFormat="1" ht="18" thickBot="1" x14ac:dyDescent="0.3">
      <c r="A26" s="458">
        <v>3</v>
      </c>
      <c r="B26" s="462" t="s">
        <v>321</v>
      </c>
      <c r="C26" s="558">
        <f>C286/1000000</f>
        <v>1.954836</v>
      </c>
      <c r="D26" s="558">
        <f>D286/1000000</f>
        <v>1.9356599999999999</v>
      </c>
      <c r="E26" s="529">
        <f>C26/D26*100</f>
        <v>100.99066984904374</v>
      </c>
      <c r="F26" s="559">
        <f>F286/1000000</f>
        <v>0.158386</v>
      </c>
      <c r="G26" s="559">
        <f>G286/1000000</f>
        <v>0.17104800000000001</v>
      </c>
      <c r="H26" s="529">
        <f>F26/G26*100</f>
        <v>92.597399560357317</v>
      </c>
      <c r="I26" s="558">
        <f>I286/1000000</f>
        <v>1.954836</v>
      </c>
      <c r="J26" s="558">
        <f>J286/1000000</f>
        <v>1.9356599999999999</v>
      </c>
      <c r="K26" s="529">
        <f>I26/J26*100</f>
        <v>100.99066984904374</v>
      </c>
      <c r="L26" s="558">
        <f>L286/1000000</f>
        <v>0.32941100000000001</v>
      </c>
      <c r="M26" s="558">
        <f>M286/1000000</f>
        <v>0.38746999999999998</v>
      </c>
      <c r="N26" s="529">
        <f>L26/M26*100</f>
        <v>85.015872196557169</v>
      </c>
    </row>
    <row r="27" spans="1:14" ht="18" thickBot="1" x14ac:dyDescent="0.3">
      <c r="A27" s="460">
        <v>4</v>
      </c>
      <c r="B27" s="461" t="s">
        <v>517</v>
      </c>
      <c r="C27" s="477">
        <f>C294/1000000</f>
        <v>0</v>
      </c>
      <c r="D27" s="477">
        <f>D294/1000000</f>
        <v>0</v>
      </c>
      <c r="E27" s="533" t="e">
        <f>C27/D27*100</f>
        <v>#DIV/0!</v>
      </c>
      <c r="F27" s="477">
        <f>F294/1000000</f>
        <v>0</v>
      </c>
      <c r="G27" s="477">
        <f>G294/1000000</f>
        <v>0</v>
      </c>
      <c r="H27" s="533" t="e">
        <f>F27/G27*100</f>
        <v>#DIV/0!</v>
      </c>
      <c r="I27" s="477">
        <f>I294/1000000</f>
        <v>0</v>
      </c>
      <c r="J27" s="477">
        <f>J294/1000000</f>
        <v>0</v>
      </c>
      <c r="K27" s="533" t="e">
        <f>I27/J27*100</f>
        <v>#DIV/0!</v>
      </c>
      <c r="L27" s="459">
        <f>L294</f>
        <v>0</v>
      </c>
      <c r="M27" s="459">
        <f>M294</f>
        <v>0</v>
      </c>
      <c r="N27" s="410">
        <v>0</v>
      </c>
    </row>
    <row r="28" spans="1:14" ht="228" customHeight="1" x14ac:dyDescent="0.25"/>
    <row r="29" spans="1:14" x14ac:dyDescent="0.25">
      <c r="A29" s="941" t="s">
        <v>808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</row>
    <row r="30" spans="1:14" s="560" customFormat="1" ht="20.25" customHeight="1" thickBot="1" x14ac:dyDescent="0.3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4"/>
    </row>
    <row r="32" spans="1:14" ht="63" customHeight="1" thickBot="1" x14ac:dyDescent="0.3">
      <c r="A32" s="1038"/>
      <c r="B32" s="1039"/>
      <c r="C32" s="600" t="s">
        <v>801</v>
      </c>
      <c r="D32" s="600" t="s">
        <v>802</v>
      </c>
      <c r="E32" s="600" t="s">
        <v>323</v>
      </c>
      <c r="F32" s="600" t="s">
        <v>803</v>
      </c>
      <c r="G32" s="600" t="s">
        <v>807</v>
      </c>
      <c r="H32" s="600" t="s">
        <v>323</v>
      </c>
      <c r="I32" s="600" t="s">
        <v>801</v>
      </c>
      <c r="J32" s="600" t="s">
        <v>802</v>
      </c>
      <c r="K32" s="600" t="s">
        <v>323</v>
      </c>
      <c r="L32" s="600" t="s">
        <v>801</v>
      </c>
      <c r="M32" s="600" t="s">
        <v>802</v>
      </c>
      <c r="N32" s="600" t="s">
        <v>323</v>
      </c>
    </row>
    <row r="33" spans="1:16" ht="15.75" customHeight="1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</row>
    <row r="34" spans="1:16" ht="15" customHeight="1" x14ac:dyDescent="0.25">
      <c r="A34" s="1043" t="s">
        <v>741</v>
      </c>
      <c r="B34" s="1044" t="s">
        <v>78</v>
      </c>
      <c r="C34" s="464">
        <f>C35+C55+C69</f>
        <v>4917009</v>
      </c>
      <c r="D34" s="464">
        <f>D35+D55+D69</f>
        <v>5515110</v>
      </c>
      <c r="E34" s="465">
        <f>C34/D34*100</f>
        <v>89.155229904752574</v>
      </c>
      <c r="F34" s="464">
        <f>F35+F55+F69</f>
        <v>535396</v>
      </c>
      <c r="G34" s="464">
        <f>G35+G55+G69</f>
        <v>626179</v>
      </c>
      <c r="H34" s="465">
        <f>F34/G34*100</f>
        <v>85.502068897232263</v>
      </c>
      <c r="I34" s="464">
        <f>I35+I55+I69</f>
        <v>4663193</v>
      </c>
      <c r="J34" s="464">
        <f>J35+J55+J69</f>
        <v>5626909</v>
      </c>
      <c r="K34" s="465">
        <f>I34/J34*100</f>
        <v>82.873083605937111</v>
      </c>
      <c r="L34" s="464">
        <f>L35+L55+L69</f>
        <v>2528674</v>
      </c>
      <c r="M34" s="464">
        <f>M35+M55+M69</f>
        <v>2783419</v>
      </c>
      <c r="N34" s="465">
        <f>L34/M34*100</f>
        <v>90.847766721431441</v>
      </c>
    </row>
    <row r="35" spans="1:16" ht="17.25" x14ac:dyDescent="0.25">
      <c r="A35" s="1033" t="s">
        <v>740</v>
      </c>
      <c r="B35" s="1034"/>
      <c r="C35" s="254">
        <f>SUM(C36:C53)</f>
        <v>1670009</v>
      </c>
      <c r="D35" s="254">
        <f>SUM(D36:D53)</f>
        <v>2116088</v>
      </c>
      <c r="E35" s="452">
        <f>C35/D35*100</f>
        <v>78.919638502746579</v>
      </c>
      <c r="F35" s="254">
        <f>SUM(F36:F53)</f>
        <v>174460</v>
      </c>
      <c r="G35" s="254">
        <f>SUM(G36:G53)</f>
        <v>185375</v>
      </c>
      <c r="H35" s="254">
        <f>F35/G35*100</f>
        <v>94.111935266351992</v>
      </c>
      <c r="I35" s="254">
        <f>SUM(I36:I53)</f>
        <v>1414941</v>
      </c>
      <c r="J35" s="254">
        <f>SUM(J36:J53)</f>
        <v>2148812</v>
      </c>
      <c r="K35" s="254">
        <f>I35/J35*100</f>
        <v>65.847593926318353</v>
      </c>
      <c r="L35" s="254">
        <f>SUM(L36:L53)</f>
        <v>756684</v>
      </c>
      <c r="M35" s="254">
        <f>SUM(M36:M53)</f>
        <v>982919</v>
      </c>
      <c r="N35" s="254">
        <f>L35/M35*100</f>
        <v>76.983352646555829</v>
      </c>
    </row>
    <row r="36" spans="1:16" ht="17.25" x14ac:dyDescent="0.25">
      <c r="A36" s="253">
        <v>1</v>
      </c>
      <c r="B36" s="544" t="s">
        <v>577</v>
      </c>
      <c r="C36" s="247">
        <v>83212</v>
      </c>
      <c r="D36" s="247">
        <v>110954</v>
      </c>
      <c r="E36" s="425">
        <f>C36/D36*100</f>
        <v>74.996845539592982</v>
      </c>
      <c r="F36" s="247">
        <v>8558</v>
      </c>
      <c r="G36" s="247">
        <v>9008</v>
      </c>
      <c r="H36" s="425">
        <f>F36/G36*100</f>
        <v>95.004440497335708</v>
      </c>
      <c r="I36" s="247">
        <v>71213</v>
      </c>
      <c r="J36" s="247">
        <v>105954</v>
      </c>
      <c r="K36" s="425">
        <f>I36/J36*100</f>
        <v>67.211242614719595</v>
      </c>
      <c r="L36" s="247">
        <v>825</v>
      </c>
      <c r="M36" s="247">
        <v>1672</v>
      </c>
      <c r="N36" s="425">
        <f>L36/M36*100</f>
        <v>49.34210526315789</v>
      </c>
      <c r="O36" s="126">
        <v>70</v>
      </c>
      <c r="P36" s="126">
        <v>118</v>
      </c>
    </row>
    <row r="37" spans="1:16" s="806" customFormat="1" ht="34.5" x14ac:dyDescent="0.25">
      <c r="A37" s="793">
        <v>2</v>
      </c>
      <c r="B37" s="665" t="s">
        <v>578</v>
      </c>
      <c r="C37" s="666">
        <v>248882</v>
      </c>
      <c r="D37" s="666">
        <v>299448</v>
      </c>
      <c r="E37" s="667">
        <f t="shared" ref="E37:E53" si="8">C37/D37*100</f>
        <v>83.113595682722874</v>
      </c>
      <c r="F37" s="666">
        <v>14167</v>
      </c>
      <c r="G37" s="666">
        <v>17112</v>
      </c>
      <c r="H37" s="667">
        <f t="shared" ref="H37:H53" si="9">F37/G37*100</f>
        <v>82.789855072463766</v>
      </c>
      <c r="I37" s="666">
        <v>24882</v>
      </c>
      <c r="J37" s="666">
        <v>299448</v>
      </c>
      <c r="K37" s="667">
        <f t="shared" ref="K37:K53" si="10">I37/J37*100</f>
        <v>8.3092890919291484</v>
      </c>
      <c r="L37" s="666">
        <v>67466</v>
      </c>
      <c r="M37" s="666">
        <v>170885</v>
      </c>
      <c r="N37" s="667">
        <f t="shared" ref="N37:N53" si="11">L37/M37*100</f>
        <v>39.480352283699567</v>
      </c>
      <c r="O37" s="806">
        <v>74</v>
      </c>
      <c r="P37" s="806">
        <v>211</v>
      </c>
    </row>
    <row r="38" spans="1:16" ht="17.25" x14ac:dyDescent="0.25">
      <c r="A38" s="253">
        <v>3</v>
      </c>
      <c r="B38" s="544" t="s">
        <v>579</v>
      </c>
      <c r="C38" s="247">
        <v>49430</v>
      </c>
      <c r="D38" s="247">
        <v>62697</v>
      </c>
      <c r="E38" s="425">
        <f t="shared" si="8"/>
        <v>78.839497902610972</v>
      </c>
      <c r="F38" s="247">
        <v>0</v>
      </c>
      <c r="G38" s="247">
        <v>1474</v>
      </c>
      <c r="H38" s="425">
        <f t="shared" si="9"/>
        <v>0</v>
      </c>
      <c r="I38" s="247">
        <v>44365</v>
      </c>
      <c r="J38" s="247">
        <v>100300</v>
      </c>
      <c r="K38" s="425">
        <f t="shared" si="10"/>
        <v>44.232303090727818</v>
      </c>
      <c r="L38" s="247"/>
      <c r="M38" s="247"/>
      <c r="N38" s="425" t="e">
        <f t="shared" si="11"/>
        <v>#DIV/0!</v>
      </c>
      <c r="O38" s="126">
        <v>15</v>
      </c>
      <c r="P38" s="126">
        <v>90</v>
      </c>
    </row>
    <row r="39" spans="1:16" ht="51.75" x14ac:dyDescent="0.25">
      <c r="A39" s="253">
        <v>4</v>
      </c>
      <c r="B39" s="544" t="s">
        <v>580</v>
      </c>
      <c r="C39" s="247">
        <v>27480</v>
      </c>
      <c r="D39" s="247">
        <v>24230</v>
      </c>
      <c r="E39" s="425">
        <f t="shared" si="8"/>
        <v>113.41312422616592</v>
      </c>
      <c r="F39" s="247">
        <v>2720</v>
      </c>
      <c r="G39" s="247">
        <v>2400</v>
      </c>
      <c r="H39" s="425">
        <f t="shared" si="9"/>
        <v>113.33333333333333</v>
      </c>
      <c r="I39" s="247">
        <v>24231</v>
      </c>
      <c r="J39" s="247">
        <v>23697</v>
      </c>
      <c r="K39" s="425">
        <f t="shared" si="10"/>
        <v>102.25344980377263</v>
      </c>
      <c r="L39" s="247">
        <v>24231</v>
      </c>
      <c r="M39" s="247">
        <v>23697</v>
      </c>
      <c r="N39" s="425">
        <f t="shared" si="11"/>
        <v>102.25344980377263</v>
      </c>
      <c r="O39" s="126">
        <v>15</v>
      </c>
      <c r="P39" s="126">
        <v>60</v>
      </c>
    </row>
    <row r="40" spans="1:16" ht="34.5" x14ac:dyDescent="0.25">
      <c r="A40" s="253">
        <v>5</v>
      </c>
      <c r="B40" s="544" t="s">
        <v>581</v>
      </c>
      <c r="C40" s="247"/>
      <c r="D40" s="247"/>
      <c r="E40" s="425" t="e">
        <f t="shared" si="8"/>
        <v>#DIV/0!</v>
      </c>
      <c r="F40" s="247"/>
      <c r="G40" s="247"/>
      <c r="H40" s="425" t="e">
        <f t="shared" si="9"/>
        <v>#DIV/0!</v>
      </c>
      <c r="I40" s="247"/>
      <c r="J40" s="247"/>
      <c r="K40" s="425" t="e">
        <f t="shared" si="10"/>
        <v>#DIV/0!</v>
      </c>
      <c r="L40" s="247"/>
      <c r="M40" s="247"/>
      <c r="N40" s="425" t="e">
        <f t="shared" si="11"/>
        <v>#DIV/0!</v>
      </c>
      <c r="O40" s="126">
        <v>51</v>
      </c>
      <c r="P40" s="126">
        <v>65</v>
      </c>
    </row>
    <row r="41" spans="1:16" ht="17.25" x14ac:dyDescent="0.25">
      <c r="A41" s="253">
        <v>6</v>
      </c>
      <c r="B41" s="544" t="s">
        <v>582</v>
      </c>
      <c r="C41" s="247">
        <v>127816</v>
      </c>
      <c r="D41" s="247">
        <v>127898</v>
      </c>
      <c r="E41" s="425">
        <f t="shared" si="8"/>
        <v>99.935886409482549</v>
      </c>
      <c r="F41" s="247">
        <v>14090</v>
      </c>
      <c r="G41" s="247">
        <v>8884</v>
      </c>
      <c r="H41" s="425">
        <f t="shared" si="9"/>
        <v>158.59972985141829</v>
      </c>
      <c r="I41" s="247">
        <v>126890</v>
      </c>
      <c r="J41" s="247">
        <v>121174</v>
      </c>
      <c r="K41" s="425">
        <f t="shared" si="10"/>
        <v>104.71718355422782</v>
      </c>
      <c r="L41" s="247">
        <v>17727</v>
      </c>
      <c r="M41" s="247">
        <v>0</v>
      </c>
      <c r="N41" s="425" t="e">
        <f t="shared" si="11"/>
        <v>#DIV/0!</v>
      </c>
      <c r="O41" s="126">
        <v>64</v>
      </c>
      <c r="P41" s="126">
        <v>85</v>
      </c>
    </row>
    <row r="42" spans="1:16" ht="34.5" x14ac:dyDescent="0.25">
      <c r="A42" s="253">
        <v>7</v>
      </c>
      <c r="B42" s="544" t="s">
        <v>583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0</v>
      </c>
      <c r="J42" s="247">
        <v>0</v>
      </c>
      <c r="K42" s="425" t="e">
        <f t="shared" si="10"/>
        <v>#DIV/0!</v>
      </c>
      <c r="L42" s="247">
        <v>0</v>
      </c>
      <c r="M42" s="247">
        <v>0</v>
      </c>
      <c r="N42" s="425" t="e">
        <f t="shared" si="11"/>
        <v>#DIV/0!</v>
      </c>
      <c r="O42" s="126">
        <v>0</v>
      </c>
      <c r="P42" s="126">
        <v>0</v>
      </c>
    </row>
    <row r="43" spans="1:16" ht="51.75" x14ac:dyDescent="0.25">
      <c r="A43" s="253">
        <v>8</v>
      </c>
      <c r="B43" s="544" t="s">
        <v>584</v>
      </c>
      <c r="C43" s="247">
        <v>90953</v>
      </c>
      <c r="D43" s="247">
        <v>126913</v>
      </c>
      <c r="E43" s="425">
        <f t="shared" si="8"/>
        <v>71.665629210561562</v>
      </c>
      <c r="F43" s="247">
        <v>4012</v>
      </c>
      <c r="G43" s="247">
        <v>17653</v>
      </c>
      <c r="H43" s="425">
        <f t="shared" si="9"/>
        <v>22.727015238203137</v>
      </c>
      <c r="I43" s="247">
        <v>91189</v>
      </c>
      <c r="J43" s="247">
        <v>126913</v>
      </c>
      <c r="K43" s="425">
        <f t="shared" si="10"/>
        <v>71.851583368134072</v>
      </c>
      <c r="L43" s="247"/>
      <c r="M43" s="247"/>
      <c r="N43" s="425" t="e">
        <f t="shared" si="11"/>
        <v>#DIV/0!</v>
      </c>
      <c r="O43" s="126">
        <v>36</v>
      </c>
      <c r="P43" s="126">
        <v>97</v>
      </c>
    </row>
    <row r="44" spans="1:16" ht="17.25" x14ac:dyDescent="0.25">
      <c r="A44" s="253">
        <v>9</v>
      </c>
      <c r="B44" s="544" t="s">
        <v>585</v>
      </c>
      <c r="C44" s="247">
        <v>123514</v>
      </c>
      <c r="D44" s="247">
        <v>270594</v>
      </c>
      <c r="E44" s="425">
        <f t="shared" si="8"/>
        <v>45.645505813137021</v>
      </c>
      <c r="F44" s="247">
        <v>13620</v>
      </c>
      <c r="G44" s="247">
        <v>28549</v>
      </c>
      <c r="H44" s="425">
        <f t="shared" si="9"/>
        <v>47.707450348523587</v>
      </c>
      <c r="I44" s="247">
        <v>124572</v>
      </c>
      <c r="J44" s="247">
        <v>251157</v>
      </c>
      <c r="K44" s="425">
        <f t="shared" si="10"/>
        <v>49.599254649482191</v>
      </c>
      <c r="L44" s="247"/>
      <c r="M44" s="247"/>
      <c r="N44" s="425" t="e">
        <f t="shared" si="11"/>
        <v>#DIV/0!</v>
      </c>
      <c r="O44" s="126">
        <v>50</v>
      </c>
      <c r="P44" s="126">
        <v>135</v>
      </c>
    </row>
    <row r="45" spans="1:16" ht="17.25" x14ac:dyDescent="0.25">
      <c r="A45" s="253">
        <v>10</v>
      </c>
      <c r="B45" s="544" t="s">
        <v>381</v>
      </c>
      <c r="C45" s="247">
        <v>636538</v>
      </c>
      <c r="D45" s="247">
        <v>695893</v>
      </c>
      <c r="E45" s="425">
        <f t="shared" si="8"/>
        <v>91.470671496911166</v>
      </c>
      <c r="F45" s="247">
        <v>87151</v>
      </c>
      <c r="G45" s="247">
        <v>80811</v>
      </c>
      <c r="H45" s="425">
        <f t="shared" si="9"/>
        <v>107.84546658251971</v>
      </c>
      <c r="I45" s="247">
        <v>632695</v>
      </c>
      <c r="J45" s="247">
        <v>715756</v>
      </c>
      <c r="K45" s="425">
        <f t="shared" si="10"/>
        <v>88.395347017698768</v>
      </c>
      <c r="L45" s="247">
        <v>630766</v>
      </c>
      <c r="M45" s="247">
        <v>715658</v>
      </c>
      <c r="N45" s="425">
        <f t="shared" si="11"/>
        <v>88.137909448367793</v>
      </c>
      <c r="O45" s="126">
        <v>202</v>
      </c>
      <c r="P45" s="126">
        <v>84</v>
      </c>
    </row>
    <row r="46" spans="1:16" ht="34.5" x14ac:dyDescent="0.25">
      <c r="A46" s="253">
        <v>11</v>
      </c>
      <c r="B46" s="544" t="s">
        <v>586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>F46/G46*100</f>
        <v>#DIV/0!</v>
      </c>
      <c r="I46" s="247">
        <v>0</v>
      </c>
      <c r="J46" s="247">
        <v>0</v>
      </c>
      <c r="K46" s="425" t="e">
        <f t="shared" si="10"/>
        <v>#DIV/0!</v>
      </c>
      <c r="L46" s="247">
        <v>0</v>
      </c>
      <c r="M46" s="247">
        <v>0</v>
      </c>
      <c r="N46" s="425" t="e">
        <f t="shared" si="11"/>
        <v>#DIV/0!</v>
      </c>
      <c r="O46" s="126">
        <v>0</v>
      </c>
      <c r="P46" s="126">
        <v>0</v>
      </c>
    </row>
    <row r="47" spans="1:16" ht="17.25" x14ac:dyDescent="0.25">
      <c r="A47" s="253">
        <v>12</v>
      </c>
      <c r="B47" s="544" t="s">
        <v>587</v>
      </c>
      <c r="C47" s="247">
        <v>42017</v>
      </c>
      <c r="D47" s="247">
        <v>67762</v>
      </c>
      <c r="E47" s="425">
        <f t="shared" si="8"/>
        <v>62.006729435376762</v>
      </c>
      <c r="F47" s="247">
        <v>6026</v>
      </c>
      <c r="G47" s="247">
        <v>210</v>
      </c>
      <c r="H47" s="425">
        <f>F47/G47*100</f>
        <v>2869.5238095238096</v>
      </c>
      <c r="I47" s="247">
        <v>35991</v>
      </c>
      <c r="J47" s="247">
        <v>78500</v>
      </c>
      <c r="K47" s="425">
        <f t="shared" si="10"/>
        <v>45.8484076433121</v>
      </c>
      <c r="L47" s="247">
        <v>14908</v>
      </c>
      <c r="M47" s="247">
        <v>69431</v>
      </c>
      <c r="N47" s="425">
        <f t="shared" si="11"/>
        <v>21.471676916651063</v>
      </c>
      <c r="O47" s="126">
        <v>16</v>
      </c>
      <c r="P47" s="126">
        <v>121</v>
      </c>
    </row>
    <row r="48" spans="1:16" ht="34.5" x14ac:dyDescent="0.25">
      <c r="A48" s="253">
        <v>13</v>
      </c>
      <c r="B48" s="544" t="s">
        <v>588</v>
      </c>
      <c r="C48" s="247">
        <v>207020</v>
      </c>
      <c r="D48" s="247">
        <v>292887</v>
      </c>
      <c r="E48" s="425">
        <f t="shared" si="8"/>
        <v>70.682549925397851</v>
      </c>
      <c r="F48" s="247">
        <v>22281</v>
      </c>
      <c r="G48" s="247">
        <v>17151</v>
      </c>
      <c r="H48" s="425">
        <f>F48/G48*100</f>
        <v>129.91079237362254</v>
      </c>
      <c r="I48" s="247">
        <v>208153</v>
      </c>
      <c r="J48" s="247">
        <v>290150</v>
      </c>
      <c r="K48" s="425">
        <f t="shared" si="10"/>
        <v>71.739789763915212</v>
      </c>
      <c r="L48" s="247"/>
      <c r="M48" s="247"/>
      <c r="N48" s="425" t="e">
        <f t="shared" si="11"/>
        <v>#DIV/0!</v>
      </c>
      <c r="O48" s="126">
        <v>44</v>
      </c>
      <c r="P48" s="126">
        <v>136</v>
      </c>
    </row>
    <row r="49" spans="1:16" ht="17.25" x14ac:dyDescent="0.25">
      <c r="A49" s="253">
        <v>14</v>
      </c>
      <c r="B49" s="544" t="s">
        <v>589</v>
      </c>
      <c r="C49" s="247">
        <v>18032</v>
      </c>
      <c r="D49" s="247">
        <v>19391</v>
      </c>
      <c r="E49" s="425">
        <f t="shared" si="8"/>
        <v>92.991594038471462</v>
      </c>
      <c r="F49" s="247">
        <v>1015</v>
      </c>
      <c r="G49" s="247">
        <v>2123</v>
      </c>
      <c r="H49" s="425">
        <f t="shared" si="9"/>
        <v>47.809703250117757</v>
      </c>
      <c r="I49" s="247">
        <v>15645</v>
      </c>
      <c r="J49" s="247">
        <v>18342</v>
      </c>
      <c r="K49" s="425">
        <f t="shared" si="10"/>
        <v>85.296041871115463</v>
      </c>
      <c r="L49" s="247">
        <v>761</v>
      </c>
      <c r="M49" s="247">
        <v>1576</v>
      </c>
      <c r="N49" s="425">
        <f t="shared" si="11"/>
        <v>48.286802030456855</v>
      </c>
      <c r="O49" s="126">
        <v>14</v>
      </c>
      <c r="P49" s="126">
        <v>80</v>
      </c>
    </row>
    <row r="50" spans="1:16" ht="34.5" x14ac:dyDescent="0.25">
      <c r="A50" s="253">
        <v>15</v>
      </c>
      <c r="B50" s="544" t="s">
        <v>760</v>
      </c>
      <c r="C50" s="247">
        <v>0</v>
      </c>
      <c r="D50" s="247">
        <v>0</v>
      </c>
      <c r="E50" s="425" t="e">
        <f t="shared" si="8"/>
        <v>#DIV/0!</v>
      </c>
      <c r="F50" s="247">
        <v>0</v>
      </c>
      <c r="G50" s="247">
        <v>0</v>
      </c>
      <c r="H50" s="425" t="e">
        <f t="shared" si="9"/>
        <v>#DIV/0!</v>
      </c>
      <c r="I50" s="247">
        <v>0</v>
      </c>
      <c r="J50" s="247">
        <v>0</v>
      </c>
      <c r="K50" s="425" t="e">
        <f t="shared" si="10"/>
        <v>#DIV/0!</v>
      </c>
      <c r="L50" s="247">
        <v>0</v>
      </c>
      <c r="M50" s="247">
        <v>0</v>
      </c>
      <c r="N50" s="425" t="e">
        <f t="shared" si="11"/>
        <v>#DIV/0!</v>
      </c>
      <c r="O50" s="126">
        <v>0</v>
      </c>
      <c r="P50" s="126">
        <v>0</v>
      </c>
    </row>
    <row r="51" spans="1:16" ht="17.25" x14ac:dyDescent="0.25">
      <c r="A51" s="253">
        <v>16</v>
      </c>
      <c r="B51" s="544" t="s">
        <v>591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17</v>
      </c>
      <c r="B52" s="544" t="s">
        <v>761</v>
      </c>
      <c r="C52" s="247">
        <v>15115</v>
      </c>
      <c r="D52" s="247">
        <v>17421</v>
      </c>
      <c r="E52" s="425">
        <f t="shared" si="8"/>
        <v>86.763102003329323</v>
      </c>
      <c r="F52" s="247">
        <v>820</v>
      </c>
      <c r="G52" s="247">
        <v>0</v>
      </c>
      <c r="H52" s="425" t="e">
        <f t="shared" si="9"/>
        <v>#DIV/0!</v>
      </c>
      <c r="I52" s="247">
        <v>15115</v>
      </c>
      <c r="J52" s="247">
        <v>17421</v>
      </c>
      <c r="K52" s="425">
        <f t="shared" si="10"/>
        <v>86.763102003329323</v>
      </c>
      <c r="L52" s="247"/>
      <c r="M52" s="247"/>
      <c r="N52" s="425" t="e">
        <f t="shared" si="11"/>
        <v>#DIV/0!</v>
      </c>
      <c r="O52" s="126">
        <v>4</v>
      </c>
      <c r="P52" s="126">
        <v>66</v>
      </c>
    </row>
    <row r="53" spans="1:16" s="668" customFormat="1" ht="17.25" x14ac:dyDescent="0.25">
      <c r="A53" s="664">
        <v>18</v>
      </c>
      <c r="B53" s="665" t="s">
        <v>593</v>
      </c>
      <c r="C53" s="666">
        <v>0</v>
      </c>
      <c r="D53" s="666">
        <v>0</v>
      </c>
      <c r="E53" s="667" t="e">
        <f t="shared" si="8"/>
        <v>#DIV/0!</v>
      </c>
      <c r="F53" s="666">
        <v>0</v>
      </c>
      <c r="G53" s="666">
        <v>0</v>
      </c>
      <c r="H53" s="667" t="e">
        <f t="shared" si="9"/>
        <v>#DIV/0!</v>
      </c>
      <c r="I53" s="666">
        <v>0</v>
      </c>
      <c r="J53" s="666">
        <v>0</v>
      </c>
      <c r="K53" s="667" t="e">
        <f t="shared" si="10"/>
        <v>#DIV/0!</v>
      </c>
      <c r="L53" s="666">
        <v>0</v>
      </c>
      <c r="M53" s="666">
        <v>0</v>
      </c>
      <c r="N53" s="667" t="e">
        <f t="shared" si="11"/>
        <v>#DIV/0!</v>
      </c>
      <c r="P53" s="668">
        <v>87</v>
      </c>
    </row>
    <row r="54" spans="1:16" s="561" customFormat="1" x14ac:dyDescent="0.25"/>
    <row r="55" spans="1:16" ht="17.25" x14ac:dyDescent="0.25">
      <c r="A55" s="1033" t="s">
        <v>739</v>
      </c>
      <c r="B55" s="1034"/>
      <c r="C55" s="450">
        <f>SUM(C56:C67)</f>
        <v>1982682</v>
      </c>
      <c r="D55" s="450">
        <f>SUM(D56:D67)</f>
        <v>1869870</v>
      </c>
      <c r="E55" s="453">
        <f>C55/D55*100</f>
        <v>106.03314668934205</v>
      </c>
      <c r="F55" s="450">
        <f>SUM(F56:F67)</f>
        <v>279388</v>
      </c>
      <c r="G55" s="450">
        <f>SUM(G56:G67)</f>
        <v>271646</v>
      </c>
      <c r="H55" s="453">
        <f>F55/G55*100</f>
        <v>102.85003276322861</v>
      </c>
      <c r="I55" s="450">
        <f>SUM(I56:I67)</f>
        <v>1939950</v>
      </c>
      <c r="J55" s="450">
        <f>SUM(J56:J67)</f>
        <v>1818011</v>
      </c>
      <c r="K55" s="453">
        <f>I55/J55*100</f>
        <v>106.7072751485002</v>
      </c>
      <c r="L55" s="450">
        <f>SUM(L56:L67)</f>
        <v>1107723</v>
      </c>
      <c r="M55" s="450">
        <f>SUM(M56:M67)</f>
        <v>972652</v>
      </c>
      <c r="N55" s="453">
        <f>L55/M55*100</f>
        <v>113.88687834909095</v>
      </c>
    </row>
    <row r="56" spans="1:16" ht="17.25" x14ac:dyDescent="0.25">
      <c r="A56" s="253">
        <v>1</v>
      </c>
      <c r="B56" s="544" t="s">
        <v>594</v>
      </c>
      <c r="C56" s="247">
        <v>342170</v>
      </c>
      <c r="D56" s="247">
        <v>453600</v>
      </c>
      <c r="E56" s="425">
        <f t="shared" ref="E56:E64" si="12">C56/D56*100</f>
        <v>75.434303350970026</v>
      </c>
      <c r="F56" s="247">
        <v>46970</v>
      </c>
      <c r="G56" s="247">
        <v>31547</v>
      </c>
      <c r="H56" s="425">
        <f t="shared" ref="H56:H67" si="13">F56/G56*100</f>
        <v>148.88895933052271</v>
      </c>
      <c r="I56" s="247">
        <v>334270</v>
      </c>
      <c r="J56" s="247">
        <v>443399</v>
      </c>
      <c r="K56" s="425">
        <f t="shared" ref="K56:K67" si="14">I56/J56*100</f>
        <v>75.38808161497883</v>
      </c>
      <c r="L56" s="247">
        <v>334270</v>
      </c>
      <c r="M56" s="247">
        <v>443399</v>
      </c>
      <c r="N56" s="247">
        <f t="shared" ref="N56:N67" si="15">L56/M56*100</f>
        <v>75.38808161497883</v>
      </c>
      <c r="O56" s="126">
        <v>133</v>
      </c>
      <c r="P56" s="126">
        <v>94</v>
      </c>
    </row>
    <row r="57" spans="1:16" ht="17.25" x14ac:dyDescent="0.25">
      <c r="A57" s="253">
        <v>2</v>
      </c>
      <c r="B57" s="544" t="s">
        <v>595</v>
      </c>
      <c r="C57" s="247">
        <v>72181</v>
      </c>
      <c r="D57" s="247">
        <v>104087</v>
      </c>
      <c r="E57" s="425">
        <f t="shared" si="12"/>
        <v>69.346796429909602</v>
      </c>
      <c r="F57" s="247">
        <v>3996</v>
      </c>
      <c r="G57" s="247">
        <v>27286</v>
      </c>
      <c r="H57" s="425">
        <f t="shared" si="13"/>
        <v>14.644872828556768</v>
      </c>
      <c r="I57" s="247">
        <v>69029</v>
      </c>
      <c r="J57" s="247">
        <v>77700</v>
      </c>
      <c r="K57" s="425">
        <f t="shared" si="14"/>
        <v>88.840411840411832</v>
      </c>
      <c r="L57" s="247"/>
      <c r="M57" s="247"/>
      <c r="N57" s="247" t="e">
        <f t="shared" si="15"/>
        <v>#DIV/0!</v>
      </c>
      <c r="O57" s="126">
        <v>95</v>
      </c>
      <c r="P57" s="126">
        <v>105</v>
      </c>
    </row>
    <row r="58" spans="1:16" ht="17.25" x14ac:dyDescent="0.25">
      <c r="A58" s="253">
        <v>3</v>
      </c>
      <c r="B58" s="544" t="s">
        <v>596</v>
      </c>
      <c r="C58" s="247">
        <v>210805</v>
      </c>
      <c r="D58" s="247">
        <v>306839</v>
      </c>
      <c r="E58" s="425">
        <f t="shared" si="12"/>
        <v>68.702153246490823</v>
      </c>
      <c r="F58" s="247">
        <v>13440</v>
      </c>
      <c r="G58" s="247">
        <v>19876</v>
      </c>
      <c r="H58" s="425">
        <f t="shared" si="13"/>
        <v>67.619239283558059</v>
      </c>
      <c r="I58" s="247">
        <v>210805</v>
      </c>
      <c r="J58" s="247">
        <v>306839</v>
      </c>
      <c r="K58" s="425">
        <f t="shared" si="14"/>
        <v>68.702153246490823</v>
      </c>
      <c r="L58" s="247"/>
      <c r="M58" s="247"/>
      <c r="N58" s="247" t="e">
        <f t="shared" si="15"/>
        <v>#DIV/0!</v>
      </c>
      <c r="O58" s="126">
        <v>93</v>
      </c>
      <c r="P58" s="126">
        <v>121</v>
      </c>
    </row>
    <row r="59" spans="1:16" ht="17.25" x14ac:dyDescent="0.25">
      <c r="A59" s="253">
        <v>4</v>
      </c>
      <c r="B59" s="544" t="s">
        <v>597</v>
      </c>
      <c r="C59" s="247">
        <v>356761</v>
      </c>
      <c r="D59" s="247">
        <v>327377</v>
      </c>
      <c r="E59" s="425">
        <f t="shared" si="12"/>
        <v>108.97558472342284</v>
      </c>
      <c r="F59" s="247">
        <v>44785</v>
      </c>
      <c r="G59" s="247">
        <v>42628</v>
      </c>
      <c r="H59" s="425">
        <f t="shared" si="13"/>
        <v>105.06005442432205</v>
      </c>
      <c r="I59" s="247">
        <v>355757</v>
      </c>
      <c r="J59" s="247">
        <v>328191</v>
      </c>
      <c r="K59" s="425">
        <f t="shared" si="14"/>
        <v>108.39937719194006</v>
      </c>
      <c r="L59" s="247">
        <v>135759</v>
      </c>
      <c r="M59" s="247">
        <v>115955</v>
      </c>
      <c r="N59" s="247">
        <f t="shared" si="15"/>
        <v>117.07903928248027</v>
      </c>
      <c r="O59" s="126">
        <v>70</v>
      </c>
      <c r="P59" s="126">
        <v>71</v>
      </c>
    </row>
    <row r="60" spans="1:16" ht="17.25" x14ac:dyDescent="0.25">
      <c r="A60" s="253">
        <v>5</v>
      </c>
      <c r="B60" s="544" t="s">
        <v>598</v>
      </c>
      <c r="C60" s="247">
        <v>0</v>
      </c>
      <c r="D60" s="247">
        <v>0</v>
      </c>
      <c r="E60" s="425" t="e">
        <f t="shared" si="12"/>
        <v>#DIV/0!</v>
      </c>
      <c r="F60" s="247">
        <v>0</v>
      </c>
      <c r="G60" s="247">
        <v>0</v>
      </c>
      <c r="H60" s="425" t="e">
        <f t="shared" si="13"/>
        <v>#DIV/0!</v>
      </c>
      <c r="I60" s="247">
        <v>0</v>
      </c>
      <c r="J60" s="247">
        <v>0</v>
      </c>
      <c r="K60" s="425" t="e">
        <f t="shared" si="14"/>
        <v>#DIV/0!</v>
      </c>
      <c r="L60" s="247">
        <v>0</v>
      </c>
      <c r="M60" s="247">
        <v>0</v>
      </c>
      <c r="N60" s="247" t="e">
        <f t="shared" si="15"/>
        <v>#DIV/0!</v>
      </c>
      <c r="O60" s="126">
        <v>35</v>
      </c>
    </row>
    <row r="61" spans="1:16" ht="17.25" x14ac:dyDescent="0.25">
      <c r="A61" s="253">
        <v>6</v>
      </c>
      <c r="B61" s="544" t="s">
        <v>599</v>
      </c>
      <c r="C61" s="247">
        <v>67951</v>
      </c>
      <c r="D61" s="247">
        <v>51958</v>
      </c>
      <c r="E61" s="425">
        <f t="shared" si="12"/>
        <v>130.78063050925749</v>
      </c>
      <c r="F61" s="247">
        <v>8051</v>
      </c>
      <c r="G61" s="247">
        <v>6408</v>
      </c>
      <c r="H61" s="425">
        <f t="shared" si="13"/>
        <v>125.6398252184769</v>
      </c>
      <c r="I61" s="247">
        <v>63999</v>
      </c>
      <c r="J61" s="247">
        <v>49763</v>
      </c>
      <c r="K61" s="425">
        <f t="shared" si="14"/>
        <v>128.6076000241143</v>
      </c>
      <c r="L61" s="247">
        <v>63999</v>
      </c>
      <c r="M61" s="247">
        <v>49763</v>
      </c>
      <c r="N61" s="247">
        <f t="shared" si="15"/>
        <v>128.6076000241143</v>
      </c>
      <c r="O61" s="126">
        <v>35</v>
      </c>
      <c r="P61" s="126">
        <v>71</v>
      </c>
    </row>
    <row r="62" spans="1:16" ht="17.25" x14ac:dyDescent="0.25">
      <c r="A62" s="253">
        <v>7</v>
      </c>
      <c r="B62" s="544" t="s">
        <v>600</v>
      </c>
      <c r="C62" s="247">
        <v>83340</v>
      </c>
      <c r="D62" s="247">
        <v>48560</v>
      </c>
      <c r="E62" s="425">
        <f t="shared" si="12"/>
        <v>171.62273476112026</v>
      </c>
      <c r="F62" s="247">
        <v>1913</v>
      </c>
      <c r="G62" s="247">
        <v>8407</v>
      </c>
      <c r="H62" s="425">
        <f t="shared" si="13"/>
        <v>22.754847151183537</v>
      </c>
      <c r="I62" s="247">
        <v>89583</v>
      </c>
      <c r="J62" s="247">
        <v>65554</v>
      </c>
      <c r="K62" s="425">
        <f t="shared" si="14"/>
        <v>136.65527656588461</v>
      </c>
      <c r="L62" s="247">
        <v>82732</v>
      </c>
      <c r="M62" s="247">
        <v>65515</v>
      </c>
      <c r="N62" s="247">
        <f t="shared" si="15"/>
        <v>126.2794779821415</v>
      </c>
      <c r="O62" s="126">
        <v>36</v>
      </c>
      <c r="P62" s="126">
        <v>92</v>
      </c>
    </row>
    <row r="63" spans="1:16" ht="17.25" x14ac:dyDescent="0.25">
      <c r="A63" s="253">
        <v>8</v>
      </c>
      <c r="B63" s="544" t="s">
        <v>601</v>
      </c>
      <c r="C63" s="247">
        <v>211600</v>
      </c>
      <c r="D63" s="247">
        <v>226900</v>
      </c>
      <c r="E63" s="425">
        <f t="shared" si="12"/>
        <v>93.256941383869545</v>
      </c>
      <c r="F63" s="247">
        <v>48100</v>
      </c>
      <c r="G63" s="247">
        <v>79000</v>
      </c>
      <c r="H63" s="425">
        <f t="shared" si="13"/>
        <v>60.88607594936709</v>
      </c>
      <c r="I63" s="247">
        <v>170962</v>
      </c>
      <c r="J63" s="247">
        <v>198858</v>
      </c>
      <c r="K63" s="425">
        <f t="shared" si="14"/>
        <v>85.97189954641</v>
      </c>
      <c r="L63" s="247">
        <v>170962</v>
      </c>
      <c r="M63" s="247">
        <v>198858</v>
      </c>
      <c r="N63" s="247">
        <f t="shared" si="15"/>
        <v>85.97189954641</v>
      </c>
      <c r="O63" s="126">
        <v>35</v>
      </c>
      <c r="P63" s="126">
        <v>90</v>
      </c>
    </row>
    <row r="64" spans="1:16" ht="17.25" x14ac:dyDescent="0.25">
      <c r="A64" s="253">
        <v>9</v>
      </c>
      <c r="B64" s="544" t="s">
        <v>602</v>
      </c>
      <c r="C64" s="247">
        <v>0</v>
      </c>
      <c r="D64" s="247">
        <v>0</v>
      </c>
      <c r="E64" s="425" t="e">
        <f t="shared" si="12"/>
        <v>#DIV/0!</v>
      </c>
      <c r="F64" s="247">
        <v>0</v>
      </c>
      <c r="G64" s="247">
        <v>0</v>
      </c>
      <c r="H64" s="425" t="e">
        <f t="shared" si="13"/>
        <v>#DIV/0!</v>
      </c>
      <c r="I64" s="247">
        <v>0</v>
      </c>
      <c r="J64" s="247">
        <v>0</v>
      </c>
      <c r="K64" s="425" t="e">
        <f t="shared" si="14"/>
        <v>#DIV/0!</v>
      </c>
      <c r="L64" s="247">
        <v>0</v>
      </c>
      <c r="M64" s="247">
        <v>0</v>
      </c>
      <c r="N64" s="247" t="e">
        <f t="shared" si="15"/>
        <v>#DIV/0!</v>
      </c>
      <c r="O64" s="126">
        <v>0</v>
      </c>
      <c r="P64" s="126">
        <v>0</v>
      </c>
    </row>
    <row r="65" spans="1:16" ht="17.25" x14ac:dyDescent="0.25">
      <c r="A65" s="253">
        <v>10</v>
      </c>
      <c r="B65" s="544" t="s">
        <v>625</v>
      </c>
      <c r="C65" s="247">
        <v>309957</v>
      </c>
      <c r="D65" s="247">
        <v>256685</v>
      </c>
      <c r="E65" s="425">
        <f>C65/D65*100</f>
        <v>120.75384225802053</v>
      </c>
      <c r="F65" s="247">
        <v>93080</v>
      </c>
      <c r="G65" s="247">
        <v>49605</v>
      </c>
      <c r="H65" s="425">
        <f t="shared" si="13"/>
        <v>187.64237476060882</v>
      </c>
      <c r="I65" s="247">
        <v>319757</v>
      </c>
      <c r="J65" s="247">
        <v>253843</v>
      </c>
      <c r="K65" s="425">
        <f t="shared" si="14"/>
        <v>125.96644382551419</v>
      </c>
      <c r="L65" s="247">
        <v>28090</v>
      </c>
      <c r="M65" s="247">
        <v>18568</v>
      </c>
      <c r="N65" s="247">
        <f t="shared" si="15"/>
        <v>151.28177509694098</v>
      </c>
      <c r="O65" s="126">
        <v>162</v>
      </c>
      <c r="P65" s="126">
        <v>82</v>
      </c>
    </row>
    <row r="66" spans="1:16" ht="17.25" x14ac:dyDescent="0.25">
      <c r="A66" s="253">
        <v>11</v>
      </c>
      <c r="B66" s="544" t="s">
        <v>605</v>
      </c>
      <c r="C66" s="247">
        <v>86990</v>
      </c>
      <c r="D66" s="247">
        <v>80594</v>
      </c>
      <c r="E66" s="425">
        <f>C66/D66*100</f>
        <v>107.93607464575527</v>
      </c>
      <c r="F66" s="247">
        <v>5166</v>
      </c>
      <c r="G66" s="247">
        <v>5301</v>
      </c>
      <c r="H66" s="425">
        <f t="shared" si="13"/>
        <v>97.453310696095073</v>
      </c>
      <c r="I66" s="247">
        <v>84861</v>
      </c>
      <c r="J66" s="247">
        <v>80594</v>
      </c>
      <c r="K66" s="425">
        <f t="shared" si="14"/>
        <v>105.29443879196963</v>
      </c>
      <c r="L66" s="247">
        <v>84861</v>
      </c>
      <c r="M66" s="247">
        <v>80594</v>
      </c>
      <c r="N66" s="247">
        <f t="shared" si="15"/>
        <v>105.29443879196963</v>
      </c>
      <c r="O66" s="126">
        <v>69</v>
      </c>
      <c r="P66" s="126">
        <v>144</v>
      </c>
    </row>
    <row r="67" spans="1:16" s="668" customFormat="1" ht="34.5" x14ac:dyDescent="0.25">
      <c r="A67" s="664">
        <v>12</v>
      </c>
      <c r="B67" s="665" t="s">
        <v>603</v>
      </c>
      <c r="C67" s="666">
        <v>240927</v>
      </c>
      <c r="D67" s="666">
        <v>13270</v>
      </c>
      <c r="E67" s="667">
        <f>C67/D67*100</f>
        <v>1815.5764883195179</v>
      </c>
      <c r="F67" s="666">
        <v>13887</v>
      </c>
      <c r="G67" s="666">
        <v>1588</v>
      </c>
      <c r="H67" s="667">
        <f t="shared" si="13"/>
        <v>874.49622166246854</v>
      </c>
      <c r="I67" s="666">
        <v>240927</v>
      </c>
      <c r="J67" s="666">
        <v>13270</v>
      </c>
      <c r="K67" s="667">
        <f t="shared" si="14"/>
        <v>1815.5764883195179</v>
      </c>
      <c r="L67" s="666">
        <v>207050</v>
      </c>
      <c r="M67" s="666">
        <v>0</v>
      </c>
      <c r="N67" s="666" t="e">
        <f t="shared" si="15"/>
        <v>#DIV/0!</v>
      </c>
      <c r="O67" s="668">
        <v>59</v>
      </c>
      <c r="P67" s="668">
        <v>90</v>
      </c>
    </row>
    <row r="69" spans="1:16" ht="17.25" x14ac:dyDescent="0.25">
      <c r="A69" s="1033" t="s">
        <v>356</v>
      </c>
      <c r="B69" s="1034"/>
      <c r="C69" s="450">
        <f>SUM(C70:C77)</f>
        <v>1264318</v>
      </c>
      <c r="D69" s="450">
        <f>SUM(D70:D77)</f>
        <v>1529152</v>
      </c>
      <c r="E69" s="453">
        <f>C69/D69*100</f>
        <v>82.680989201858296</v>
      </c>
      <c r="F69" s="450">
        <f>SUM(F70:F77)</f>
        <v>81548</v>
      </c>
      <c r="G69" s="450">
        <f>SUM(G70:G77)</f>
        <v>169158</v>
      </c>
      <c r="H69" s="453">
        <f>F69/G69*100</f>
        <v>48.208184064602321</v>
      </c>
      <c r="I69" s="450">
        <f>SUM(I70:I77)</f>
        <v>1308302</v>
      </c>
      <c r="J69" s="450">
        <f>SUM(J70:J77)</f>
        <v>1660086</v>
      </c>
      <c r="K69" s="453">
        <f>I69/J69*100</f>
        <v>78.809290603016962</v>
      </c>
      <c r="L69" s="450">
        <f>SUM(L70:L77)</f>
        <v>664267</v>
      </c>
      <c r="M69" s="450">
        <f>SUM(M70:M77)</f>
        <v>827848</v>
      </c>
      <c r="N69" s="453">
        <f>L69/M69*100</f>
        <v>80.240213179230963</v>
      </c>
    </row>
    <row r="70" spans="1:16" ht="34.5" x14ac:dyDescent="0.25">
      <c r="A70" s="253">
        <v>1</v>
      </c>
      <c r="B70" s="544" t="s">
        <v>606</v>
      </c>
      <c r="C70" s="247">
        <v>10735</v>
      </c>
      <c r="D70" s="247">
        <v>9885</v>
      </c>
      <c r="E70" s="425">
        <f t="shared" ref="E70:E77" si="16">C70/D70*100</f>
        <v>108.59888720283257</v>
      </c>
      <c r="F70" s="247">
        <v>1312</v>
      </c>
      <c r="G70" s="247">
        <v>85</v>
      </c>
      <c r="H70" s="425">
        <f t="shared" ref="H70:H77" si="17">F70/G70*100</f>
        <v>1543.5294117647059</v>
      </c>
      <c r="I70" s="247">
        <v>77048</v>
      </c>
      <c r="J70" s="247">
        <v>109180</v>
      </c>
      <c r="K70" s="425">
        <f t="shared" ref="K70:K77" si="18">I70/J70*100</f>
        <v>70.569701410514753</v>
      </c>
      <c r="L70" s="247">
        <v>1653</v>
      </c>
      <c r="M70" s="247">
        <v>14671</v>
      </c>
      <c r="N70" s="247">
        <f t="shared" ref="N70:N77" si="19">L70/M70*100</f>
        <v>11.267125621975325</v>
      </c>
      <c r="O70" s="126">
        <v>131</v>
      </c>
      <c r="P70" s="126">
        <v>55</v>
      </c>
    </row>
    <row r="71" spans="1:16" s="668" customFormat="1" ht="17.25" x14ac:dyDescent="0.25">
      <c r="A71" s="664">
        <v>2</v>
      </c>
      <c r="B71" s="665" t="s">
        <v>607</v>
      </c>
      <c r="C71" s="666">
        <v>44488</v>
      </c>
      <c r="D71" s="666">
        <v>534423</v>
      </c>
      <c r="E71" s="667">
        <f t="shared" si="16"/>
        <v>8.3244920222370666</v>
      </c>
      <c r="F71" s="666">
        <v>0</v>
      </c>
      <c r="G71" s="666">
        <v>57565</v>
      </c>
      <c r="H71" s="667">
        <f t="shared" si="17"/>
        <v>0</v>
      </c>
      <c r="I71" s="666">
        <v>44670</v>
      </c>
      <c r="J71" s="666">
        <v>515355</v>
      </c>
      <c r="K71" s="667">
        <f t="shared" si="18"/>
        <v>8.6678115085717611</v>
      </c>
      <c r="L71" s="666">
        <v>44670</v>
      </c>
      <c r="M71" s="666">
        <v>515355</v>
      </c>
      <c r="N71" s="666">
        <f t="shared" si="19"/>
        <v>8.6678115085717611</v>
      </c>
      <c r="O71" s="668">
        <v>4</v>
      </c>
      <c r="P71" s="668">
        <v>113</v>
      </c>
    </row>
    <row r="72" spans="1:16" s="668" customFormat="1" ht="17.25" x14ac:dyDescent="0.25">
      <c r="A72" s="664">
        <v>3</v>
      </c>
      <c r="B72" s="665" t="s">
        <v>608</v>
      </c>
      <c r="C72" s="666">
        <v>1323</v>
      </c>
      <c r="D72" s="666">
        <v>22571</v>
      </c>
      <c r="E72" s="667">
        <f t="shared" si="16"/>
        <v>5.8615036994373311</v>
      </c>
      <c r="F72" s="666">
        <v>165</v>
      </c>
      <c r="G72" s="666">
        <v>166</v>
      </c>
      <c r="H72" s="667">
        <f t="shared" si="17"/>
        <v>99.397590361445793</v>
      </c>
      <c r="I72" s="666">
        <v>10273</v>
      </c>
      <c r="J72" s="666">
        <v>21414</v>
      </c>
      <c r="K72" s="667">
        <f t="shared" si="18"/>
        <v>47.973288502848604</v>
      </c>
      <c r="L72" s="666">
        <v>0</v>
      </c>
      <c r="M72" s="666">
        <v>7659</v>
      </c>
      <c r="N72" s="666">
        <f t="shared" si="19"/>
        <v>0</v>
      </c>
      <c r="O72" s="668">
        <v>38</v>
      </c>
      <c r="P72" s="668">
        <v>45</v>
      </c>
    </row>
    <row r="73" spans="1:16" s="668" customFormat="1" ht="34.5" x14ac:dyDescent="0.25">
      <c r="A73" s="664">
        <v>4</v>
      </c>
      <c r="B73" s="665" t="s">
        <v>609</v>
      </c>
      <c r="C73" s="666">
        <v>10105</v>
      </c>
      <c r="D73" s="666">
        <v>58271</v>
      </c>
      <c r="E73" s="667">
        <f t="shared" si="16"/>
        <v>17.34138765423624</v>
      </c>
      <c r="F73" s="666">
        <v>0</v>
      </c>
      <c r="G73" s="666">
        <v>3544</v>
      </c>
      <c r="H73" s="667">
        <f t="shared" si="17"/>
        <v>0</v>
      </c>
      <c r="I73" s="666">
        <v>2073</v>
      </c>
      <c r="J73" s="666">
        <v>71484</v>
      </c>
      <c r="K73" s="667">
        <f t="shared" si="18"/>
        <v>2.8999496390800736</v>
      </c>
      <c r="L73" s="666">
        <v>0</v>
      </c>
      <c r="M73" s="666">
        <v>53436</v>
      </c>
      <c r="N73" s="666">
        <f t="shared" si="19"/>
        <v>0</v>
      </c>
      <c r="O73" s="668">
        <v>37</v>
      </c>
      <c r="P73" s="668">
        <v>65</v>
      </c>
    </row>
    <row r="74" spans="1:16" s="668" customFormat="1" ht="17.25" x14ac:dyDescent="0.25">
      <c r="A74" s="664">
        <v>5</v>
      </c>
      <c r="B74" s="665" t="s">
        <v>610</v>
      </c>
      <c r="C74" s="666">
        <v>75920</v>
      </c>
      <c r="D74" s="666">
        <v>60535</v>
      </c>
      <c r="E74" s="667">
        <f t="shared" si="16"/>
        <v>125.41504914512265</v>
      </c>
      <c r="F74" s="666">
        <v>218</v>
      </c>
      <c r="G74" s="666">
        <v>50</v>
      </c>
      <c r="H74" s="667">
        <f t="shared" si="17"/>
        <v>436.00000000000006</v>
      </c>
      <c r="I74" s="666">
        <v>75920</v>
      </c>
      <c r="J74" s="666">
        <v>60535</v>
      </c>
      <c r="K74" s="667">
        <f t="shared" si="18"/>
        <v>125.41504914512265</v>
      </c>
      <c r="L74" s="666">
        <v>56925</v>
      </c>
      <c r="M74" s="666">
        <v>47792</v>
      </c>
      <c r="N74" s="666">
        <f t="shared" si="19"/>
        <v>119.10989286909943</v>
      </c>
      <c r="O74" s="668">
        <v>66</v>
      </c>
      <c r="P74" s="668">
        <v>120</v>
      </c>
    </row>
    <row r="75" spans="1:16" s="668" customFormat="1" ht="17.25" x14ac:dyDescent="0.25">
      <c r="A75" s="793">
        <v>6</v>
      </c>
      <c r="B75" s="665" t="s">
        <v>611</v>
      </c>
      <c r="C75" s="666">
        <v>209</v>
      </c>
      <c r="D75" s="666">
        <v>36143</v>
      </c>
      <c r="E75" s="667">
        <f t="shared" si="16"/>
        <v>0.57825858395816621</v>
      </c>
      <c r="F75" s="666">
        <v>0</v>
      </c>
      <c r="G75" s="666">
        <v>12</v>
      </c>
      <c r="H75" s="667">
        <f t="shared" si="17"/>
        <v>0</v>
      </c>
      <c r="I75" s="666">
        <v>835</v>
      </c>
      <c r="J75" s="666">
        <v>55545</v>
      </c>
      <c r="K75" s="667">
        <f t="shared" si="18"/>
        <v>1.503285624268611</v>
      </c>
      <c r="L75" s="666">
        <v>53</v>
      </c>
      <c r="M75" s="666">
        <v>33961</v>
      </c>
      <c r="N75" s="666">
        <f t="shared" si="19"/>
        <v>0.1560613645063455</v>
      </c>
      <c r="O75" s="668">
        <v>9</v>
      </c>
      <c r="P75" s="668">
        <v>95</v>
      </c>
    </row>
    <row r="76" spans="1:16" s="668" customFormat="1" ht="17.25" x14ac:dyDescent="0.25">
      <c r="A76" s="664">
        <v>7</v>
      </c>
      <c r="B76" s="665" t="s">
        <v>612</v>
      </c>
      <c r="C76" s="666">
        <v>1003143</v>
      </c>
      <c r="D76" s="666">
        <v>683478</v>
      </c>
      <c r="E76" s="667">
        <f t="shared" si="16"/>
        <v>146.7703422787566</v>
      </c>
      <c r="F76" s="666">
        <v>71978</v>
      </c>
      <c r="G76" s="666">
        <v>88899</v>
      </c>
      <c r="H76" s="667">
        <f t="shared" si="17"/>
        <v>80.966040112937151</v>
      </c>
      <c r="I76" s="666">
        <v>979088</v>
      </c>
      <c r="J76" s="666">
        <v>702727</v>
      </c>
      <c r="K76" s="667">
        <f t="shared" si="18"/>
        <v>139.32693634939315</v>
      </c>
      <c r="L76" s="666">
        <v>560966</v>
      </c>
      <c r="M76" s="666">
        <v>153929</v>
      </c>
      <c r="N76" s="666">
        <f t="shared" si="19"/>
        <v>364.43165355456085</v>
      </c>
      <c r="O76" s="668">
        <v>134</v>
      </c>
      <c r="P76" s="668">
        <v>251</v>
      </c>
    </row>
    <row r="77" spans="1:16" ht="34.5" x14ac:dyDescent="0.25">
      <c r="A77" s="253">
        <v>8</v>
      </c>
      <c r="B77" s="544" t="s">
        <v>613</v>
      </c>
      <c r="C77" s="247">
        <v>118395</v>
      </c>
      <c r="D77" s="247">
        <v>123846</v>
      </c>
      <c r="E77" s="425">
        <f t="shared" si="16"/>
        <v>95.598565960951504</v>
      </c>
      <c r="F77" s="247">
        <v>7875</v>
      </c>
      <c r="G77" s="247">
        <v>18837</v>
      </c>
      <c r="H77" s="425">
        <f t="shared" si="17"/>
        <v>41.80602006688963</v>
      </c>
      <c r="I77" s="247">
        <v>118395</v>
      </c>
      <c r="J77" s="247">
        <v>123846</v>
      </c>
      <c r="K77" s="425">
        <f t="shared" si="18"/>
        <v>95.598565960951504</v>
      </c>
      <c r="L77" s="247">
        <v>0</v>
      </c>
      <c r="M77" s="247">
        <v>1045</v>
      </c>
      <c r="N77" s="247">
        <f t="shared" si="19"/>
        <v>0</v>
      </c>
      <c r="O77" s="126">
        <v>28</v>
      </c>
      <c r="P77" s="126">
        <v>40</v>
      </c>
    </row>
    <row r="78" spans="1:16" s="127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</row>
    <row r="79" spans="1:16" ht="17.25" x14ac:dyDescent="0.25">
      <c r="A79" s="1033" t="s">
        <v>731</v>
      </c>
      <c r="B79" s="1034"/>
      <c r="C79" s="450">
        <f>SUM(C80:C93)</f>
        <v>7008346</v>
      </c>
      <c r="D79" s="450">
        <f>SUM(D80:D93)</f>
        <v>6659071</v>
      </c>
      <c r="E79" s="453">
        <f>C79/D79*100</f>
        <v>105.245101005831</v>
      </c>
      <c r="F79" s="450">
        <f>SUM(F80:F93)</f>
        <v>644947</v>
      </c>
      <c r="G79" s="450">
        <f>SUM(G80:G93)</f>
        <v>747312</v>
      </c>
      <c r="H79" s="453">
        <f>F79/G79*100</f>
        <v>86.302240563512967</v>
      </c>
      <c r="I79" s="450">
        <f>SUM(I80:I93)</f>
        <v>8979642</v>
      </c>
      <c r="J79" s="450">
        <f>SUM(J80:J93)</f>
        <v>9804518</v>
      </c>
      <c r="K79" s="453">
        <f>I79/J79*100</f>
        <v>91.58677662685713</v>
      </c>
      <c r="L79" s="450">
        <f>SUM(L80:L93)</f>
        <v>3046759</v>
      </c>
      <c r="M79" s="450">
        <f>SUM(M80:M93)</f>
        <v>3153802</v>
      </c>
      <c r="N79" s="453">
        <f>L79/M79*100</f>
        <v>96.605906141222562</v>
      </c>
    </row>
    <row r="80" spans="1:16" ht="34.5" x14ac:dyDescent="0.25">
      <c r="A80" s="260">
        <v>1</v>
      </c>
      <c r="B80" s="544" t="s">
        <v>614</v>
      </c>
      <c r="C80" s="247">
        <v>2140</v>
      </c>
      <c r="D80" s="247">
        <v>3377</v>
      </c>
      <c r="E80" s="425">
        <f>C80/D80*100</f>
        <v>63.369854900799524</v>
      </c>
      <c r="F80" s="247">
        <v>226</v>
      </c>
      <c r="G80" s="247">
        <v>61</v>
      </c>
      <c r="H80" s="425">
        <f t="shared" ref="H80:H93" si="20">F80/G80*100</f>
        <v>370.49180327868851</v>
      </c>
      <c r="I80" s="247">
        <v>2140</v>
      </c>
      <c r="J80" s="247">
        <v>3377</v>
      </c>
      <c r="K80" s="425">
        <f t="shared" ref="K80:K93" si="21">I80/J80*100</f>
        <v>63.369854900799524</v>
      </c>
      <c r="L80" s="247"/>
      <c r="M80" s="247"/>
      <c r="N80" s="247" t="e">
        <f t="shared" ref="N80:N93" si="22">L80/M80*100</f>
        <v>#DIV/0!</v>
      </c>
      <c r="O80" s="126">
        <v>2136</v>
      </c>
      <c r="P80" s="126">
        <v>113</v>
      </c>
    </row>
    <row r="81" spans="1:16" s="668" customFormat="1" ht="34.5" x14ac:dyDescent="0.25">
      <c r="A81" s="794">
        <v>2</v>
      </c>
      <c r="B81" s="665" t="s">
        <v>615</v>
      </c>
      <c r="C81" s="666">
        <v>7600</v>
      </c>
      <c r="D81" s="666">
        <v>326488</v>
      </c>
      <c r="E81" s="667">
        <f t="shared" ref="E81:E93" si="23">C81/D81*100</f>
        <v>2.3278037783930805</v>
      </c>
      <c r="F81" s="666">
        <v>2753</v>
      </c>
      <c r="G81" s="666">
        <v>2585</v>
      </c>
      <c r="H81" s="667">
        <f t="shared" si="20"/>
        <v>106.49903288201162</v>
      </c>
      <c r="I81" s="666">
        <v>9622</v>
      </c>
      <c r="J81" s="666">
        <v>376176</v>
      </c>
      <c r="K81" s="667">
        <f t="shared" si="21"/>
        <v>2.5578452639190168</v>
      </c>
      <c r="L81" s="666">
        <v>0</v>
      </c>
      <c r="M81" s="666">
        <v>361588</v>
      </c>
      <c r="N81" s="666">
        <f t="shared" si="22"/>
        <v>0</v>
      </c>
      <c r="O81" s="668">
        <v>373</v>
      </c>
      <c r="P81" s="668">
        <v>140</v>
      </c>
    </row>
    <row r="82" spans="1:16" s="668" customFormat="1" ht="17.25" x14ac:dyDescent="0.25">
      <c r="A82" s="795">
        <v>3</v>
      </c>
      <c r="B82" s="665" t="s">
        <v>616</v>
      </c>
      <c r="C82" s="666">
        <v>1438891</v>
      </c>
      <c r="D82" s="666">
        <v>1302000</v>
      </c>
      <c r="E82" s="667">
        <f t="shared" si="23"/>
        <v>110.51390168970813</v>
      </c>
      <c r="F82" s="666">
        <v>149602</v>
      </c>
      <c r="G82" s="666">
        <v>97981</v>
      </c>
      <c r="H82" s="667">
        <f t="shared" si="20"/>
        <v>152.68470417734051</v>
      </c>
      <c r="I82" s="666">
        <v>1621985</v>
      </c>
      <c r="J82" s="666">
        <v>1396374</v>
      </c>
      <c r="K82" s="667">
        <f t="shared" si="21"/>
        <v>116.15691784579202</v>
      </c>
      <c r="L82" s="666">
        <v>236943</v>
      </c>
      <c r="M82" s="666">
        <v>298294</v>
      </c>
      <c r="N82" s="666">
        <f t="shared" si="22"/>
        <v>79.432707329010981</v>
      </c>
      <c r="O82" s="668">
        <v>32</v>
      </c>
      <c r="P82" s="668">
        <v>365</v>
      </c>
    </row>
    <row r="83" spans="1:16" s="668" customFormat="1" ht="17.25" x14ac:dyDescent="0.25">
      <c r="A83" s="794">
        <v>4</v>
      </c>
      <c r="B83" s="665" t="s">
        <v>604</v>
      </c>
      <c r="C83" s="666">
        <v>62392</v>
      </c>
      <c r="D83" s="666">
        <v>70630</v>
      </c>
      <c r="E83" s="667">
        <f>C83/D83*100</f>
        <v>88.33640096276369</v>
      </c>
      <c r="F83" s="666">
        <v>2644</v>
      </c>
      <c r="G83" s="666">
        <v>91140</v>
      </c>
      <c r="H83" s="667">
        <f>F83/G83*100</f>
        <v>2.9010313802940528</v>
      </c>
      <c r="I83" s="666">
        <v>62392</v>
      </c>
      <c r="J83" s="666">
        <v>70630</v>
      </c>
      <c r="K83" s="667">
        <f>I83/J83*100</f>
        <v>88.33640096276369</v>
      </c>
      <c r="L83" s="666">
        <v>62392</v>
      </c>
      <c r="M83" s="666">
        <v>70630</v>
      </c>
      <c r="N83" s="666">
        <f>L83/M83*100</f>
        <v>88.33640096276369</v>
      </c>
      <c r="O83" s="668">
        <v>41</v>
      </c>
      <c r="P83" s="668">
        <v>76</v>
      </c>
    </row>
    <row r="84" spans="1:16" s="668" customFormat="1" ht="17.25" x14ac:dyDescent="0.25">
      <c r="A84" s="795">
        <v>5</v>
      </c>
      <c r="B84" s="665" t="s">
        <v>775</v>
      </c>
      <c r="C84" s="666">
        <v>257265</v>
      </c>
      <c r="D84" s="666">
        <v>345461</v>
      </c>
      <c r="E84" s="667">
        <f t="shared" si="23"/>
        <v>74.470055954217699</v>
      </c>
      <c r="F84" s="666">
        <v>12156</v>
      </c>
      <c r="G84" s="666">
        <v>37421</v>
      </c>
      <c r="H84" s="667">
        <f t="shared" si="20"/>
        <v>32.48443387402795</v>
      </c>
      <c r="I84" s="666">
        <v>259973</v>
      </c>
      <c r="J84" s="666">
        <v>343753</v>
      </c>
      <c r="K84" s="667">
        <f t="shared" si="21"/>
        <v>75.627849066044519</v>
      </c>
      <c r="L84" s="666">
        <v>132482</v>
      </c>
      <c r="M84" s="666">
        <v>194352</v>
      </c>
      <c r="N84" s="666">
        <f t="shared" si="22"/>
        <v>68.166008067835676</v>
      </c>
      <c r="O84" s="668">
        <v>83</v>
      </c>
      <c r="P84" s="668">
        <v>72</v>
      </c>
    </row>
    <row r="85" spans="1:16" s="668" customFormat="1" ht="17.25" x14ac:dyDescent="0.25">
      <c r="A85" s="794">
        <v>6</v>
      </c>
      <c r="B85" s="665" t="s">
        <v>619</v>
      </c>
      <c r="C85" s="666">
        <v>0</v>
      </c>
      <c r="D85" s="666">
        <v>0</v>
      </c>
      <c r="E85" s="667" t="e">
        <f t="shared" si="23"/>
        <v>#DIV/0!</v>
      </c>
      <c r="F85" s="666">
        <v>0</v>
      </c>
      <c r="G85" s="666">
        <v>0</v>
      </c>
      <c r="H85" s="667" t="e">
        <f t="shared" si="20"/>
        <v>#DIV/0!</v>
      </c>
      <c r="I85" s="666">
        <v>0</v>
      </c>
      <c r="J85" s="666">
        <v>0</v>
      </c>
      <c r="K85" s="667" t="e">
        <f t="shared" si="21"/>
        <v>#DIV/0!</v>
      </c>
      <c r="L85" s="666">
        <v>0</v>
      </c>
      <c r="M85" s="666">
        <v>0</v>
      </c>
      <c r="N85" s="666" t="e">
        <f t="shared" si="22"/>
        <v>#DIV/0!</v>
      </c>
    </row>
    <row r="86" spans="1:16" s="668" customFormat="1" ht="17.25" x14ac:dyDescent="0.25">
      <c r="A86" s="795">
        <v>7</v>
      </c>
      <c r="B86" s="665" t="s">
        <v>620</v>
      </c>
      <c r="C86" s="666">
        <v>746751</v>
      </c>
      <c r="D86" s="666">
        <v>662559</v>
      </c>
      <c r="E86" s="667">
        <f t="shared" si="23"/>
        <v>112.7070947643908</v>
      </c>
      <c r="F86" s="666">
        <v>44120</v>
      </c>
      <c r="G86" s="666">
        <v>68378</v>
      </c>
      <c r="H86" s="667">
        <f t="shared" si="20"/>
        <v>64.523677206118919</v>
      </c>
      <c r="I86" s="666">
        <v>949888</v>
      </c>
      <c r="J86" s="666">
        <v>1006041</v>
      </c>
      <c r="K86" s="667">
        <f t="shared" si="21"/>
        <v>94.418418334839231</v>
      </c>
      <c r="L86" s="666">
        <v>170318</v>
      </c>
      <c r="M86" s="666">
        <v>289330</v>
      </c>
      <c r="N86" s="666">
        <f t="shared" si="22"/>
        <v>58.866346386479108</v>
      </c>
      <c r="O86" s="668">
        <v>66</v>
      </c>
      <c r="P86" s="668">
        <v>70</v>
      </c>
    </row>
    <row r="87" spans="1:16" s="668" customFormat="1" ht="17.25" x14ac:dyDescent="0.25">
      <c r="A87" s="794">
        <v>8</v>
      </c>
      <c r="B87" s="665" t="s">
        <v>621</v>
      </c>
      <c r="C87" s="666">
        <v>1826758</v>
      </c>
      <c r="D87" s="666">
        <v>1505529</v>
      </c>
      <c r="E87" s="667">
        <f t="shared" si="23"/>
        <v>121.33661988576772</v>
      </c>
      <c r="F87" s="666">
        <v>195850</v>
      </c>
      <c r="G87" s="666">
        <v>198146</v>
      </c>
      <c r="H87" s="667">
        <f t="shared" si="20"/>
        <v>98.841258465979635</v>
      </c>
      <c r="I87" s="666">
        <v>1766146</v>
      </c>
      <c r="J87" s="666">
        <v>1507957</v>
      </c>
      <c r="K87" s="667">
        <f t="shared" si="21"/>
        <v>117.12177469251444</v>
      </c>
      <c r="L87" s="666">
        <v>1140151</v>
      </c>
      <c r="M87" s="666">
        <v>960901</v>
      </c>
      <c r="N87" s="666">
        <f t="shared" si="22"/>
        <v>118.6543670992121</v>
      </c>
      <c r="O87" s="668">
        <v>107</v>
      </c>
      <c r="P87" s="668">
        <v>252</v>
      </c>
    </row>
    <row r="88" spans="1:16" s="668" customFormat="1" ht="17.25" x14ac:dyDescent="0.25">
      <c r="A88" s="795">
        <v>9</v>
      </c>
      <c r="B88" s="665" t="s">
        <v>622</v>
      </c>
      <c r="C88" s="666">
        <v>825331</v>
      </c>
      <c r="D88" s="666">
        <v>948785</v>
      </c>
      <c r="E88" s="667">
        <f t="shared" si="23"/>
        <v>86.988200698788461</v>
      </c>
      <c r="F88" s="666">
        <v>83662</v>
      </c>
      <c r="G88" s="666">
        <v>116416</v>
      </c>
      <c r="H88" s="667">
        <f t="shared" si="20"/>
        <v>71.864692138537663</v>
      </c>
      <c r="I88" s="666">
        <v>819804</v>
      </c>
      <c r="J88" s="666">
        <v>766795</v>
      </c>
      <c r="K88" s="667">
        <f t="shared" si="21"/>
        <v>106.91306020513957</v>
      </c>
      <c r="L88" s="666">
        <v>308043</v>
      </c>
      <c r="M88" s="666">
        <v>214596</v>
      </c>
      <c r="N88" s="666">
        <f t="shared" si="22"/>
        <v>143.54554604932059</v>
      </c>
      <c r="O88" s="668">
        <v>82</v>
      </c>
      <c r="P88" s="668">
        <v>180</v>
      </c>
    </row>
    <row r="89" spans="1:16" s="668" customFormat="1" ht="17.25" x14ac:dyDescent="0.25">
      <c r="A89" s="794">
        <v>10</v>
      </c>
      <c r="B89" s="665" t="s">
        <v>623</v>
      </c>
      <c r="C89" s="666">
        <v>144610</v>
      </c>
      <c r="D89" s="666">
        <v>181803</v>
      </c>
      <c r="E89" s="667">
        <f t="shared" si="23"/>
        <v>79.542141768837695</v>
      </c>
      <c r="F89" s="666">
        <v>1195</v>
      </c>
      <c r="G89" s="666">
        <v>7363</v>
      </c>
      <c r="H89" s="667">
        <f t="shared" si="20"/>
        <v>16.229797636832814</v>
      </c>
      <c r="I89" s="666">
        <v>144610</v>
      </c>
      <c r="J89" s="666">
        <v>181803</v>
      </c>
      <c r="K89" s="667">
        <f t="shared" si="21"/>
        <v>79.542141768837695</v>
      </c>
      <c r="L89" s="666">
        <v>76122</v>
      </c>
      <c r="M89" s="666">
        <v>92147</v>
      </c>
      <c r="N89" s="666">
        <f t="shared" si="22"/>
        <v>82.609309038818409</v>
      </c>
      <c r="O89" s="668">
        <v>18</v>
      </c>
      <c r="P89" s="668">
        <v>142</v>
      </c>
    </row>
    <row r="90" spans="1:16" s="668" customFormat="1" ht="17.25" x14ac:dyDescent="0.25">
      <c r="A90" s="795">
        <v>11</v>
      </c>
      <c r="B90" s="665" t="s">
        <v>624</v>
      </c>
      <c r="C90" s="666">
        <v>383438</v>
      </c>
      <c r="D90" s="666">
        <v>310391</v>
      </c>
      <c r="E90" s="667">
        <f t="shared" si="23"/>
        <v>123.5338653504773</v>
      </c>
      <c r="F90" s="666">
        <v>41206</v>
      </c>
      <c r="G90" s="666">
        <v>29453</v>
      </c>
      <c r="H90" s="667">
        <f t="shared" si="20"/>
        <v>139.90425423556175</v>
      </c>
      <c r="I90" s="666">
        <v>2039596</v>
      </c>
      <c r="J90" s="666">
        <v>3199204</v>
      </c>
      <c r="K90" s="667">
        <f t="shared" si="21"/>
        <v>63.75323361686219</v>
      </c>
      <c r="L90" s="666">
        <v>34390</v>
      </c>
      <c r="M90" s="666">
        <v>9310</v>
      </c>
      <c r="N90" s="666">
        <f t="shared" si="22"/>
        <v>369.38775510204079</v>
      </c>
      <c r="O90" s="668">
        <v>58</v>
      </c>
      <c r="P90" s="668">
        <v>250</v>
      </c>
    </row>
    <row r="91" spans="1:16" s="668" customFormat="1" ht="34.5" x14ac:dyDescent="0.25">
      <c r="A91" s="795">
        <v>12</v>
      </c>
      <c r="B91" s="665" t="s">
        <v>762</v>
      </c>
      <c r="C91" s="666">
        <v>43144</v>
      </c>
      <c r="D91" s="666">
        <v>7458</v>
      </c>
      <c r="E91" s="667">
        <f t="shared" si="23"/>
        <v>578.4928935371413</v>
      </c>
      <c r="F91" s="666">
        <v>4628</v>
      </c>
      <c r="G91" s="666">
        <v>18</v>
      </c>
      <c r="H91" s="667">
        <f t="shared" si="20"/>
        <v>25711.111111111109</v>
      </c>
      <c r="I91" s="666">
        <v>26980</v>
      </c>
      <c r="J91" s="666">
        <v>11587</v>
      </c>
      <c r="K91" s="667">
        <f t="shared" si="21"/>
        <v>232.84715629584878</v>
      </c>
      <c r="L91" s="666">
        <v>15623</v>
      </c>
      <c r="M91" s="666">
        <v>9653</v>
      </c>
      <c r="N91" s="666">
        <f t="shared" si="22"/>
        <v>161.84605822024241</v>
      </c>
      <c r="O91" s="668">
        <v>17</v>
      </c>
    </row>
    <row r="92" spans="1:16" s="668" customFormat="1" ht="17.25" x14ac:dyDescent="0.25">
      <c r="A92" s="794">
        <v>13</v>
      </c>
      <c r="B92" s="665" t="s">
        <v>626</v>
      </c>
      <c r="C92" s="666">
        <v>161964</v>
      </c>
      <c r="D92" s="666">
        <v>0</v>
      </c>
      <c r="E92" s="667" t="e">
        <f t="shared" si="23"/>
        <v>#DIV/0!</v>
      </c>
      <c r="F92" s="666">
        <v>15257</v>
      </c>
      <c r="G92" s="666">
        <v>0</v>
      </c>
      <c r="H92" s="667" t="e">
        <f t="shared" si="20"/>
        <v>#DIV/0!</v>
      </c>
      <c r="I92" s="666">
        <v>159473</v>
      </c>
      <c r="J92" s="666">
        <v>0</v>
      </c>
      <c r="K92" s="667" t="e">
        <f t="shared" si="21"/>
        <v>#DIV/0!</v>
      </c>
      <c r="L92" s="666">
        <v>0</v>
      </c>
      <c r="M92" s="666">
        <v>0</v>
      </c>
      <c r="N92" s="666" t="e">
        <f t="shared" si="22"/>
        <v>#DIV/0!</v>
      </c>
      <c r="O92" s="668">
        <v>27</v>
      </c>
    </row>
    <row r="93" spans="1:16" ht="34.5" x14ac:dyDescent="0.25">
      <c r="A93" s="598">
        <v>14</v>
      </c>
      <c r="B93" s="544" t="s">
        <v>617</v>
      </c>
      <c r="C93" s="247">
        <v>1108062</v>
      </c>
      <c r="D93" s="247">
        <v>994590</v>
      </c>
      <c r="E93" s="425">
        <f t="shared" si="23"/>
        <v>111.40892226947787</v>
      </c>
      <c r="F93" s="247">
        <v>91648</v>
      </c>
      <c r="G93" s="247">
        <v>98350</v>
      </c>
      <c r="H93" s="425">
        <f t="shared" si="20"/>
        <v>93.185561769191665</v>
      </c>
      <c r="I93" s="247">
        <v>1117033</v>
      </c>
      <c r="J93" s="247">
        <v>940821</v>
      </c>
      <c r="K93" s="425">
        <f t="shared" si="21"/>
        <v>118.72959893539792</v>
      </c>
      <c r="L93" s="247">
        <v>870295</v>
      </c>
      <c r="M93" s="247">
        <v>653001</v>
      </c>
      <c r="N93" s="247">
        <f t="shared" si="22"/>
        <v>133.27621244071602</v>
      </c>
      <c r="O93" s="126">
        <v>165</v>
      </c>
      <c r="P93" s="126">
        <v>40</v>
      </c>
    </row>
    <row r="94" spans="1:16" x14ac:dyDescent="0.25">
      <c r="A94" s="538"/>
      <c r="B94" s="537"/>
    </row>
    <row r="95" spans="1:16" ht="17.25" x14ac:dyDescent="0.25">
      <c r="A95" s="1033" t="s">
        <v>738</v>
      </c>
      <c r="B95" s="1034"/>
      <c r="C95" s="450">
        <f>SUM(C96:C123)</f>
        <v>4398738</v>
      </c>
      <c r="D95" s="450">
        <f>SUM(D96:D123)</f>
        <v>2680258</v>
      </c>
      <c r="E95" s="453">
        <f>C95/D95*100</f>
        <v>164.11621567774446</v>
      </c>
      <c r="F95" s="450">
        <f>SUM(F96:F123)</f>
        <v>491821</v>
      </c>
      <c r="G95" s="450">
        <f>SUM(G96:G123)</f>
        <v>315385</v>
      </c>
      <c r="H95" s="453">
        <f>F95/G95*100</f>
        <v>155.94305372798325</v>
      </c>
      <c r="I95" s="450">
        <f>SUM(I96:I123)</f>
        <v>4631974</v>
      </c>
      <c r="J95" s="450">
        <f>SUM(J96:J123)</f>
        <v>2763329</v>
      </c>
      <c r="K95" s="453">
        <f>I95/J95*100</f>
        <v>167.6229649093539</v>
      </c>
      <c r="L95" s="450">
        <f>SUM(L96:L123)</f>
        <v>1315408</v>
      </c>
      <c r="M95" s="450">
        <f>SUM(M96:M123)</f>
        <v>1162997</v>
      </c>
      <c r="N95" s="453">
        <f>L95/M95*100</f>
        <v>113.10502090719066</v>
      </c>
    </row>
    <row r="96" spans="1:16" ht="17.25" x14ac:dyDescent="0.25">
      <c r="A96" s="265">
        <v>1</v>
      </c>
      <c r="B96" s="544" t="s">
        <v>627</v>
      </c>
      <c r="C96" s="247">
        <v>547090</v>
      </c>
      <c r="D96" s="247">
        <v>380989</v>
      </c>
      <c r="E96" s="425">
        <f t="shared" ref="E96:E123" si="24">C96/D96*100</f>
        <v>143.59732170745087</v>
      </c>
      <c r="F96" s="247">
        <v>50249</v>
      </c>
      <c r="G96" s="247">
        <v>57297</v>
      </c>
      <c r="H96" s="425">
        <f t="shared" ref="H96:H123" si="25">F96/G96*100</f>
        <v>87.699181458016994</v>
      </c>
      <c r="I96" s="247">
        <v>540775</v>
      </c>
      <c r="J96" s="247">
        <v>390148</v>
      </c>
      <c r="K96" s="425">
        <f t="shared" ref="K96:K123" si="26">I96/J96*100</f>
        <v>138.60765658160491</v>
      </c>
      <c r="L96" s="247">
        <v>532849</v>
      </c>
      <c r="M96" s="247">
        <v>390128</v>
      </c>
      <c r="N96" s="425">
        <f t="shared" ref="N96:N123" si="27">L96/M96*100</f>
        <v>136.58312143706681</v>
      </c>
      <c r="O96" s="126">
        <v>322</v>
      </c>
      <c r="P96" s="126">
        <v>126</v>
      </c>
    </row>
    <row r="97" spans="1:16" ht="17.25" x14ac:dyDescent="0.25">
      <c r="A97" s="265">
        <v>2</v>
      </c>
      <c r="B97" s="544" t="s">
        <v>628</v>
      </c>
      <c r="C97" s="247">
        <v>0</v>
      </c>
      <c r="D97" s="247">
        <v>0</v>
      </c>
      <c r="E97" s="425" t="e">
        <f t="shared" si="24"/>
        <v>#DIV/0!</v>
      </c>
      <c r="F97" s="247">
        <v>0</v>
      </c>
      <c r="G97" s="247">
        <v>0</v>
      </c>
      <c r="H97" s="425" t="e">
        <f t="shared" si="25"/>
        <v>#DIV/0!</v>
      </c>
      <c r="I97" s="247">
        <v>0</v>
      </c>
      <c r="J97" s="247">
        <v>0</v>
      </c>
      <c r="K97" s="425" t="e">
        <f t="shared" si="26"/>
        <v>#DIV/0!</v>
      </c>
      <c r="L97" s="247">
        <v>0</v>
      </c>
      <c r="M97" s="247">
        <v>0</v>
      </c>
      <c r="N97" s="425" t="e">
        <f t="shared" si="27"/>
        <v>#DIV/0!</v>
      </c>
    </row>
    <row r="98" spans="1:16" ht="17.25" x14ac:dyDescent="0.25">
      <c r="A98" s="265">
        <v>3</v>
      </c>
      <c r="B98" s="544" t="s">
        <v>629</v>
      </c>
      <c r="C98" s="247">
        <v>0</v>
      </c>
      <c r="D98" s="247">
        <v>0</v>
      </c>
      <c r="E98" s="425" t="e">
        <f t="shared" si="24"/>
        <v>#DIV/0!</v>
      </c>
      <c r="F98" s="247">
        <v>0</v>
      </c>
      <c r="G98" s="247">
        <v>0</v>
      </c>
      <c r="H98" s="425" t="e">
        <f t="shared" si="25"/>
        <v>#DIV/0!</v>
      </c>
      <c r="I98" s="247">
        <v>0</v>
      </c>
      <c r="J98" s="247">
        <v>0</v>
      </c>
      <c r="K98" s="425" t="e">
        <f t="shared" si="26"/>
        <v>#DIV/0!</v>
      </c>
      <c r="L98" s="247">
        <v>0</v>
      </c>
      <c r="M98" s="247">
        <v>0</v>
      </c>
      <c r="N98" s="425" t="e">
        <f t="shared" si="27"/>
        <v>#DIV/0!</v>
      </c>
      <c r="O98" s="562"/>
    </row>
    <row r="99" spans="1:16" ht="17.25" x14ac:dyDescent="0.25">
      <c r="A99" s="265">
        <v>4</v>
      </c>
      <c r="B99" s="544" t="s">
        <v>630</v>
      </c>
      <c r="C99" s="247">
        <v>62383</v>
      </c>
      <c r="D99" s="247">
        <v>31075</v>
      </c>
      <c r="E99" s="425">
        <f t="shared" si="24"/>
        <v>200.7497988736927</v>
      </c>
      <c r="F99" s="247">
        <v>5891</v>
      </c>
      <c r="G99" s="247">
        <v>2475</v>
      </c>
      <c r="H99" s="425">
        <f t="shared" si="25"/>
        <v>238.02020202020202</v>
      </c>
      <c r="I99" s="247">
        <v>30920</v>
      </c>
      <c r="J99" s="247">
        <v>20343</v>
      </c>
      <c r="K99" s="425">
        <f t="shared" si="26"/>
        <v>151.99331465368923</v>
      </c>
      <c r="L99" s="247"/>
      <c r="M99" s="247"/>
      <c r="N99" s="425" t="e">
        <f t="shared" si="27"/>
        <v>#DIV/0!</v>
      </c>
      <c r="O99" s="126">
        <v>20</v>
      </c>
      <c r="P99" s="126">
        <v>140</v>
      </c>
    </row>
    <row r="100" spans="1:16" ht="17.25" x14ac:dyDescent="0.25">
      <c r="A100" s="265">
        <v>5</v>
      </c>
      <c r="B100" s="544" t="s">
        <v>631</v>
      </c>
      <c r="C100" s="247">
        <v>360610</v>
      </c>
      <c r="D100" s="247">
        <v>479209</v>
      </c>
      <c r="E100" s="425">
        <f t="shared" si="24"/>
        <v>75.251090860146618</v>
      </c>
      <c r="F100" s="247">
        <v>10968</v>
      </c>
      <c r="G100" s="247">
        <v>50595</v>
      </c>
      <c r="H100" s="425">
        <f t="shared" si="25"/>
        <v>21.678031426030238</v>
      </c>
      <c r="I100" s="247">
        <v>417546</v>
      </c>
      <c r="J100" s="247">
        <v>470064</v>
      </c>
      <c r="K100" s="425">
        <f t="shared" si="26"/>
        <v>88.827478811395906</v>
      </c>
      <c r="L100" s="247">
        <v>417546</v>
      </c>
      <c r="M100" s="247">
        <v>470064</v>
      </c>
      <c r="N100" s="425">
        <f t="shared" si="27"/>
        <v>88.827478811395906</v>
      </c>
      <c r="O100" s="126">
        <v>359</v>
      </c>
      <c r="P100" s="126">
        <v>52</v>
      </c>
    </row>
    <row r="101" spans="1:16" ht="17.25" x14ac:dyDescent="0.25">
      <c r="A101" s="265">
        <v>6</v>
      </c>
      <c r="B101" s="544" t="s">
        <v>632</v>
      </c>
      <c r="C101" s="247">
        <v>0</v>
      </c>
      <c r="D101" s="247">
        <v>0</v>
      </c>
      <c r="E101" s="425" t="e">
        <f t="shared" si="24"/>
        <v>#DIV/0!</v>
      </c>
      <c r="F101" s="247">
        <v>0</v>
      </c>
      <c r="G101" s="247">
        <v>0</v>
      </c>
      <c r="H101" s="425" t="e">
        <f t="shared" si="25"/>
        <v>#DIV/0!</v>
      </c>
      <c r="I101" s="247">
        <v>0</v>
      </c>
      <c r="J101" s="247">
        <v>0</v>
      </c>
      <c r="K101" s="425" t="e">
        <f t="shared" si="26"/>
        <v>#DIV/0!</v>
      </c>
      <c r="L101" s="247">
        <v>0</v>
      </c>
      <c r="M101" s="247">
        <v>0</v>
      </c>
      <c r="N101" s="425" t="e">
        <f t="shared" si="27"/>
        <v>#DIV/0!</v>
      </c>
    </row>
    <row r="102" spans="1:16" ht="17.25" x14ac:dyDescent="0.25">
      <c r="A102" s="265">
        <v>7</v>
      </c>
      <c r="B102" s="544" t="s">
        <v>633</v>
      </c>
      <c r="C102" s="247">
        <v>0</v>
      </c>
      <c r="D102" s="247">
        <v>0</v>
      </c>
      <c r="E102" s="425" t="e">
        <f t="shared" si="24"/>
        <v>#DIV/0!</v>
      </c>
      <c r="F102" s="247">
        <v>0</v>
      </c>
      <c r="G102" s="247">
        <v>0</v>
      </c>
      <c r="H102" s="425" t="e">
        <f t="shared" si="25"/>
        <v>#DIV/0!</v>
      </c>
      <c r="I102" s="247">
        <v>0</v>
      </c>
      <c r="J102" s="247">
        <v>0</v>
      </c>
      <c r="K102" s="425" t="e">
        <f t="shared" si="26"/>
        <v>#DIV/0!</v>
      </c>
      <c r="L102" s="247">
        <v>0</v>
      </c>
      <c r="M102" s="247">
        <v>0</v>
      </c>
      <c r="N102" s="425" t="e">
        <f t="shared" si="27"/>
        <v>#DIV/0!</v>
      </c>
    </row>
    <row r="103" spans="1:16" s="668" customFormat="1" ht="17.25" x14ac:dyDescent="0.25">
      <c r="A103" s="796">
        <v>8</v>
      </c>
      <c r="B103" s="665" t="s">
        <v>634</v>
      </c>
      <c r="C103" s="666">
        <v>189132</v>
      </c>
      <c r="D103" s="666">
        <v>336736</v>
      </c>
      <c r="E103" s="667">
        <f t="shared" si="24"/>
        <v>56.166254870284135</v>
      </c>
      <c r="F103" s="666">
        <v>23358</v>
      </c>
      <c r="G103" s="666">
        <v>18017</v>
      </c>
      <c r="H103" s="667">
        <f t="shared" si="25"/>
        <v>129.64422489870677</v>
      </c>
      <c r="I103" s="666">
        <v>245210</v>
      </c>
      <c r="J103" s="666">
        <v>373563</v>
      </c>
      <c r="K103" s="667">
        <f t="shared" si="26"/>
        <v>65.640869143892729</v>
      </c>
      <c r="L103" s="666">
        <v>10196</v>
      </c>
      <c r="M103" s="666">
        <v>107700</v>
      </c>
      <c r="N103" s="667">
        <f t="shared" si="27"/>
        <v>9.4670380687093783</v>
      </c>
      <c r="O103" s="668">
        <v>94</v>
      </c>
      <c r="P103" s="668">
        <v>98</v>
      </c>
    </row>
    <row r="104" spans="1:16" s="668" customFormat="1" ht="34.5" x14ac:dyDescent="0.25">
      <c r="A104" s="796">
        <v>9</v>
      </c>
      <c r="B104" s="665" t="s">
        <v>635</v>
      </c>
      <c r="C104" s="666">
        <v>0</v>
      </c>
      <c r="D104" s="666">
        <v>0</v>
      </c>
      <c r="E104" s="667" t="e">
        <f t="shared" si="24"/>
        <v>#DIV/0!</v>
      </c>
      <c r="F104" s="666">
        <v>0</v>
      </c>
      <c r="G104" s="666">
        <v>0</v>
      </c>
      <c r="H104" s="667" t="e">
        <f t="shared" si="25"/>
        <v>#DIV/0!</v>
      </c>
      <c r="I104" s="666">
        <v>0</v>
      </c>
      <c r="J104" s="666">
        <v>0</v>
      </c>
      <c r="K104" s="667" t="e">
        <f t="shared" si="26"/>
        <v>#DIV/0!</v>
      </c>
      <c r="L104" s="666">
        <v>0</v>
      </c>
      <c r="M104" s="666">
        <v>0</v>
      </c>
      <c r="N104" s="667" t="e">
        <f t="shared" si="27"/>
        <v>#DIV/0!</v>
      </c>
    </row>
    <row r="105" spans="1:16" s="668" customFormat="1" ht="17.25" x14ac:dyDescent="0.25">
      <c r="A105" s="796">
        <v>10</v>
      </c>
      <c r="B105" s="665" t="s">
        <v>636</v>
      </c>
      <c r="C105" s="666">
        <v>0</v>
      </c>
      <c r="D105" s="666">
        <v>0</v>
      </c>
      <c r="E105" s="667" t="e">
        <f t="shared" si="24"/>
        <v>#DIV/0!</v>
      </c>
      <c r="F105" s="666">
        <v>0</v>
      </c>
      <c r="G105" s="666">
        <v>0</v>
      </c>
      <c r="H105" s="667" t="e">
        <f t="shared" si="25"/>
        <v>#DIV/0!</v>
      </c>
      <c r="I105" s="666">
        <v>0</v>
      </c>
      <c r="J105" s="666">
        <v>0</v>
      </c>
      <c r="K105" s="667" t="e">
        <f t="shared" si="26"/>
        <v>#DIV/0!</v>
      </c>
      <c r="L105" s="666">
        <v>0</v>
      </c>
      <c r="M105" s="666">
        <v>0</v>
      </c>
      <c r="N105" s="667" t="e">
        <f t="shared" si="27"/>
        <v>#DIV/0!</v>
      </c>
      <c r="O105" s="668">
        <v>80</v>
      </c>
      <c r="P105" s="668">
        <v>69</v>
      </c>
    </row>
    <row r="106" spans="1:16" s="668" customFormat="1" ht="34.5" x14ac:dyDescent="0.25">
      <c r="A106" s="796">
        <v>11</v>
      </c>
      <c r="B106" s="665" t="s">
        <v>637</v>
      </c>
      <c r="C106" s="666">
        <v>0</v>
      </c>
      <c r="D106" s="666">
        <v>0</v>
      </c>
      <c r="E106" s="667" t="e">
        <f t="shared" si="24"/>
        <v>#DIV/0!</v>
      </c>
      <c r="F106" s="666">
        <v>0</v>
      </c>
      <c r="G106" s="666">
        <v>0</v>
      </c>
      <c r="H106" s="667" t="e">
        <f t="shared" si="25"/>
        <v>#DIV/0!</v>
      </c>
      <c r="I106" s="666">
        <v>0</v>
      </c>
      <c r="J106" s="666">
        <v>0</v>
      </c>
      <c r="K106" s="667" t="e">
        <f t="shared" si="26"/>
        <v>#DIV/0!</v>
      </c>
      <c r="L106" s="666">
        <v>0</v>
      </c>
      <c r="M106" s="666">
        <v>0</v>
      </c>
      <c r="N106" s="667" t="e">
        <f t="shared" si="27"/>
        <v>#DIV/0!</v>
      </c>
    </row>
    <row r="107" spans="1:16" ht="17.25" x14ac:dyDescent="0.25">
      <c r="A107" s="265">
        <v>12</v>
      </c>
      <c r="B107" s="544" t="s">
        <v>638</v>
      </c>
      <c r="C107" s="247">
        <v>0</v>
      </c>
      <c r="D107" s="247">
        <v>0</v>
      </c>
      <c r="E107" s="425" t="e">
        <f t="shared" si="24"/>
        <v>#DIV/0!</v>
      </c>
      <c r="F107" s="247">
        <v>0</v>
      </c>
      <c r="G107" s="247">
        <v>0</v>
      </c>
      <c r="H107" s="425" t="e">
        <f t="shared" si="25"/>
        <v>#DIV/0!</v>
      </c>
      <c r="I107" s="247">
        <v>0</v>
      </c>
      <c r="J107" s="247">
        <v>0</v>
      </c>
      <c r="K107" s="425" t="e">
        <f t="shared" si="26"/>
        <v>#DIV/0!</v>
      </c>
      <c r="L107" s="247">
        <v>0</v>
      </c>
      <c r="M107" s="247">
        <v>0</v>
      </c>
      <c r="N107" s="425" t="e">
        <f t="shared" si="27"/>
        <v>#DIV/0!</v>
      </c>
      <c r="O107" s="126">
        <v>8</v>
      </c>
      <c r="P107" s="126">
        <v>58</v>
      </c>
    </row>
    <row r="108" spans="1:16" ht="17.25" x14ac:dyDescent="0.25">
      <c r="A108" s="265">
        <v>13</v>
      </c>
      <c r="B108" s="544" t="s">
        <v>639</v>
      </c>
      <c r="C108" s="247">
        <v>60546</v>
      </c>
      <c r="D108" s="247">
        <v>37903</v>
      </c>
      <c r="E108" s="425">
        <f t="shared" si="24"/>
        <v>159.73933461731264</v>
      </c>
      <c r="F108" s="247">
        <v>2979</v>
      </c>
      <c r="G108" s="247">
        <v>5723</v>
      </c>
      <c r="H108" s="425">
        <f t="shared" si="25"/>
        <v>52.053118993534866</v>
      </c>
      <c r="I108" s="247">
        <v>63809</v>
      </c>
      <c r="J108" s="247">
        <v>39531</v>
      </c>
      <c r="K108" s="425">
        <f t="shared" si="26"/>
        <v>161.41509195315069</v>
      </c>
      <c r="L108" s="247">
        <v>56093</v>
      </c>
      <c r="M108" s="247">
        <v>26980</v>
      </c>
      <c r="N108" s="425">
        <f t="shared" si="27"/>
        <v>207.90585618977019</v>
      </c>
      <c r="O108" s="126">
        <v>65</v>
      </c>
      <c r="P108" s="126">
        <v>60</v>
      </c>
    </row>
    <row r="109" spans="1:16" ht="17.25" x14ac:dyDescent="0.25">
      <c r="A109" s="265">
        <v>14</v>
      </c>
      <c r="B109" s="544" t="s">
        <v>640</v>
      </c>
      <c r="C109" s="247">
        <v>0</v>
      </c>
      <c r="D109" s="247">
        <v>0</v>
      </c>
      <c r="E109" s="425" t="e">
        <f t="shared" si="24"/>
        <v>#DIV/0!</v>
      </c>
      <c r="F109" s="247">
        <v>0</v>
      </c>
      <c r="G109" s="247">
        <v>0</v>
      </c>
      <c r="H109" s="425" t="e">
        <f>F109/G109*100</f>
        <v>#DIV/0!</v>
      </c>
      <c r="I109" s="247">
        <v>0</v>
      </c>
      <c r="J109" s="247">
        <v>0</v>
      </c>
      <c r="K109" s="425" t="e">
        <f t="shared" si="26"/>
        <v>#DIV/0!</v>
      </c>
      <c r="L109" s="247">
        <v>0</v>
      </c>
      <c r="M109" s="247">
        <v>0</v>
      </c>
      <c r="N109" s="425" t="e">
        <f t="shared" si="27"/>
        <v>#DIV/0!</v>
      </c>
    </row>
    <row r="110" spans="1:16" ht="17.25" x14ac:dyDescent="0.25">
      <c r="A110" s="265">
        <v>15</v>
      </c>
      <c r="B110" s="544" t="s">
        <v>641</v>
      </c>
      <c r="C110" s="247">
        <v>99385</v>
      </c>
      <c r="D110" s="247">
        <v>105981</v>
      </c>
      <c r="E110" s="425">
        <f t="shared" si="24"/>
        <v>93.77624291146526</v>
      </c>
      <c r="F110" s="247">
        <v>4659</v>
      </c>
      <c r="G110" s="247">
        <v>0</v>
      </c>
      <c r="H110" s="425" t="e">
        <f t="shared" si="25"/>
        <v>#DIV/0!</v>
      </c>
      <c r="I110" s="247">
        <v>99385</v>
      </c>
      <c r="J110" s="247">
        <v>105981</v>
      </c>
      <c r="K110" s="425">
        <f t="shared" si="26"/>
        <v>93.77624291146526</v>
      </c>
      <c r="L110" s="247">
        <v>99385</v>
      </c>
      <c r="M110" s="247">
        <v>105981</v>
      </c>
      <c r="N110" s="425">
        <f t="shared" si="27"/>
        <v>93.77624291146526</v>
      </c>
      <c r="O110" s="126">
        <v>62</v>
      </c>
      <c r="P110" s="126">
        <v>70</v>
      </c>
    </row>
    <row r="111" spans="1:16" ht="17.25" x14ac:dyDescent="0.25">
      <c r="A111" s="265">
        <v>16</v>
      </c>
      <c r="B111" s="544" t="s">
        <v>642</v>
      </c>
      <c r="C111" s="247">
        <v>161779</v>
      </c>
      <c r="D111" s="247">
        <v>206959</v>
      </c>
      <c r="E111" s="425">
        <f t="shared" si="24"/>
        <v>78.169589145676198</v>
      </c>
      <c r="F111" s="247">
        <v>1045</v>
      </c>
      <c r="G111" s="247">
        <v>21624</v>
      </c>
      <c r="H111" s="425">
        <f t="shared" si="25"/>
        <v>4.8325934147243803</v>
      </c>
      <c r="I111" s="247">
        <v>157430</v>
      </c>
      <c r="J111" s="247">
        <v>203776</v>
      </c>
      <c r="K111" s="425">
        <f t="shared" si="26"/>
        <v>77.256399183417088</v>
      </c>
      <c r="L111" s="247">
        <v>0</v>
      </c>
      <c r="M111" s="247">
        <v>0</v>
      </c>
      <c r="N111" s="425" t="e">
        <f t="shared" si="27"/>
        <v>#DIV/0!</v>
      </c>
      <c r="O111" s="126">
        <v>37</v>
      </c>
      <c r="P111" s="126">
        <v>76</v>
      </c>
    </row>
    <row r="112" spans="1:16" ht="34.5" x14ac:dyDescent="0.25">
      <c r="A112" s="265">
        <v>17</v>
      </c>
      <c r="B112" s="544" t="s">
        <v>643</v>
      </c>
      <c r="C112" s="247">
        <v>768374</v>
      </c>
      <c r="D112" s="247">
        <v>645130</v>
      </c>
      <c r="E112" s="425">
        <f t="shared" si="24"/>
        <v>119.10374653170679</v>
      </c>
      <c r="F112" s="247">
        <v>110689</v>
      </c>
      <c r="G112" s="247">
        <v>104090</v>
      </c>
      <c r="H112" s="425">
        <f t="shared" si="25"/>
        <v>106.33970602363338</v>
      </c>
      <c r="I112" s="247">
        <v>781181</v>
      </c>
      <c r="J112" s="247">
        <v>589231</v>
      </c>
      <c r="K112" s="425">
        <f t="shared" si="26"/>
        <v>132.57635799881541</v>
      </c>
      <c r="L112" s="247">
        <v>0</v>
      </c>
      <c r="M112" s="247">
        <v>0</v>
      </c>
      <c r="N112" s="425" t="e">
        <f t="shared" si="27"/>
        <v>#DIV/0!</v>
      </c>
      <c r="O112" s="126">
        <v>177</v>
      </c>
      <c r="P112" s="126">
        <v>70</v>
      </c>
    </row>
    <row r="113" spans="1:16" ht="34.5" x14ac:dyDescent="0.25">
      <c r="A113" s="265">
        <v>18</v>
      </c>
      <c r="B113" s="544" t="s">
        <v>644</v>
      </c>
      <c r="C113" s="247">
        <v>1582711</v>
      </c>
      <c r="D113" s="247">
        <v>0</v>
      </c>
      <c r="E113" s="425" t="e">
        <f t="shared" si="24"/>
        <v>#DIV/0!</v>
      </c>
      <c r="F113" s="247">
        <v>227855</v>
      </c>
      <c r="G113" s="247">
        <v>0</v>
      </c>
      <c r="H113" s="425" t="e">
        <f t="shared" si="25"/>
        <v>#DIV/0!</v>
      </c>
      <c r="I113" s="247">
        <v>1582711</v>
      </c>
      <c r="J113" s="247">
        <v>0</v>
      </c>
      <c r="K113" s="425" t="e">
        <f t="shared" si="26"/>
        <v>#DIV/0!</v>
      </c>
      <c r="L113" s="247">
        <v>138358</v>
      </c>
      <c r="M113" s="247">
        <v>0</v>
      </c>
      <c r="N113" s="425" t="e">
        <f t="shared" si="27"/>
        <v>#DIV/0!</v>
      </c>
      <c r="O113" s="126">
        <v>1065</v>
      </c>
      <c r="P113" s="126">
        <v>77</v>
      </c>
    </row>
    <row r="114" spans="1:16" ht="17.25" x14ac:dyDescent="0.25">
      <c r="A114" s="265">
        <v>19</v>
      </c>
      <c r="B114" s="807" t="s">
        <v>645</v>
      </c>
      <c r="C114" s="247">
        <v>8942</v>
      </c>
      <c r="D114" s="247">
        <v>0</v>
      </c>
      <c r="E114" s="425" t="e">
        <f t="shared" si="24"/>
        <v>#DIV/0!</v>
      </c>
      <c r="F114" s="247">
        <v>0</v>
      </c>
      <c r="G114" s="247">
        <v>0</v>
      </c>
      <c r="H114" s="425" t="e">
        <f t="shared" si="25"/>
        <v>#DIV/0!</v>
      </c>
      <c r="I114" s="247">
        <v>6231</v>
      </c>
      <c r="J114" s="247">
        <v>0</v>
      </c>
      <c r="K114" s="425" t="e">
        <f t="shared" si="26"/>
        <v>#DIV/0!</v>
      </c>
      <c r="L114" s="247">
        <v>0</v>
      </c>
      <c r="M114" s="247">
        <v>0</v>
      </c>
      <c r="N114" s="425" t="e">
        <f t="shared" si="27"/>
        <v>#DIV/0!</v>
      </c>
      <c r="O114" s="126">
        <v>30</v>
      </c>
      <c r="P114" s="126">
        <v>67</v>
      </c>
    </row>
    <row r="115" spans="1:16" ht="34.5" x14ac:dyDescent="0.25">
      <c r="A115" s="265">
        <v>20</v>
      </c>
      <c r="B115" s="544" t="s">
        <v>646</v>
      </c>
      <c r="C115" s="247">
        <v>0</v>
      </c>
      <c r="D115" s="247">
        <v>0</v>
      </c>
      <c r="E115" s="425" t="e">
        <f t="shared" si="24"/>
        <v>#DIV/0!</v>
      </c>
      <c r="F115" s="247">
        <v>0</v>
      </c>
      <c r="G115" s="247">
        <v>0</v>
      </c>
      <c r="H115" s="425" t="e">
        <f t="shared" si="25"/>
        <v>#DIV/0!</v>
      </c>
      <c r="I115" s="247">
        <v>0</v>
      </c>
      <c r="J115" s="247">
        <v>0</v>
      </c>
      <c r="K115" s="425" t="e">
        <f t="shared" si="26"/>
        <v>#DIV/0!</v>
      </c>
      <c r="L115" s="247">
        <v>0</v>
      </c>
      <c r="M115" s="247">
        <v>0</v>
      </c>
      <c r="N115" s="425" t="e">
        <f t="shared" si="27"/>
        <v>#DIV/0!</v>
      </c>
    </row>
    <row r="116" spans="1:16" ht="17.25" x14ac:dyDescent="0.25">
      <c r="A116" s="265">
        <v>21</v>
      </c>
      <c r="B116" s="544" t="s">
        <v>647</v>
      </c>
      <c r="C116" s="247">
        <v>65433</v>
      </c>
      <c r="D116" s="247">
        <v>83175</v>
      </c>
      <c r="E116" s="425">
        <f t="shared" si="24"/>
        <v>78.669071235347161</v>
      </c>
      <c r="F116" s="247">
        <v>6369</v>
      </c>
      <c r="G116" s="247">
        <v>11139</v>
      </c>
      <c r="H116" s="425">
        <f t="shared" si="25"/>
        <v>57.177484513870183</v>
      </c>
      <c r="I116" s="247">
        <v>65833</v>
      </c>
      <c r="J116" s="247">
        <v>83175</v>
      </c>
      <c r="K116" s="425">
        <f t="shared" si="26"/>
        <v>79.149984971445747</v>
      </c>
      <c r="L116" s="247">
        <v>60981</v>
      </c>
      <c r="M116" s="247">
        <v>62144</v>
      </c>
      <c r="N116" s="425">
        <f t="shared" si="27"/>
        <v>98.12854016477857</v>
      </c>
      <c r="O116" s="126">
        <v>15</v>
      </c>
      <c r="P116" s="126">
        <v>70</v>
      </c>
    </row>
    <row r="117" spans="1:16" ht="17.25" x14ac:dyDescent="0.25">
      <c r="A117" s="265">
        <v>22</v>
      </c>
      <c r="B117" s="544" t="s">
        <v>648</v>
      </c>
      <c r="C117" s="247">
        <v>27580</v>
      </c>
      <c r="D117" s="247">
        <v>30890</v>
      </c>
      <c r="E117" s="425">
        <f t="shared" si="24"/>
        <v>89.284558109420516</v>
      </c>
      <c r="F117" s="247">
        <v>2240</v>
      </c>
      <c r="G117" s="247">
        <v>3360</v>
      </c>
      <c r="H117" s="425">
        <f t="shared" si="25"/>
        <v>66.666666666666657</v>
      </c>
      <c r="I117" s="247">
        <v>39445</v>
      </c>
      <c r="J117" s="247">
        <v>42478</v>
      </c>
      <c r="K117" s="425">
        <f t="shared" si="26"/>
        <v>92.859833325486136</v>
      </c>
      <c r="L117" s="247">
        <v>0</v>
      </c>
      <c r="M117" s="247">
        <v>0</v>
      </c>
      <c r="N117" s="425" t="e">
        <f t="shared" si="27"/>
        <v>#DIV/0!</v>
      </c>
      <c r="O117" s="126">
        <v>13</v>
      </c>
      <c r="P117" s="126">
        <v>95</v>
      </c>
    </row>
    <row r="118" spans="1:16" ht="17.25" x14ac:dyDescent="0.25">
      <c r="A118" s="265">
        <v>23</v>
      </c>
      <c r="B118" s="544" t="s">
        <v>649</v>
      </c>
      <c r="C118" s="247">
        <v>154414</v>
      </c>
      <c r="D118" s="247">
        <v>132111</v>
      </c>
      <c r="E118" s="425">
        <f t="shared" si="24"/>
        <v>116.88201588058527</v>
      </c>
      <c r="F118" s="247">
        <v>16320</v>
      </c>
      <c r="G118" s="247">
        <v>15562</v>
      </c>
      <c r="H118" s="425">
        <f t="shared" si="25"/>
        <v>104.87083922375015</v>
      </c>
      <c r="I118" s="247">
        <v>155430</v>
      </c>
      <c r="J118" s="247">
        <v>132929</v>
      </c>
      <c r="K118" s="425">
        <f t="shared" si="26"/>
        <v>116.92708137426746</v>
      </c>
      <c r="L118" s="247">
        <v>0</v>
      </c>
      <c r="M118" s="247">
        <v>0</v>
      </c>
      <c r="N118" s="425" t="e">
        <f t="shared" si="27"/>
        <v>#DIV/0!</v>
      </c>
      <c r="O118" s="126">
        <v>33</v>
      </c>
      <c r="P118" s="126">
        <v>77</v>
      </c>
    </row>
    <row r="119" spans="1:16" ht="34.5" x14ac:dyDescent="0.25">
      <c r="A119" s="265">
        <v>24</v>
      </c>
      <c r="B119" s="544" t="s">
        <v>650</v>
      </c>
      <c r="C119" s="247">
        <v>57044</v>
      </c>
      <c r="D119" s="247">
        <v>41791</v>
      </c>
      <c r="E119" s="425">
        <f t="shared" si="24"/>
        <v>136.49828910530974</v>
      </c>
      <c r="F119" s="247">
        <v>2167</v>
      </c>
      <c r="G119" s="247">
        <v>2266</v>
      </c>
      <c r="H119" s="425">
        <f t="shared" si="25"/>
        <v>95.631067961165044</v>
      </c>
      <c r="I119" s="247">
        <v>184097</v>
      </c>
      <c r="J119" s="247">
        <v>123264</v>
      </c>
      <c r="K119" s="425">
        <f t="shared" si="26"/>
        <v>149.35179776739355</v>
      </c>
      <c r="L119" s="247">
        <v>0</v>
      </c>
      <c r="M119" s="247">
        <v>0</v>
      </c>
      <c r="N119" s="425" t="e">
        <f t="shared" si="27"/>
        <v>#DIV/0!</v>
      </c>
      <c r="O119" s="126">
        <v>50</v>
      </c>
      <c r="P119" s="126">
        <v>75</v>
      </c>
    </row>
    <row r="120" spans="1:16" ht="34.5" x14ac:dyDescent="0.25">
      <c r="A120" s="265">
        <v>25</v>
      </c>
      <c r="B120" s="544" t="s">
        <v>651</v>
      </c>
      <c r="C120" s="247">
        <v>44020</v>
      </c>
      <c r="D120" s="247">
        <v>35633</v>
      </c>
      <c r="E120" s="425">
        <f t="shared" si="24"/>
        <v>123.53717060028626</v>
      </c>
      <c r="F120" s="247">
        <v>7975</v>
      </c>
      <c r="G120" s="247">
        <v>3619</v>
      </c>
      <c r="H120" s="425">
        <f t="shared" si="25"/>
        <v>220.36474164133736</v>
      </c>
      <c r="I120" s="247">
        <v>43968</v>
      </c>
      <c r="J120" s="247">
        <v>36170</v>
      </c>
      <c r="K120" s="425">
        <f t="shared" si="26"/>
        <v>121.55930329001936</v>
      </c>
      <c r="L120" s="247">
        <v>0</v>
      </c>
      <c r="M120" s="247">
        <v>0</v>
      </c>
      <c r="N120" s="425" t="e">
        <f t="shared" si="27"/>
        <v>#DIV/0!</v>
      </c>
      <c r="O120" s="126">
        <v>22</v>
      </c>
      <c r="P120" s="126">
        <v>69</v>
      </c>
    </row>
    <row r="121" spans="1:16" s="668" customFormat="1" ht="34.5" x14ac:dyDescent="0.25">
      <c r="A121" s="796">
        <v>26</v>
      </c>
      <c r="B121" s="665" t="s">
        <v>228</v>
      </c>
      <c r="C121" s="666">
        <v>40941</v>
      </c>
      <c r="D121" s="666">
        <v>22347</v>
      </c>
      <c r="E121" s="667">
        <f t="shared" si="24"/>
        <v>183.20579943616593</v>
      </c>
      <c r="F121" s="666">
        <v>3204</v>
      </c>
      <c r="G121" s="666">
        <v>1423</v>
      </c>
      <c r="H121" s="667">
        <f t="shared" si="25"/>
        <v>225.15811665495434</v>
      </c>
      <c r="I121" s="666">
        <v>31164</v>
      </c>
      <c r="J121" s="666">
        <v>29322</v>
      </c>
      <c r="K121" s="667">
        <f t="shared" si="26"/>
        <v>106.28197258031513</v>
      </c>
      <c r="L121" s="666">
        <v>0</v>
      </c>
      <c r="M121" s="666">
        <v>0</v>
      </c>
      <c r="N121" s="667" t="e">
        <f t="shared" si="27"/>
        <v>#DIV/0!</v>
      </c>
      <c r="O121" s="668">
        <v>17</v>
      </c>
      <c r="P121" s="668">
        <v>65</v>
      </c>
    </row>
    <row r="122" spans="1:16" s="668" customFormat="1" ht="51.75" x14ac:dyDescent="0.25">
      <c r="A122" s="796">
        <v>27</v>
      </c>
      <c r="B122" s="665" t="s">
        <v>784</v>
      </c>
      <c r="C122" s="666">
        <v>82167</v>
      </c>
      <c r="D122" s="666">
        <v>31397</v>
      </c>
      <c r="E122" s="667">
        <f t="shared" si="24"/>
        <v>261.70334745357837</v>
      </c>
      <c r="F122" s="666">
        <v>7429</v>
      </c>
      <c r="G122" s="666">
        <v>6605</v>
      </c>
      <c r="H122" s="667">
        <f t="shared" si="25"/>
        <v>112.47539742619227</v>
      </c>
      <c r="I122" s="666">
        <v>100652</v>
      </c>
      <c r="J122" s="666">
        <v>44422</v>
      </c>
      <c r="K122" s="667">
        <f t="shared" si="26"/>
        <v>226.58142361892754</v>
      </c>
      <c r="L122" s="666">
        <v>0</v>
      </c>
      <c r="M122" s="666">
        <v>0</v>
      </c>
      <c r="N122" s="667" t="e">
        <f t="shared" si="27"/>
        <v>#DIV/0!</v>
      </c>
      <c r="O122" s="668">
        <v>39</v>
      </c>
    </row>
    <row r="123" spans="1:16" s="563" customFormat="1" ht="17.25" x14ac:dyDescent="0.25">
      <c r="A123" s="265">
        <v>28</v>
      </c>
      <c r="B123" s="544" t="s">
        <v>238</v>
      </c>
      <c r="C123" s="247">
        <v>86187</v>
      </c>
      <c r="D123" s="247">
        <v>78932</v>
      </c>
      <c r="E123" s="425">
        <f t="shared" si="24"/>
        <v>109.1914559367557</v>
      </c>
      <c r="F123" s="247">
        <v>8424</v>
      </c>
      <c r="G123" s="247">
        <v>11590</v>
      </c>
      <c r="H123" s="425">
        <f t="shared" si="25"/>
        <v>72.683347713546169</v>
      </c>
      <c r="I123" s="247">
        <v>86187</v>
      </c>
      <c r="J123" s="247">
        <v>78932</v>
      </c>
      <c r="K123" s="425">
        <f t="shared" si="26"/>
        <v>109.1914559367557</v>
      </c>
      <c r="L123" s="247">
        <v>0</v>
      </c>
      <c r="M123" s="247">
        <v>0</v>
      </c>
      <c r="N123" s="425" t="e">
        <f t="shared" si="27"/>
        <v>#DIV/0!</v>
      </c>
      <c r="O123" s="646">
        <v>37</v>
      </c>
      <c r="P123" s="646">
        <v>75</v>
      </c>
    </row>
    <row r="125" spans="1:16" ht="17.25" x14ac:dyDescent="0.25">
      <c r="A125" s="353"/>
      <c r="B125" s="730" t="s">
        <v>360</v>
      </c>
      <c r="C125" s="463">
        <f>SUM(C126:C131)</f>
        <v>146377</v>
      </c>
      <c r="D125" s="454">
        <f>SUM(D126:D131)</f>
        <v>149281</v>
      </c>
      <c r="E125" s="453">
        <f>C125/D125*100</f>
        <v>98.054675410802446</v>
      </c>
      <c r="F125" s="454">
        <f>SUM(F126:F131)</f>
        <v>10305</v>
      </c>
      <c r="G125" s="454">
        <f>SUM(G126:G131)</f>
        <v>8542</v>
      </c>
      <c r="H125" s="453">
        <f>F125/G125*100</f>
        <v>120.63919456801686</v>
      </c>
      <c r="I125" s="454">
        <f>SUM(I126:I131)</f>
        <v>151557</v>
      </c>
      <c r="J125" s="454">
        <f>SUM(J126:J131)</f>
        <v>134273</v>
      </c>
      <c r="K125" s="453">
        <f>I125/J125*100</f>
        <v>112.87228258845785</v>
      </c>
      <c r="L125" s="454">
        <f>SUM(L126:L131)</f>
        <v>44880</v>
      </c>
      <c r="M125" s="454">
        <f>SUM(M126:M131)</f>
        <v>29329</v>
      </c>
      <c r="N125" s="453">
        <f>L125/M125*100</f>
        <v>153.02260561219271</v>
      </c>
    </row>
    <row r="126" spans="1:16" ht="17.25" x14ac:dyDescent="0.25">
      <c r="A126" s="252">
        <v>1</v>
      </c>
      <c r="B126" s="544" t="s">
        <v>652</v>
      </c>
      <c r="C126" s="247">
        <v>105864</v>
      </c>
      <c r="D126" s="247">
        <v>106671</v>
      </c>
      <c r="E126" s="425">
        <f t="shared" ref="E126:E131" si="28">C126/D126*100</f>
        <v>99.243468234102991</v>
      </c>
      <c r="F126" s="247">
        <v>7909</v>
      </c>
      <c r="G126" s="247">
        <v>1906</v>
      </c>
      <c r="H126" s="425">
        <f t="shared" ref="H126:H131" si="29">F126/G126*100</f>
        <v>414.95278069254988</v>
      </c>
      <c r="I126" s="247">
        <v>105943</v>
      </c>
      <c r="J126" s="247">
        <v>82775</v>
      </c>
      <c r="K126" s="425">
        <f t="shared" ref="K126:K131" si="30">I126/J126*100</f>
        <v>127.98912715191786</v>
      </c>
      <c r="L126" s="247">
        <v>44880</v>
      </c>
      <c r="M126" s="247">
        <v>29329</v>
      </c>
      <c r="N126" s="453">
        <f t="shared" ref="N126:N131" si="31">L126/M126*100</f>
        <v>153.02260561219271</v>
      </c>
      <c r="O126" s="126">
        <v>71</v>
      </c>
      <c r="P126" s="126">
        <v>80</v>
      </c>
    </row>
    <row r="127" spans="1:16" ht="34.5" x14ac:dyDescent="0.25">
      <c r="A127" s="252">
        <v>2</v>
      </c>
      <c r="B127" s="544" t="s">
        <v>653</v>
      </c>
      <c r="C127" s="247">
        <v>0</v>
      </c>
      <c r="D127" s="247">
        <v>0</v>
      </c>
      <c r="E127" s="425" t="e">
        <f t="shared" si="28"/>
        <v>#DIV/0!</v>
      </c>
      <c r="F127" s="247">
        <v>0</v>
      </c>
      <c r="G127" s="247">
        <v>0</v>
      </c>
      <c r="H127" s="425" t="e">
        <f t="shared" si="29"/>
        <v>#DIV/0!</v>
      </c>
      <c r="I127" s="247">
        <v>0</v>
      </c>
      <c r="J127" s="247">
        <v>0</v>
      </c>
      <c r="K127" s="425" t="e">
        <f t="shared" si="30"/>
        <v>#DIV/0!</v>
      </c>
      <c r="L127" s="247">
        <v>0</v>
      </c>
      <c r="M127" s="247">
        <v>0</v>
      </c>
      <c r="N127" s="453" t="e">
        <f t="shared" si="31"/>
        <v>#DIV/0!</v>
      </c>
    </row>
    <row r="128" spans="1:16" ht="17.25" x14ac:dyDescent="0.25">
      <c r="A128" s="252">
        <v>3</v>
      </c>
      <c r="B128" s="544" t="s">
        <v>654</v>
      </c>
      <c r="C128" s="247">
        <v>0</v>
      </c>
      <c r="D128" s="247">
        <v>0</v>
      </c>
      <c r="E128" s="425" t="e">
        <f t="shared" si="28"/>
        <v>#DIV/0!</v>
      </c>
      <c r="F128" s="247">
        <v>0</v>
      </c>
      <c r="G128" s="247">
        <v>0</v>
      </c>
      <c r="H128" s="425" t="e">
        <f t="shared" si="29"/>
        <v>#DIV/0!</v>
      </c>
      <c r="I128" s="247">
        <v>0</v>
      </c>
      <c r="J128" s="247">
        <v>0</v>
      </c>
      <c r="K128" s="425" t="e">
        <f t="shared" si="30"/>
        <v>#DIV/0!</v>
      </c>
      <c r="L128" s="247">
        <v>0</v>
      </c>
      <c r="M128" s="247">
        <v>0</v>
      </c>
      <c r="N128" s="453" t="e">
        <f t="shared" si="31"/>
        <v>#DIV/0!</v>
      </c>
    </row>
    <row r="129" spans="1:16" s="668" customFormat="1" ht="17.25" x14ac:dyDescent="0.25">
      <c r="A129" s="793">
        <v>4</v>
      </c>
      <c r="B129" s="665" t="s">
        <v>796</v>
      </c>
      <c r="C129" s="666">
        <v>6424</v>
      </c>
      <c r="D129" s="666">
        <v>1495</v>
      </c>
      <c r="E129" s="667">
        <f t="shared" si="28"/>
        <v>429.69899665551844</v>
      </c>
      <c r="F129" s="666">
        <v>0</v>
      </c>
      <c r="G129" s="666">
        <v>445</v>
      </c>
      <c r="H129" s="667">
        <f t="shared" si="29"/>
        <v>0</v>
      </c>
      <c r="I129" s="666">
        <v>11525</v>
      </c>
      <c r="J129" s="666">
        <v>10383</v>
      </c>
      <c r="K129" s="667">
        <f t="shared" si="30"/>
        <v>110.99874795338533</v>
      </c>
      <c r="L129" s="666">
        <v>0</v>
      </c>
      <c r="M129" s="666">
        <v>0</v>
      </c>
      <c r="N129" s="798" t="e">
        <f t="shared" si="31"/>
        <v>#DIV/0!</v>
      </c>
      <c r="O129" s="668">
        <v>8</v>
      </c>
      <c r="P129" s="668">
        <v>70</v>
      </c>
    </row>
    <row r="130" spans="1:16" ht="17.25" x14ac:dyDescent="0.25">
      <c r="A130" s="252">
        <v>5</v>
      </c>
      <c r="B130" s="544" t="s">
        <v>656</v>
      </c>
      <c r="C130" s="247">
        <v>0</v>
      </c>
      <c r="D130" s="247">
        <v>0</v>
      </c>
      <c r="E130" s="425" t="e">
        <f t="shared" si="28"/>
        <v>#DIV/0!</v>
      </c>
      <c r="F130" s="247">
        <v>0</v>
      </c>
      <c r="G130" s="247">
        <v>0</v>
      </c>
      <c r="H130" s="425" t="e">
        <f t="shared" si="29"/>
        <v>#DIV/0!</v>
      </c>
      <c r="I130" s="247">
        <v>0</v>
      </c>
      <c r="J130" s="247">
        <v>0</v>
      </c>
      <c r="K130" s="425" t="e">
        <f t="shared" si="30"/>
        <v>#DIV/0!</v>
      </c>
      <c r="L130" s="247">
        <v>0</v>
      </c>
      <c r="M130" s="247">
        <v>0</v>
      </c>
      <c r="N130" s="453" t="e">
        <f t="shared" si="31"/>
        <v>#DIV/0!</v>
      </c>
    </row>
    <row r="131" spans="1:16" ht="34.5" x14ac:dyDescent="0.25">
      <c r="A131" s="252">
        <v>6</v>
      </c>
      <c r="B131" s="544" t="s">
        <v>657</v>
      </c>
      <c r="C131" s="247">
        <v>34089</v>
      </c>
      <c r="D131" s="247">
        <v>41115</v>
      </c>
      <c r="E131" s="425">
        <f t="shared" si="28"/>
        <v>82.91134622400584</v>
      </c>
      <c r="F131" s="247">
        <v>2396</v>
      </c>
      <c r="G131" s="247">
        <v>6191</v>
      </c>
      <c r="H131" s="425">
        <f t="shared" si="29"/>
        <v>38.701340655790659</v>
      </c>
      <c r="I131" s="247">
        <v>34089</v>
      </c>
      <c r="J131" s="247">
        <v>41115</v>
      </c>
      <c r="K131" s="425">
        <f t="shared" si="30"/>
        <v>82.91134622400584</v>
      </c>
      <c r="L131" s="247">
        <v>0</v>
      </c>
      <c r="M131" s="247">
        <v>0</v>
      </c>
      <c r="N131" s="453" t="e">
        <f t="shared" si="31"/>
        <v>#DIV/0!</v>
      </c>
      <c r="O131" s="126">
        <v>20</v>
      </c>
      <c r="P131" s="126">
        <v>100</v>
      </c>
    </row>
    <row r="132" spans="1:16" ht="12.75" customHeight="1" x14ac:dyDescent="0.25">
      <c r="A132" s="564"/>
      <c r="B132" s="565"/>
      <c r="C132" s="445"/>
      <c r="D132" s="445"/>
      <c r="E132" s="439"/>
      <c r="F132" s="445"/>
      <c r="G132" s="445"/>
      <c r="H132" s="439"/>
      <c r="I132" s="445"/>
      <c r="J132" s="445"/>
      <c r="K132" s="439"/>
      <c r="L132" s="445"/>
      <c r="M132" s="445"/>
      <c r="N132" s="439"/>
    </row>
    <row r="133" spans="1:16" s="599" customFormat="1" x14ac:dyDescent="0.25">
      <c r="A133" s="1043" t="s">
        <v>737</v>
      </c>
      <c r="B133" s="1044" t="s">
        <v>78</v>
      </c>
      <c r="C133" s="345">
        <f>C134+C144</f>
        <v>317470022</v>
      </c>
      <c r="D133" s="345">
        <f>D134+D144</f>
        <v>313824712</v>
      </c>
      <c r="E133" s="467">
        <f>C133/D133*100</f>
        <v>101.16157519169491</v>
      </c>
      <c r="F133" s="345">
        <f>F134+F144</f>
        <v>28777222</v>
      </c>
      <c r="G133" s="345">
        <f>G134+G144</f>
        <v>27224063</v>
      </c>
      <c r="H133" s="467">
        <f>F133/G133*100</f>
        <v>105.70509625987863</v>
      </c>
      <c r="I133" s="345">
        <f>I134+I144</f>
        <v>305036956</v>
      </c>
      <c r="J133" s="345">
        <f>J134+J144</f>
        <v>294670673</v>
      </c>
      <c r="K133" s="467">
        <f>I133/J133*100</f>
        <v>103.51792151368929</v>
      </c>
      <c r="L133" s="345">
        <f>L134+L144</f>
        <v>243822751</v>
      </c>
      <c r="M133" s="345">
        <f>M134+M144</f>
        <v>240075615</v>
      </c>
      <c r="N133" s="467">
        <f>L133/M133*100</f>
        <v>101.56081491241832</v>
      </c>
    </row>
    <row r="134" spans="1:16" x14ac:dyDescent="0.25">
      <c r="A134" s="1033" t="s">
        <v>365</v>
      </c>
      <c r="B134" s="1034" t="s">
        <v>135</v>
      </c>
      <c r="C134" s="254">
        <f>SUM(C135:C142)</f>
        <v>163692061</v>
      </c>
      <c r="D134" s="254">
        <f>SUM(D135:D142)</f>
        <v>167045754</v>
      </c>
      <c r="E134" s="451">
        <f>C134/D134*100</f>
        <v>97.992350646637803</v>
      </c>
      <c r="F134" s="254">
        <f>SUM(F135:F142)</f>
        <v>14343301</v>
      </c>
      <c r="G134" s="254">
        <f>SUM(G135:G142)</f>
        <v>14773199</v>
      </c>
      <c r="H134" s="451">
        <f>F134/G134*100</f>
        <v>97.090014153332675</v>
      </c>
      <c r="I134" s="254">
        <f>SUM(I135:I142)</f>
        <v>151451451</v>
      </c>
      <c r="J134" s="254">
        <f>SUM(J135:J142)</f>
        <v>152848778</v>
      </c>
      <c r="K134" s="451">
        <f>I134/J134*100</f>
        <v>99.085810813613435</v>
      </c>
      <c r="L134" s="254">
        <f>SUM(L135:L142)</f>
        <v>103776874</v>
      </c>
      <c r="M134" s="254">
        <f>SUM(M135:M142)</f>
        <v>106285909</v>
      </c>
      <c r="N134" s="451">
        <f>L134/M134*100</f>
        <v>97.639353115002294</v>
      </c>
    </row>
    <row r="135" spans="1:16" ht="34.5" x14ac:dyDescent="0.25">
      <c r="A135" s="272">
        <v>1</v>
      </c>
      <c r="B135" s="544" t="s">
        <v>658</v>
      </c>
      <c r="C135" s="247">
        <v>111723940</v>
      </c>
      <c r="D135" s="247">
        <v>113010901</v>
      </c>
      <c r="E135" s="425">
        <f t="shared" ref="E135:E142" si="32">C135/D135*100</f>
        <v>98.861206318494894</v>
      </c>
      <c r="F135" s="247">
        <v>9464512</v>
      </c>
      <c r="G135" s="247">
        <v>9831609</v>
      </c>
      <c r="H135" s="425">
        <f t="shared" ref="H135:H142" si="33">F135/G135*100</f>
        <v>96.266155417694094</v>
      </c>
      <c r="I135" s="247">
        <v>107784550</v>
      </c>
      <c r="J135" s="247">
        <v>107688318</v>
      </c>
      <c r="K135" s="425">
        <f t="shared" ref="K135:K142" si="34">I135/J135*100</f>
        <v>100.08936159630611</v>
      </c>
      <c r="L135" s="247">
        <v>60683387</v>
      </c>
      <c r="M135" s="247">
        <v>62087808</v>
      </c>
      <c r="N135" s="425">
        <f t="shared" ref="N135:N142" si="35">L135/M135*100</f>
        <v>97.738008402551429</v>
      </c>
      <c r="O135" s="126">
        <v>3032</v>
      </c>
      <c r="P135" s="126">
        <v>145</v>
      </c>
    </row>
    <row r="136" spans="1:16" ht="17.25" x14ac:dyDescent="0.25">
      <c r="A136" s="272">
        <v>2</v>
      </c>
      <c r="B136" s="544" t="s">
        <v>659</v>
      </c>
      <c r="C136" s="247">
        <v>24848789</v>
      </c>
      <c r="D136" s="247">
        <v>23901997</v>
      </c>
      <c r="E136" s="425">
        <f t="shared" si="32"/>
        <v>103.96114182425845</v>
      </c>
      <c r="F136" s="247">
        <v>2249903</v>
      </c>
      <c r="G136" s="247">
        <v>2287513</v>
      </c>
      <c r="H136" s="425">
        <f t="shared" si="33"/>
        <v>98.355856338302772</v>
      </c>
      <c r="I136" s="247">
        <v>19517075</v>
      </c>
      <c r="J136" s="247">
        <v>19040223</v>
      </c>
      <c r="K136" s="425">
        <f t="shared" si="34"/>
        <v>102.50444545738777</v>
      </c>
      <c r="L136" s="247">
        <v>19517075</v>
      </c>
      <c r="M136" s="247">
        <v>19040223</v>
      </c>
      <c r="N136" s="425">
        <f t="shared" si="35"/>
        <v>102.50444545738777</v>
      </c>
      <c r="O136" s="126">
        <v>1013</v>
      </c>
      <c r="P136" s="126">
        <v>120</v>
      </c>
    </row>
    <row r="137" spans="1:16" ht="34.5" x14ac:dyDescent="0.25">
      <c r="A137" s="272">
        <v>3</v>
      </c>
      <c r="B137" s="544" t="s">
        <v>660</v>
      </c>
      <c r="C137" s="247">
        <v>16345486</v>
      </c>
      <c r="D137" s="247">
        <v>19907421</v>
      </c>
      <c r="E137" s="425">
        <f t="shared" si="32"/>
        <v>82.107501519157097</v>
      </c>
      <c r="F137" s="247">
        <v>1585675</v>
      </c>
      <c r="G137" s="247">
        <v>1790862</v>
      </c>
      <c r="H137" s="425">
        <f t="shared" si="33"/>
        <v>88.542556601234494</v>
      </c>
      <c r="I137" s="247">
        <v>15248368</v>
      </c>
      <c r="J137" s="247">
        <v>16790192</v>
      </c>
      <c r="K137" s="425">
        <f t="shared" si="34"/>
        <v>90.817115134835859</v>
      </c>
      <c r="L137" s="247">
        <v>15248368</v>
      </c>
      <c r="M137" s="247">
        <v>16790192</v>
      </c>
      <c r="N137" s="425">
        <f t="shared" si="35"/>
        <v>90.817115134835859</v>
      </c>
      <c r="O137" s="126">
        <v>1055</v>
      </c>
      <c r="P137" s="126">
        <v>306</v>
      </c>
    </row>
    <row r="138" spans="1:16" ht="17.25" x14ac:dyDescent="0.25">
      <c r="A138" s="272">
        <v>4</v>
      </c>
      <c r="B138" s="544" t="s">
        <v>661</v>
      </c>
      <c r="C138" s="247">
        <v>5974361</v>
      </c>
      <c r="D138" s="247">
        <v>4500010</v>
      </c>
      <c r="E138" s="425">
        <f t="shared" si="32"/>
        <v>132.76328274826056</v>
      </c>
      <c r="F138" s="247">
        <v>508568</v>
      </c>
      <c r="G138" s="247">
        <v>217950</v>
      </c>
      <c r="H138" s="425">
        <f t="shared" si="33"/>
        <v>233.3415921082817</v>
      </c>
      <c r="I138" s="247">
        <v>5350258</v>
      </c>
      <c r="J138" s="247">
        <v>4478817</v>
      </c>
      <c r="K138" s="425">
        <f t="shared" si="34"/>
        <v>119.45694588548716</v>
      </c>
      <c r="L138" s="247">
        <v>5350258</v>
      </c>
      <c r="M138" s="247">
        <v>4478817</v>
      </c>
      <c r="N138" s="425">
        <f t="shared" si="35"/>
        <v>119.45694588548716</v>
      </c>
      <c r="O138" s="126">
        <v>694</v>
      </c>
      <c r="P138" s="126">
        <v>166</v>
      </c>
    </row>
    <row r="139" spans="1:16" ht="17.25" x14ac:dyDescent="0.25">
      <c r="A139" s="272">
        <v>5</v>
      </c>
      <c r="B139" s="544" t="s">
        <v>662</v>
      </c>
      <c r="C139" s="247">
        <v>3605749</v>
      </c>
      <c r="D139" s="247">
        <v>4327108</v>
      </c>
      <c r="E139" s="425">
        <f t="shared" si="32"/>
        <v>83.329304468481027</v>
      </c>
      <c r="F139" s="247">
        <v>522852</v>
      </c>
      <c r="G139" s="247">
        <v>450571</v>
      </c>
      <c r="H139" s="425">
        <f t="shared" si="33"/>
        <v>116.042088816191</v>
      </c>
      <c r="I139" s="247">
        <v>2977786</v>
      </c>
      <c r="J139" s="247">
        <v>3888869</v>
      </c>
      <c r="K139" s="425">
        <f t="shared" si="34"/>
        <v>76.572031611247382</v>
      </c>
      <c r="L139" s="247">
        <v>2977786</v>
      </c>
      <c r="M139" s="247">
        <v>3888869</v>
      </c>
      <c r="N139" s="425">
        <f t="shared" si="35"/>
        <v>76.572031611247382</v>
      </c>
      <c r="O139" s="126">
        <v>412</v>
      </c>
      <c r="P139" s="126">
        <v>189</v>
      </c>
    </row>
    <row r="140" spans="1:16" s="668" customFormat="1" ht="34.5" x14ac:dyDescent="0.25">
      <c r="A140" s="748">
        <v>6</v>
      </c>
      <c r="B140" s="665" t="s">
        <v>798</v>
      </c>
      <c r="C140" s="666">
        <v>1114033</v>
      </c>
      <c r="D140" s="666">
        <v>1364545</v>
      </c>
      <c r="E140" s="667">
        <f t="shared" si="32"/>
        <v>81.641352978465349</v>
      </c>
      <c r="F140" s="666">
        <v>0</v>
      </c>
      <c r="G140" s="666">
        <v>191680</v>
      </c>
      <c r="H140" s="667">
        <f t="shared" si="33"/>
        <v>0</v>
      </c>
      <c r="I140" s="666">
        <v>493711</v>
      </c>
      <c r="J140" s="666">
        <v>928587</v>
      </c>
      <c r="K140" s="667">
        <f t="shared" si="34"/>
        <v>53.167985336861278</v>
      </c>
      <c r="L140" s="666">
        <v>0</v>
      </c>
      <c r="M140" s="666">
        <v>0</v>
      </c>
      <c r="N140" s="667" t="e">
        <f t="shared" si="35"/>
        <v>#DIV/0!</v>
      </c>
      <c r="O140" s="668">
        <v>287</v>
      </c>
    </row>
    <row r="141" spans="1:16" s="668" customFormat="1" ht="17.25" x14ac:dyDescent="0.25">
      <c r="A141" s="748">
        <v>7</v>
      </c>
      <c r="B141" s="665" t="s">
        <v>664</v>
      </c>
      <c r="C141" s="666">
        <v>0</v>
      </c>
      <c r="D141" s="666">
        <v>0</v>
      </c>
      <c r="E141" s="667" t="e">
        <f t="shared" si="32"/>
        <v>#DIV/0!</v>
      </c>
      <c r="F141" s="666">
        <v>0</v>
      </c>
      <c r="G141" s="666">
        <v>0</v>
      </c>
      <c r="H141" s="667" t="e">
        <f t="shared" si="33"/>
        <v>#DIV/0!</v>
      </c>
      <c r="I141" s="666">
        <v>0</v>
      </c>
      <c r="J141" s="666">
        <v>0</v>
      </c>
      <c r="K141" s="667" t="e">
        <f t="shared" si="34"/>
        <v>#DIV/0!</v>
      </c>
      <c r="L141" s="666">
        <v>0</v>
      </c>
      <c r="M141" s="666">
        <v>0</v>
      </c>
      <c r="N141" s="667" t="e">
        <f t="shared" si="35"/>
        <v>#DIV/0!</v>
      </c>
    </row>
    <row r="142" spans="1:16" s="668" customFormat="1" ht="17.25" x14ac:dyDescent="0.25">
      <c r="A142" s="748">
        <v>8</v>
      </c>
      <c r="B142" s="665" t="s">
        <v>665</v>
      </c>
      <c r="C142" s="666">
        <v>79703</v>
      </c>
      <c r="D142" s="666">
        <v>33772</v>
      </c>
      <c r="E142" s="667">
        <f t="shared" si="32"/>
        <v>236.00319791543291</v>
      </c>
      <c r="F142" s="666">
        <v>11791</v>
      </c>
      <c r="G142" s="666">
        <v>3014</v>
      </c>
      <c r="H142" s="667">
        <f t="shared" si="33"/>
        <v>391.20769741207698</v>
      </c>
      <c r="I142" s="666">
        <v>79703</v>
      </c>
      <c r="J142" s="666">
        <v>33772</v>
      </c>
      <c r="K142" s="667">
        <f t="shared" si="34"/>
        <v>236.00319791543291</v>
      </c>
      <c r="L142" s="666">
        <v>0</v>
      </c>
      <c r="M142" s="666">
        <v>0</v>
      </c>
      <c r="N142" s="667" t="e">
        <f t="shared" si="35"/>
        <v>#DIV/0!</v>
      </c>
      <c r="O142" s="668">
        <v>34</v>
      </c>
      <c r="P142" s="668">
        <v>95</v>
      </c>
    </row>
    <row r="143" spans="1:16" ht="9.75" customHeight="1" x14ac:dyDescent="0.25">
      <c r="B143" s="566"/>
    </row>
    <row r="144" spans="1:16" ht="17.25" x14ac:dyDescent="0.25">
      <c r="A144" s="492"/>
      <c r="B144" s="495" t="s">
        <v>15</v>
      </c>
      <c r="C144" s="254">
        <f>SUM(C145:C152)</f>
        <v>153777961</v>
      </c>
      <c r="D144" s="254">
        <f>SUM(D145:D152)</f>
        <v>146778958</v>
      </c>
      <c r="E144" s="451">
        <f>C144/D144*100</f>
        <v>104.76839670710838</v>
      </c>
      <c r="F144" s="254">
        <f>SUM(F145:F152)</f>
        <v>14433921</v>
      </c>
      <c r="G144" s="254">
        <f>SUM(G145:G152)</f>
        <v>12450864</v>
      </c>
      <c r="H144" s="451">
        <f>F144/G144*100</f>
        <v>115.92706337487904</v>
      </c>
      <c r="I144" s="254">
        <f>SUM(I145:I152)</f>
        <v>153585505</v>
      </c>
      <c r="J144" s="254">
        <f>SUM(J145:J152)</f>
        <v>141821895</v>
      </c>
      <c r="K144" s="451">
        <f>I144/J144*100</f>
        <v>108.29463602922525</v>
      </c>
      <c r="L144" s="254">
        <f>SUM(L145:L152)</f>
        <v>140045877</v>
      </c>
      <c r="M144" s="254">
        <f>SUM(M145:M152)</f>
        <v>133789706</v>
      </c>
      <c r="N144" s="451">
        <f>L144/M144*100</f>
        <v>104.67612284012344</v>
      </c>
    </row>
    <row r="145" spans="1:16" ht="17.25" x14ac:dyDescent="0.25">
      <c r="A145" s="272">
        <v>1</v>
      </c>
      <c r="B145" s="544" t="s">
        <v>666</v>
      </c>
      <c r="C145" s="247">
        <v>19921263</v>
      </c>
      <c r="D145" s="247">
        <v>18097678</v>
      </c>
      <c r="E145" s="425">
        <f t="shared" ref="E145:E152" si="36">C145/D145*100</f>
        <v>110.07634791601441</v>
      </c>
      <c r="F145" s="247">
        <v>1619738</v>
      </c>
      <c r="G145" s="247">
        <v>1568986</v>
      </c>
      <c r="H145" s="425">
        <f t="shared" ref="H145:H152" si="37">F145/G145*100</f>
        <v>103.23470062830388</v>
      </c>
      <c r="I145" s="247">
        <v>20196233</v>
      </c>
      <c r="J145" s="247">
        <v>17611746</v>
      </c>
      <c r="K145" s="425">
        <f t="shared" ref="K145:K152" si="38">I145/J145*100</f>
        <v>114.67479147155541</v>
      </c>
      <c r="L145" s="247">
        <v>20196233</v>
      </c>
      <c r="M145" s="247">
        <v>17611746</v>
      </c>
      <c r="N145" s="425">
        <f t="shared" ref="N145:N152" si="39">L145/M145*100</f>
        <v>114.67479147155541</v>
      </c>
      <c r="O145" s="126">
        <v>516</v>
      </c>
      <c r="P145" s="126">
        <v>150</v>
      </c>
    </row>
    <row r="146" spans="1:16" ht="34.5" x14ac:dyDescent="0.25">
      <c r="A146" s="272">
        <v>2</v>
      </c>
      <c r="B146" s="544" t="s">
        <v>797</v>
      </c>
      <c r="C146" s="247">
        <v>27082110</v>
      </c>
      <c r="D146" s="247">
        <v>33718915</v>
      </c>
      <c r="E146" s="425">
        <f t="shared" si="36"/>
        <v>80.31726406380514</v>
      </c>
      <c r="F146" s="247">
        <v>2584204</v>
      </c>
      <c r="G146" s="247">
        <v>2602006</v>
      </c>
      <c r="H146" s="425">
        <f t="shared" si="37"/>
        <v>99.315835551493734</v>
      </c>
      <c r="I146" s="247">
        <v>26879420</v>
      </c>
      <c r="J146" s="247">
        <v>31874512</v>
      </c>
      <c r="K146" s="425">
        <f t="shared" si="38"/>
        <v>84.3288832155297</v>
      </c>
      <c r="L146" s="247">
        <v>26800524</v>
      </c>
      <c r="M146" s="247">
        <v>31761583</v>
      </c>
      <c r="N146" s="425">
        <f t="shared" si="39"/>
        <v>84.380315678850138</v>
      </c>
      <c r="O146" s="126">
        <v>666</v>
      </c>
      <c r="P146" s="126">
        <v>176</v>
      </c>
    </row>
    <row r="147" spans="1:16" ht="17.25" x14ac:dyDescent="0.25">
      <c r="A147" s="272">
        <v>3</v>
      </c>
      <c r="B147" s="544" t="s">
        <v>668</v>
      </c>
      <c r="C147" s="247">
        <v>29306924</v>
      </c>
      <c r="D147" s="247">
        <v>26890445</v>
      </c>
      <c r="E147" s="425">
        <f t="shared" si="36"/>
        <v>108.98638531270122</v>
      </c>
      <c r="F147" s="247">
        <v>2302617</v>
      </c>
      <c r="G147" s="247">
        <v>2209552</v>
      </c>
      <c r="H147" s="425">
        <f t="shared" si="37"/>
        <v>104.21193979594054</v>
      </c>
      <c r="I147" s="247">
        <v>29383390</v>
      </c>
      <c r="J147" s="247">
        <v>26290428</v>
      </c>
      <c r="K147" s="425">
        <f t="shared" si="38"/>
        <v>111.7645935623414</v>
      </c>
      <c r="L147" s="247">
        <v>29383390</v>
      </c>
      <c r="M147" s="247">
        <v>26290428</v>
      </c>
      <c r="N147" s="425">
        <f t="shared" si="39"/>
        <v>111.7645935623414</v>
      </c>
      <c r="O147" s="126">
        <v>541</v>
      </c>
      <c r="P147" s="126">
        <v>180</v>
      </c>
    </row>
    <row r="148" spans="1:16" ht="17.25" x14ac:dyDescent="0.25">
      <c r="A148" s="272">
        <v>4</v>
      </c>
      <c r="B148" s="544" t="s">
        <v>669</v>
      </c>
      <c r="C148" s="247">
        <v>5550531</v>
      </c>
      <c r="D148" s="247">
        <v>4548365</v>
      </c>
      <c r="E148" s="425">
        <f t="shared" si="36"/>
        <v>122.03354392182686</v>
      </c>
      <c r="F148" s="247">
        <v>530253</v>
      </c>
      <c r="G148" s="247">
        <v>448331</v>
      </c>
      <c r="H148" s="425">
        <f t="shared" si="37"/>
        <v>118.27266015510862</v>
      </c>
      <c r="I148" s="247">
        <v>5412538</v>
      </c>
      <c r="J148" s="247">
        <v>4879948</v>
      </c>
      <c r="K148" s="425">
        <f t="shared" si="38"/>
        <v>110.91384580327495</v>
      </c>
      <c r="L148" s="247"/>
      <c r="M148" s="247"/>
      <c r="N148" s="425" t="e">
        <f t="shared" si="39"/>
        <v>#DIV/0!</v>
      </c>
      <c r="O148" s="126">
        <v>387</v>
      </c>
      <c r="P148" s="126">
        <v>58</v>
      </c>
    </row>
    <row r="149" spans="1:16" ht="34.5" x14ac:dyDescent="0.25">
      <c r="A149" s="272">
        <v>5</v>
      </c>
      <c r="B149" s="544" t="s">
        <v>670</v>
      </c>
      <c r="C149" s="247">
        <v>31916209</v>
      </c>
      <c r="D149" s="247">
        <v>29360355</v>
      </c>
      <c r="E149" s="425">
        <f t="shared" si="36"/>
        <v>108.70511953959685</v>
      </c>
      <c r="F149" s="247">
        <v>3258572</v>
      </c>
      <c r="G149" s="247">
        <v>2397634</v>
      </c>
      <c r="H149" s="425">
        <f t="shared" si="37"/>
        <v>135.90781578839807</v>
      </c>
      <c r="I149" s="247">
        <v>31062561</v>
      </c>
      <c r="J149" s="247">
        <v>27709726</v>
      </c>
      <c r="K149" s="425">
        <f t="shared" si="38"/>
        <v>112.0998489844324</v>
      </c>
      <c r="L149" s="247">
        <v>31062561</v>
      </c>
      <c r="M149" s="247">
        <v>27709726</v>
      </c>
      <c r="N149" s="425">
        <f t="shared" si="39"/>
        <v>112.0998489844324</v>
      </c>
      <c r="O149" s="126">
        <v>1019</v>
      </c>
      <c r="P149" s="126">
        <v>100</v>
      </c>
    </row>
    <row r="150" spans="1:16" ht="17.25" x14ac:dyDescent="0.25">
      <c r="A150" s="272">
        <v>6</v>
      </c>
      <c r="B150" s="544" t="s">
        <v>231</v>
      </c>
      <c r="C150" s="247">
        <v>32206356</v>
      </c>
      <c r="D150" s="247">
        <v>31021425</v>
      </c>
      <c r="E150" s="425">
        <f t="shared" si="36"/>
        <v>103.81971814641011</v>
      </c>
      <c r="F150" s="247">
        <v>3082643</v>
      </c>
      <c r="G150" s="247">
        <v>2902057</v>
      </c>
      <c r="H150" s="425">
        <f t="shared" si="37"/>
        <v>106.22268963014854</v>
      </c>
      <c r="I150" s="247">
        <v>32650606</v>
      </c>
      <c r="J150" s="247">
        <v>30494408</v>
      </c>
      <c r="K150" s="425">
        <f t="shared" si="38"/>
        <v>107.07079802959282</v>
      </c>
      <c r="L150" s="247">
        <v>32603169</v>
      </c>
      <c r="M150" s="247">
        <v>30416223</v>
      </c>
      <c r="N150" s="425">
        <f t="shared" si="39"/>
        <v>107.19006432849996</v>
      </c>
      <c r="O150" s="126">
        <v>638</v>
      </c>
      <c r="P150" s="126">
        <v>130</v>
      </c>
    </row>
    <row r="151" spans="1:16" ht="17.25" x14ac:dyDescent="0.25">
      <c r="A151" s="272">
        <v>7</v>
      </c>
      <c r="B151" s="544" t="s">
        <v>671</v>
      </c>
      <c r="C151" s="247">
        <v>3160684</v>
      </c>
      <c r="D151" s="247">
        <v>3141775</v>
      </c>
      <c r="E151" s="425">
        <f t="shared" si="36"/>
        <v>100.60185723038728</v>
      </c>
      <c r="F151" s="247">
        <v>361427</v>
      </c>
      <c r="G151" s="247">
        <v>322298</v>
      </c>
      <c r="H151" s="425">
        <f t="shared" si="37"/>
        <v>112.14062761791882</v>
      </c>
      <c r="I151" s="247">
        <v>3401366</v>
      </c>
      <c r="J151" s="247">
        <v>2961127</v>
      </c>
      <c r="K151" s="425">
        <f t="shared" si="38"/>
        <v>114.86727857332697</v>
      </c>
      <c r="L151" s="247"/>
      <c r="M151" s="247"/>
      <c r="N151" s="425" t="e">
        <f t="shared" si="39"/>
        <v>#DIV/0!</v>
      </c>
      <c r="O151" s="126">
        <v>31</v>
      </c>
      <c r="P151" s="126">
        <v>130</v>
      </c>
    </row>
    <row r="152" spans="1:16" ht="17.25" x14ac:dyDescent="0.25">
      <c r="A152" s="272">
        <v>8</v>
      </c>
      <c r="B152" s="544" t="s">
        <v>672</v>
      </c>
      <c r="C152" s="247">
        <v>4633884</v>
      </c>
      <c r="D152" s="247">
        <v>0</v>
      </c>
      <c r="E152" s="425" t="e">
        <f t="shared" si="36"/>
        <v>#DIV/0!</v>
      </c>
      <c r="F152" s="247">
        <v>694467</v>
      </c>
      <c r="G152" s="247">
        <v>0</v>
      </c>
      <c r="H152" s="425" t="e">
        <f t="shared" si="37"/>
        <v>#DIV/0!</v>
      </c>
      <c r="I152" s="247">
        <v>4599391</v>
      </c>
      <c r="J152" s="247">
        <v>0</v>
      </c>
      <c r="K152" s="425" t="e">
        <f t="shared" si="38"/>
        <v>#DIV/0!</v>
      </c>
      <c r="L152" s="247"/>
      <c r="M152" s="247"/>
      <c r="N152" s="425" t="e">
        <f t="shared" si="39"/>
        <v>#DIV/0!</v>
      </c>
      <c r="O152" s="126">
        <v>372</v>
      </c>
      <c r="P152" s="126">
        <v>140</v>
      </c>
    </row>
    <row r="154" spans="1:16" ht="33" x14ac:dyDescent="0.25">
      <c r="A154" s="494"/>
      <c r="B154" s="493" t="s">
        <v>544</v>
      </c>
      <c r="C154" s="469">
        <f>SUM(C155:C157)</f>
        <v>13199510</v>
      </c>
      <c r="D154" s="469">
        <f>SUM(D155:D157)</f>
        <v>13845874</v>
      </c>
      <c r="E154" s="470">
        <f>C154/D154*100</f>
        <v>95.331721204454126</v>
      </c>
      <c r="F154" s="469">
        <f>SUM(F155:F157)</f>
        <v>1385552</v>
      </c>
      <c r="G154" s="469">
        <f>SUM(G155:G157)</f>
        <v>1392929</v>
      </c>
      <c r="H154" s="470">
        <f>F154/G154*100</f>
        <v>99.470396552875272</v>
      </c>
      <c r="I154" s="469">
        <f>SUM(I155:I157)</f>
        <v>13337927</v>
      </c>
      <c r="J154" s="469">
        <f>SUM(J155:J157)</f>
        <v>13255377</v>
      </c>
      <c r="K154" s="470">
        <f>I154/J154*100</f>
        <v>100.62276614237378</v>
      </c>
      <c r="L154" s="469">
        <f>SUM(L155:L157)</f>
        <v>5104397</v>
      </c>
      <c r="M154" s="469">
        <f>SUM(M155:M157)</f>
        <v>6020753</v>
      </c>
      <c r="N154" s="470">
        <f>L154/M154*100</f>
        <v>84.780043293588022</v>
      </c>
    </row>
    <row r="155" spans="1:16" ht="17.25" x14ac:dyDescent="0.25">
      <c r="A155" s="272">
        <v>1</v>
      </c>
      <c r="B155" s="567" t="s">
        <v>673</v>
      </c>
      <c r="C155" s="247">
        <v>2265167</v>
      </c>
      <c r="D155" s="247">
        <v>1969923</v>
      </c>
      <c r="E155" s="425">
        <f>C155/D155*100</f>
        <v>114.98759088553207</v>
      </c>
      <c r="F155" s="247">
        <v>183528</v>
      </c>
      <c r="G155" s="247">
        <v>225544</v>
      </c>
      <c r="H155" s="425">
        <f>F155/G155*100</f>
        <v>81.37126237009187</v>
      </c>
      <c r="I155" s="247">
        <v>2236840</v>
      </c>
      <c r="J155" s="247">
        <v>2022087</v>
      </c>
      <c r="K155" s="425">
        <f>I155/J155*100</f>
        <v>110.62036401005496</v>
      </c>
      <c r="L155" s="247">
        <v>31942</v>
      </c>
      <c r="M155" s="247">
        <v>24972</v>
      </c>
      <c r="N155" s="425">
        <f>L155/M155*100</f>
        <v>127.91126061188531</v>
      </c>
      <c r="O155" s="126">
        <v>128</v>
      </c>
      <c r="P155" s="126">
        <v>145</v>
      </c>
    </row>
    <row r="156" spans="1:16" ht="17.25" x14ac:dyDescent="0.25">
      <c r="A156" s="272">
        <v>2</v>
      </c>
      <c r="B156" s="550" t="s">
        <v>674</v>
      </c>
      <c r="C156" s="247">
        <v>9596269</v>
      </c>
      <c r="D156" s="247">
        <v>9319077</v>
      </c>
      <c r="E156" s="425">
        <f t="shared" ref="E156:E157" si="40">C156/D156*100</f>
        <v>102.97445766356475</v>
      </c>
      <c r="F156" s="247">
        <v>1202024</v>
      </c>
      <c r="G156" s="247">
        <v>886018</v>
      </c>
      <c r="H156" s="425">
        <f t="shared" ref="H156:H157" si="41">F156/G156*100</f>
        <v>135.66586683340518</v>
      </c>
      <c r="I156" s="247">
        <v>9627460</v>
      </c>
      <c r="J156" s="247">
        <v>8953375</v>
      </c>
      <c r="K156" s="425">
        <f t="shared" ref="K156:K157" si="42">I156/J156*100</f>
        <v>107.52883689111647</v>
      </c>
      <c r="L156" s="247">
        <v>3938106</v>
      </c>
      <c r="M156" s="247">
        <v>4128109</v>
      </c>
      <c r="N156" s="425">
        <f t="shared" ref="N156:N157" si="43">L156/M156*100</f>
        <v>95.397335680816568</v>
      </c>
      <c r="O156" s="126">
        <v>711</v>
      </c>
      <c r="P156" s="126">
        <v>110</v>
      </c>
    </row>
    <row r="157" spans="1:16" s="668" customFormat="1" ht="34.5" x14ac:dyDescent="0.25">
      <c r="A157" s="748">
        <v>3</v>
      </c>
      <c r="B157" s="799" t="s">
        <v>675</v>
      </c>
      <c r="C157" s="666">
        <v>1338074</v>
      </c>
      <c r="D157" s="666">
        <v>2556874</v>
      </c>
      <c r="E157" s="667">
        <f t="shared" si="40"/>
        <v>52.33241841404778</v>
      </c>
      <c r="F157" s="666">
        <v>0</v>
      </c>
      <c r="G157" s="666">
        <v>281367</v>
      </c>
      <c r="H157" s="667">
        <f t="shared" si="41"/>
        <v>0</v>
      </c>
      <c r="I157" s="666">
        <v>1473627</v>
      </c>
      <c r="J157" s="666">
        <v>2279915</v>
      </c>
      <c r="K157" s="667">
        <f t="shared" si="42"/>
        <v>64.635172802494836</v>
      </c>
      <c r="L157" s="666">
        <v>1134349</v>
      </c>
      <c r="M157" s="666">
        <v>1867672</v>
      </c>
      <c r="N157" s="667">
        <f t="shared" si="43"/>
        <v>60.735985761953913</v>
      </c>
      <c r="O157" s="668">
        <v>133</v>
      </c>
      <c r="P157" s="668">
        <v>193</v>
      </c>
    </row>
    <row r="158" spans="1:16" x14ac:dyDescent="0.25">
      <c r="A158" s="568"/>
      <c r="B158" s="569"/>
      <c r="C158" s="570"/>
      <c r="D158" s="54"/>
      <c r="E158" s="43"/>
      <c r="F158" s="54"/>
      <c r="G158" s="54"/>
      <c r="H158" s="425"/>
      <c r="I158" s="54"/>
      <c r="J158" s="54"/>
      <c r="K158" s="43"/>
      <c r="L158" s="54"/>
      <c r="M158" s="571"/>
      <c r="N158" s="343"/>
    </row>
    <row r="159" spans="1:16" ht="17.25" x14ac:dyDescent="0.25">
      <c r="A159" s="1043" t="s">
        <v>735</v>
      </c>
      <c r="B159" s="1044"/>
      <c r="C159" s="345">
        <f>C160+C188+C194</f>
        <v>250630070</v>
      </c>
      <c r="D159" s="345">
        <f>D160+D188+D194</f>
        <v>208387023</v>
      </c>
      <c r="E159" s="467">
        <f>C159/D159*100</f>
        <v>120.27143839950149</v>
      </c>
      <c r="F159" s="345">
        <f>F160+F188+F194</f>
        <v>30493895</v>
      </c>
      <c r="G159" s="345">
        <f>G160+G188+G194</f>
        <v>24053966</v>
      </c>
      <c r="H159" s="467">
        <f>F159/G159*100</f>
        <v>126.77283654595671</v>
      </c>
      <c r="I159" s="345">
        <f>I160+I188+I194</f>
        <v>239671122</v>
      </c>
      <c r="J159" s="345">
        <f>J160+J188+J194</f>
        <v>194814361</v>
      </c>
      <c r="K159" s="467">
        <f>I159/J159*100</f>
        <v>123.02538723005128</v>
      </c>
      <c r="L159" s="345">
        <f>L160+L188+L194</f>
        <v>110677231</v>
      </c>
      <c r="M159" s="345">
        <f>M160+M188+M194</f>
        <v>96044551</v>
      </c>
      <c r="N159" s="467">
        <f>L159/M159*100</f>
        <v>115.235304707708</v>
      </c>
    </row>
    <row r="160" spans="1:16" ht="17.25" x14ac:dyDescent="0.25">
      <c r="A160" s="1062" t="s">
        <v>736</v>
      </c>
      <c r="B160" s="1063" t="s">
        <v>119</v>
      </c>
      <c r="C160" s="254">
        <f>SUM(C161:C186)</f>
        <v>83141552</v>
      </c>
      <c r="D160" s="254">
        <f>SUM(D161:D186)</f>
        <v>81432020</v>
      </c>
      <c r="E160" s="451">
        <f>C160/D160*100</f>
        <v>102.09933635442177</v>
      </c>
      <c r="F160" s="254">
        <f>SUM(F161:F186)</f>
        <v>7552206</v>
      </c>
      <c r="G160" s="254">
        <f>SUM(G161:G186)</f>
        <v>10103285</v>
      </c>
      <c r="H160" s="451">
        <f>F160/G160*100</f>
        <v>74.750004577719025</v>
      </c>
      <c r="I160" s="254">
        <f>SUM(I161:I186)</f>
        <v>81796072</v>
      </c>
      <c r="J160" s="254">
        <f>SUM(J161:J186)</f>
        <v>80466602</v>
      </c>
      <c r="K160" s="451">
        <f>I160/J160*100</f>
        <v>101.65220099638357</v>
      </c>
      <c r="L160" s="254">
        <f>SUM(L161:L186)</f>
        <v>56471175</v>
      </c>
      <c r="M160" s="254">
        <f>SUM(M161:M186)</f>
        <v>60837002</v>
      </c>
      <c r="N160" s="451">
        <f>L160/M160*100</f>
        <v>92.823730860373431</v>
      </c>
    </row>
    <row r="161" spans="1:16" ht="34.5" x14ac:dyDescent="0.25">
      <c r="A161" s="7">
        <v>1</v>
      </c>
      <c r="B161" s="545" t="s">
        <v>676</v>
      </c>
      <c r="C161" s="247">
        <v>21097143</v>
      </c>
      <c r="D161" s="247">
        <v>24712090</v>
      </c>
      <c r="E161" s="425">
        <f t="shared" ref="E161:E186" si="44">C161/D161*100</f>
        <v>85.371747189331217</v>
      </c>
      <c r="F161" s="247">
        <v>1796731</v>
      </c>
      <c r="G161" s="247">
        <v>2852280</v>
      </c>
      <c r="H161" s="425">
        <f t="shared" ref="H161:H186" si="45">F161/G161*100</f>
        <v>62.992798743461378</v>
      </c>
      <c r="I161" s="247">
        <v>21022718</v>
      </c>
      <c r="J161" s="247">
        <v>23808763</v>
      </c>
      <c r="K161" s="425">
        <f t="shared" ref="K161:K186" si="46">I161/J161*100</f>
        <v>88.298237081867711</v>
      </c>
      <c r="L161" s="247">
        <v>17840507</v>
      </c>
      <c r="M161" s="247">
        <v>21068163</v>
      </c>
      <c r="N161" s="425">
        <f t="shared" ref="N161:N186" si="47">L161/M161*100</f>
        <v>84.679936262122141</v>
      </c>
      <c r="O161" s="126">
        <v>272</v>
      </c>
      <c r="P161" s="126">
        <v>190</v>
      </c>
    </row>
    <row r="162" spans="1:16" ht="17.25" x14ac:dyDescent="0.25">
      <c r="A162" s="7">
        <v>2</v>
      </c>
      <c r="B162" s="572" t="s">
        <v>677</v>
      </c>
      <c r="C162" s="247">
        <v>2464749</v>
      </c>
      <c r="D162" s="247">
        <v>3555947</v>
      </c>
      <c r="E162" s="425">
        <f t="shared" si="44"/>
        <v>69.313434649054102</v>
      </c>
      <c r="F162" s="247">
        <v>125772</v>
      </c>
      <c r="G162" s="247">
        <v>507091</v>
      </c>
      <c r="H162" s="425">
        <f t="shared" si="45"/>
        <v>24.802648834232912</v>
      </c>
      <c r="I162" s="247">
        <v>2420225</v>
      </c>
      <c r="J162" s="247">
        <v>3564866</v>
      </c>
      <c r="K162" s="425">
        <f t="shared" si="46"/>
        <v>67.891051164335494</v>
      </c>
      <c r="L162" s="247">
        <v>1779542</v>
      </c>
      <c r="M162" s="247">
        <v>2861706</v>
      </c>
      <c r="N162" s="425">
        <f t="shared" si="47"/>
        <v>62.184654887678889</v>
      </c>
      <c r="O162" s="126">
        <v>111</v>
      </c>
      <c r="P162" s="126">
        <v>152</v>
      </c>
    </row>
    <row r="163" spans="1:16" ht="17.25" x14ac:dyDescent="0.25">
      <c r="A163" s="7">
        <v>3</v>
      </c>
      <c r="B163" s="572" t="s">
        <v>678</v>
      </c>
      <c r="C163" s="247">
        <v>919145</v>
      </c>
      <c r="D163" s="247">
        <v>837596</v>
      </c>
      <c r="E163" s="425">
        <f t="shared" si="44"/>
        <v>109.73607801374411</v>
      </c>
      <c r="F163" s="247">
        <v>199587</v>
      </c>
      <c r="G163" s="247">
        <v>93574</v>
      </c>
      <c r="H163" s="425">
        <f t="shared" si="45"/>
        <v>213.29322247632891</v>
      </c>
      <c r="I163" s="247">
        <v>960993</v>
      </c>
      <c r="J163" s="247">
        <v>949577</v>
      </c>
      <c r="K163" s="425">
        <f t="shared" si="46"/>
        <v>101.20221951458386</v>
      </c>
      <c r="L163" s="247">
        <v>893845</v>
      </c>
      <c r="M163" s="247">
        <v>740897</v>
      </c>
      <c r="N163" s="425">
        <f t="shared" si="47"/>
        <v>120.64362522725831</v>
      </c>
      <c r="O163" s="126">
        <v>61</v>
      </c>
      <c r="P163" s="126">
        <v>146</v>
      </c>
    </row>
    <row r="164" spans="1:16" s="668" customFormat="1" ht="17.25" x14ac:dyDescent="0.2">
      <c r="A164" s="669">
        <v>4</v>
      </c>
      <c r="B164" s="800" t="s">
        <v>679</v>
      </c>
      <c r="C164" s="666">
        <v>1498614</v>
      </c>
      <c r="D164" s="801">
        <v>1577998</v>
      </c>
      <c r="E164" s="667">
        <f t="shared" si="44"/>
        <v>94.969321887606952</v>
      </c>
      <c r="F164" s="666">
        <v>240548</v>
      </c>
      <c r="G164" s="801">
        <v>349100</v>
      </c>
      <c r="H164" s="667">
        <f t="shared" si="45"/>
        <v>68.905184760813526</v>
      </c>
      <c r="I164" s="666">
        <v>2122150</v>
      </c>
      <c r="J164" s="801">
        <v>2067171</v>
      </c>
      <c r="K164" s="667">
        <f t="shared" si="46"/>
        <v>102.65962515921518</v>
      </c>
      <c r="L164" s="666">
        <v>1407256</v>
      </c>
      <c r="M164" s="801">
        <v>1346117</v>
      </c>
      <c r="N164" s="667">
        <f t="shared" si="47"/>
        <v>104.54187860342006</v>
      </c>
      <c r="O164" s="668">
        <v>214</v>
      </c>
      <c r="P164" s="668">
        <v>127</v>
      </c>
    </row>
    <row r="165" spans="1:16" s="668" customFormat="1" ht="52.5" customHeight="1" x14ac:dyDescent="0.25">
      <c r="A165" s="669">
        <v>5</v>
      </c>
      <c r="B165" s="799" t="s">
        <v>680</v>
      </c>
      <c r="C165" s="666">
        <v>6808832</v>
      </c>
      <c r="D165" s="666">
        <v>9866195</v>
      </c>
      <c r="E165" s="667">
        <f t="shared" si="44"/>
        <v>69.01173147297412</v>
      </c>
      <c r="F165" s="666">
        <v>317513</v>
      </c>
      <c r="G165" s="666">
        <v>795488</v>
      </c>
      <c r="H165" s="667">
        <f t="shared" si="45"/>
        <v>39.914241321050724</v>
      </c>
      <c r="I165" s="666">
        <v>6577796</v>
      </c>
      <c r="J165" s="666">
        <v>9122439</v>
      </c>
      <c r="K165" s="667">
        <f t="shared" si="46"/>
        <v>72.105672616720156</v>
      </c>
      <c r="L165" s="666">
        <v>6200568</v>
      </c>
      <c r="M165" s="666">
        <v>9122439</v>
      </c>
      <c r="N165" s="667">
        <f t="shared" si="47"/>
        <v>67.970506571762229</v>
      </c>
      <c r="O165" s="668">
        <v>281</v>
      </c>
      <c r="P165" s="668">
        <v>190</v>
      </c>
    </row>
    <row r="166" spans="1:16" s="668" customFormat="1" ht="34.5" x14ac:dyDescent="0.25">
      <c r="A166" s="669">
        <v>6</v>
      </c>
      <c r="B166" s="799" t="s">
        <v>681</v>
      </c>
      <c r="C166" s="666">
        <v>7988234</v>
      </c>
      <c r="D166" s="666">
        <v>7049403</v>
      </c>
      <c r="E166" s="667">
        <f t="shared" si="44"/>
        <v>113.31787954242367</v>
      </c>
      <c r="F166" s="666">
        <v>810880</v>
      </c>
      <c r="G166" s="666">
        <v>1296100</v>
      </c>
      <c r="H166" s="667">
        <f t="shared" si="45"/>
        <v>62.563073836895299</v>
      </c>
      <c r="I166" s="666">
        <v>7379711</v>
      </c>
      <c r="J166" s="666">
        <v>7049403</v>
      </c>
      <c r="K166" s="667">
        <f t="shared" si="46"/>
        <v>104.68561664016087</v>
      </c>
      <c r="L166" s="666">
        <v>6090813</v>
      </c>
      <c r="M166" s="666">
        <v>4497212</v>
      </c>
      <c r="N166" s="667">
        <f t="shared" si="47"/>
        <v>135.43530969854211</v>
      </c>
      <c r="O166" s="668">
        <v>275</v>
      </c>
      <c r="P166" s="668">
        <v>100</v>
      </c>
    </row>
    <row r="167" spans="1:16" s="668" customFormat="1" ht="17.25" x14ac:dyDescent="0.25">
      <c r="A167" s="669">
        <v>7</v>
      </c>
      <c r="B167" s="800" t="s">
        <v>233</v>
      </c>
      <c r="C167" s="666">
        <v>3005753</v>
      </c>
      <c r="D167" s="666">
        <v>1296954</v>
      </c>
      <c r="E167" s="667">
        <f t="shared" si="44"/>
        <v>231.75478852758076</v>
      </c>
      <c r="F167" s="666">
        <v>232739</v>
      </c>
      <c r="G167" s="666">
        <v>371936</v>
      </c>
      <c r="H167" s="667">
        <f t="shared" si="45"/>
        <v>62.575012905446101</v>
      </c>
      <c r="I167" s="666">
        <v>3989727</v>
      </c>
      <c r="J167" s="666">
        <v>2371877</v>
      </c>
      <c r="K167" s="667">
        <f t="shared" si="46"/>
        <v>168.20969215520029</v>
      </c>
      <c r="L167" s="666">
        <v>1895150</v>
      </c>
      <c r="M167" s="666">
        <v>1736351</v>
      </c>
      <c r="N167" s="667">
        <f t="shared" si="47"/>
        <v>109.14555870328061</v>
      </c>
      <c r="O167" s="668">
        <v>234</v>
      </c>
      <c r="P167" s="802">
        <v>93</v>
      </c>
    </row>
    <row r="168" spans="1:16" s="673" customFormat="1" ht="17.25" x14ac:dyDescent="0.25">
      <c r="A168" s="669">
        <v>8</v>
      </c>
      <c r="B168" s="670" t="s">
        <v>682</v>
      </c>
      <c r="C168" s="666">
        <v>3069819</v>
      </c>
      <c r="D168" s="666">
        <v>2485165</v>
      </c>
      <c r="E168" s="667">
        <f t="shared" si="44"/>
        <v>123.52576187094218</v>
      </c>
      <c r="F168" s="666">
        <v>93788</v>
      </c>
      <c r="G168" s="666">
        <v>237320</v>
      </c>
      <c r="H168" s="667">
        <f t="shared" si="45"/>
        <v>39.519635934603073</v>
      </c>
      <c r="I168" s="666">
        <v>2950329</v>
      </c>
      <c r="J168" s="666">
        <v>2262874</v>
      </c>
      <c r="K168" s="667">
        <f t="shared" si="46"/>
        <v>130.37972949443937</v>
      </c>
      <c r="L168" s="666">
        <v>6598</v>
      </c>
      <c r="M168" s="666">
        <v>16014</v>
      </c>
      <c r="N168" s="667">
        <f t="shared" si="47"/>
        <v>41.201448732359189</v>
      </c>
      <c r="O168" s="671">
        <v>274</v>
      </c>
      <c r="P168" s="672">
        <v>85</v>
      </c>
    </row>
    <row r="169" spans="1:16" s="573" customFormat="1" ht="36.75" customHeight="1" x14ac:dyDescent="0.25">
      <c r="A169" s="7">
        <v>9</v>
      </c>
      <c r="B169" s="547" t="s">
        <v>683</v>
      </c>
      <c r="C169" s="247">
        <v>11471032</v>
      </c>
      <c r="D169" s="247">
        <v>12248078</v>
      </c>
      <c r="E169" s="425">
        <f t="shared" si="44"/>
        <v>93.655771950505212</v>
      </c>
      <c r="F169" s="247">
        <v>940684</v>
      </c>
      <c r="G169" s="247">
        <v>1120215</v>
      </c>
      <c r="H169" s="425">
        <f t="shared" si="45"/>
        <v>83.973522939792815</v>
      </c>
      <c r="I169" s="247">
        <v>11471032</v>
      </c>
      <c r="J169" s="247">
        <v>12248078</v>
      </c>
      <c r="K169" s="425">
        <f t="shared" si="46"/>
        <v>93.655771950505212</v>
      </c>
      <c r="L169" s="247">
        <v>11451607</v>
      </c>
      <c r="M169" s="247">
        <v>12155430</v>
      </c>
      <c r="N169" s="425">
        <f t="shared" si="47"/>
        <v>94.209805823405674</v>
      </c>
      <c r="O169" s="584">
        <v>84</v>
      </c>
      <c r="P169" s="574">
        <v>235</v>
      </c>
    </row>
    <row r="170" spans="1:16" s="573" customFormat="1" ht="38.25" customHeight="1" x14ac:dyDescent="0.25">
      <c r="A170" s="7">
        <v>10</v>
      </c>
      <c r="B170" s="547" t="s">
        <v>539</v>
      </c>
      <c r="C170" s="247">
        <v>998571</v>
      </c>
      <c r="D170" s="247">
        <v>1402184</v>
      </c>
      <c r="E170" s="425">
        <f t="shared" si="44"/>
        <v>71.215403969807099</v>
      </c>
      <c r="F170" s="247">
        <v>261557</v>
      </c>
      <c r="G170" s="247">
        <v>236697</v>
      </c>
      <c r="H170" s="425">
        <f t="shared" si="45"/>
        <v>110.50287920843948</v>
      </c>
      <c r="I170" s="247">
        <v>951974</v>
      </c>
      <c r="J170" s="247">
        <v>1303854</v>
      </c>
      <c r="K170" s="425">
        <f t="shared" si="46"/>
        <v>73.012315796093731</v>
      </c>
      <c r="L170" s="247">
        <v>469578</v>
      </c>
      <c r="M170" s="247">
        <v>792020</v>
      </c>
      <c r="N170" s="425">
        <f t="shared" si="47"/>
        <v>59.288654326910937</v>
      </c>
      <c r="O170" s="584">
        <v>204</v>
      </c>
      <c r="P170" s="574"/>
    </row>
    <row r="171" spans="1:16" s="575" customFormat="1" ht="51.75" x14ac:dyDescent="0.25">
      <c r="A171" s="7">
        <v>11</v>
      </c>
      <c r="B171" s="547" t="s">
        <v>684</v>
      </c>
      <c r="C171" s="247">
        <v>79949</v>
      </c>
      <c r="D171" s="247">
        <v>66374</v>
      </c>
      <c r="E171" s="425">
        <f t="shared" si="44"/>
        <v>120.45228553349203</v>
      </c>
      <c r="F171" s="247">
        <v>24766</v>
      </c>
      <c r="G171" s="247">
        <v>3168</v>
      </c>
      <c r="H171" s="425">
        <f t="shared" si="45"/>
        <v>781.75505050505058</v>
      </c>
      <c r="I171" s="247">
        <v>79949</v>
      </c>
      <c r="J171" s="247">
        <v>66374</v>
      </c>
      <c r="K171" s="425">
        <f t="shared" si="46"/>
        <v>120.45228553349203</v>
      </c>
      <c r="L171" s="247">
        <v>48072</v>
      </c>
      <c r="M171" s="247">
        <v>37675</v>
      </c>
      <c r="N171" s="425">
        <f t="shared" si="47"/>
        <v>127.5965494359655</v>
      </c>
      <c r="O171" s="645">
        <v>9</v>
      </c>
      <c r="P171" s="574">
        <v>80</v>
      </c>
    </row>
    <row r="172" spans="1:16" s="673" customFormat="1" ht="17.25" x14ac:dyDescent="0.25">
      <c r="A172" s="669">
        <v>12</v>
      </c>
      <c r="B172" s="670" t="s">
        <v>301</v>
      </c>
      <c r="C172" s="666">
        <v>4649647</v>
      </c>
      <c r="D172" s="666">
        <v>4050521</v>
      </c>
      <c r="E172" s="667">
        <f t="shared" si="44"/>
        <v>114.79133178176338</v>
      </c>
      <c r="F172" s="666">
        <v>233668</v>
      </c>
      <c r="G172" s="666">
        <v>337356</v>
      </c>
      <c r="H172" s="667">
        <f t="shared" si="45"/>
        <v>69.264515823047475</v>
      </c>
      <c r="I172" s="666">
        <v>4487443</v>
      </c>
      <c r="J172" s="666">
        <v>4013598</v>
      </c>
      <c r="K172" s="667">
        <f t="shared" si="46"/>
        <v>111.80599053517568</v>
      </c>
      <c r="L172" s="666">
        <v>673713</v>
      </c>
      <c r="M172" s="666">
        <v>929430</v>
      </c>
      <c r="N172" s="667">
        <f t="shared" si="47"/>
        <v>72.486685387818341</v>
      </c>
      <c r="O172" s="671">
        <v>697</v>
      </c>
      <c r="P172" s="672"/>
    </row>
    <row r="173" spans="1:16" s="673" customFormat="1" ht="34.5" x14ac:dyDescent="0.25">
      <c r="A173" s="669">
        <v>13</v>
      </c>
      <c r="B173" s="803" t="s">
        <v>750</v>
      </c>
      <c r="C173" s="666">
        <v>80391</v>
      </c>
      <c r="D173" s="666">
        <v>20429</v>
      </c>
      <c r="E173" s="667">
        <f t="shared" si="44"/>
        <v>393.51412208135497</v>
      </c>
      <c r="F173" s="666">
        <v>2670</v>
      </c>
      <c r="G173" s="666">
        <v>2349</v>
      </c>
      <c r="H173" s="667">
        <f t="shared" si="45"/>
        <v>113.66538952745849</v>
      </c>
      <c r="I173" s="666">
        <v>80391</v>
      </c>
      <c r="J173" s="666">
        <v>20429</v>
      </c>
      <c r="K173" s="667">
        <f t="shared" si="46"/>
        <v>393.51412208135497</v>
      </c>
      <c r="L173" s="666">
        <v>56363</v>
      </c>
      <c r="M173" s="666">
        <v>6751</v>
      </c>
      <c r="N173" s="667">
        <f t="shared" si="47"/>
        <v>834.88372093023258</v>
      </c>
      <c r="O173" s="671">
        <v>45</v>
      </c>
      <c r="P173" s="672"/>
    </row>
    <row r="174" spans="1:16" s="673" customFormat="1" ht="17.25" x14ac:dyDescent="0.25">
      <c r="A174" s="669">
        <v>14</v>
      </c>
      <c r="B174" s="670" t="s">
        <v>237</v>
      </c>
      <c r="C174" s="666">
        <v>1454197</v>
      </c>
      <c r="D174" s="666">
        <v>454552</v>
      </c>
      <c r="E174" s="667">
        <f t="shared" si="44"/>
        <v>319.91873317024238</v>
      </c>
      <c r="F174" s="666">
        <v>109268</v>
      </c>
      <c r="G174" s="666">
        <v>68383</v>
      </c>
      <c r="H174" s="667">
        <f t="shared" si="45"/>
        <v>159.78825146600764</v>
      </c>
      <c r="I174" s="666">
        <v>1454197</v>
      </c>
      <c r="J174" s="666">
        <v>454552</v>
      </c>
      <c r="K174" s="667">
        <f t="shared" si="46"/>
        <v>319.91873317024238</v>
      </c>
      <c r="L174" s="666">
        <v>1354009</v>
      </c>
      <c r="M174" s="666">
        <v>299923</v>
      </c>
      <c r="N174" s="667">
        <f t="shared" si="47"/>
        <v>451.45220606622365</v>
      </c>
      <c r="O174" s="671">
        <v>32</v>
      </c>
      <c r="P174" s="672">
        <v>110</v>
      </c>
    </row>
    <row r="175" spans="1:16" s="673" customFormat="1" ht="17.25" x14ac:dyDescent="0.25">
      <c r="A175" s="669">
        <v>15</v>
      </c>
      <c r="B175" s="670" t="s">
        <v>229</v>
      </c>
      <c r="C175" s="666">
        <v>6924127</v>
      </c>
      <c r="D175" s="666">
        <v>3400253</v>
      </c>
      <c r="E175" s="667">
        <f t="shared" si="44"/>
        <v>203.63564123022607</v>
      </c>
      <c r="F175" s="666">
        <v>784163</v>
      </c>
      <c r="G175" s="666">
        <v>459465</v>
      </c>
      <c r="H175" s="667">
        <f t="shared" si="45"/>
        <v>170.66871252434896</v>
      </c>
      <c r="I175" s="666">
        <v>6533368</v>
      </c>
      <c r="J175" s="666">
        <v>3616699</v>
      </c>
      <c r="K175" s="667">
        <f t="shared" si="46"/>
        <v>180.64450483714569</v>
      </c>
      <c r="L175" s="666">
        <v>2078863</v>
      </c>
      <c r="M175" s="666">
        <v>929133</v>
      </c>
      <c r="N175" s="667">
        <f t="shared" si="47"/>
        <v>223.74224142291794</v>
      </c>
      <c r="O175" s="671">
        <v>349</v>
      </c>
      <c r="P175" s="672">
        <v>115</v>
      </c>
    </row>
    <row r="176" spans="1:16" ht="51.75" x14ac:dyDescent="0.25">
      <c r="A176" s="7">
        <v>16</v>
      </c>
      <c r="B176" s="545" t="s">
        <v>230</v>
      </c>
      <c r="C176" s="247">
        <v>2484563</v>
      </c>
      <c r="D176" s="247">
        <v>1551846</v>
      </c>
      <c r="E176" s="425">
        <f t="shared" si="44"/>
        <v>160.10370874429552</v>
      </c>
      <c r="F176" s="247">
        <v>428150</v>
      </c>
      <c r="G176" s="247">
        <v>167712</v>
      </c>
      <c r="H176" s="425">
        <f t="shared" si="45"/>
        <v>255.28882846784967</v>
      </c>
      <c r="I176" s="247">
        <v>2337501</v>
      </c>
      <c r="J176" s="247">
        <v>1533027</v>
      </c>
      <c r="K176" s="425">
        <f t="shared" si="46"/>
        <v>152.47617948020485</v>
      </c>
      <c r="L176" s="282">
        <v>5218</v>
      </c>
      <c r="M176" s="247">
        <v>7217</v>
      </c>
      <c r="N176" s="425">
        <f t="shared" si="47"/>
        <v>72.301510322848827</v>
      </c>
      <c r="O176" s="573">
        <v>138</v>
      </c>
      <c r="P176" s="576">
        <v>85</v>
      </c>
    </row>
    <row r="177" spans="1:16" ht="27" customHeight="1" x14ac:dyDescent="0.25">
      <c r="A177" s="7">
        <v>17</v>
      </c>
      <c r="B177" s="572" t="s">
        <v>298</v>
      </c>
      <c r="C177" s="247">
        <v>107564</v>
      </c>
      <c r="D177" s="247">
        <v>80254</v>
      </c>
      <c r="E177" s="425">
        <f t="shared" si="44"/>
        <v>134.0294564756897</v>
      </c>
      <c r="F177" s="247"/>
      <c r="G177" s="247"/>
      <c r="H177" s="425" t="e">
        <f t="shared" si="45"/>
        <v>#DIV/0!</v>
      </c>
      <c r="I177" s="247">
        <v>107564</v>
      </c>
      <c r="J177" s="247">
        <v>80254</v>
      </c>
      <c r="K177" s="425">
        <f t="shared" si="46"/>
        <v>134.0294564756897</v>
      </c>
      <c r="L177" s="247">
        <v>65285</v>
      </c>
      <c r="M177" s="247">
        <v>59029</v>
      </c>
      <c r="N177" s="425">
        <f t="shared" si="47"/>
        <v>110.59818055532027</v>
      </c>
      <c r="O177" s="126">
        <v>11</v>
      </c>
      <c r="P177" s="576">
        <v>80</v>
      </c>
    </row>
    <row r="178" spans="1:16" ht="34.5" x14ac:dyDescent="0.25">
      <c r="A178" s="7">
        <v>18</v>
      </c>
      <c r="B178" s="545" t="s">
        <v>239</v>
      </c>
      <c r="C178" s="247">
        <v>3128473</v>
      </c>
      <c r="D178" s="247">
        <v>1746958</v>
      </c>
      <c r="E178" s="425">
        <f t="shared" si="44"/>
        <v>179.08117997112697</v>
      </c>
      <c r="F178" s="247">
        <v>415134</v>
      </c>
      <c r="G178" s="247">
        <v>297600</v>
      </c>
      <c r="H178" s="425">
        <f t="shared" si="45"/>
        <v>139.49395161290323</v>
      </c>
      <c r="I178" s="247">
        <v>2782146</v>
      </c>
      <c r="J178" s="247">
        <v>1668683</v>
      </c>
      <c r="K178" s="425">
        <f t="shared" si="46"/>
        <v>166.72705361054196</v>
      </c>
      <c r="L178" s="247">
        <v>282284</v>
      </c>
      <c r="M178" s="247">
        <v>311135</v>
      </c>
      <c r="N178" s="425">
        <f t="shared" si="47"/>
        <v>90.727176306105065</v>
      </c>
      <c r="O178" s="126">
        <v>321</v>
      </c>
      <c r="P178" s="127"/>
    </row>
    <row r="179" spans="1:16" ht="34.5" x14ac:dyDescent="0.25">
      <c r="A179" s="7">
        <v>19</v>
      </c>
      <c r="B179" s="548" t="s">
        <v>548</v>
      </c>
      <c r="C179" s="247">
        <v>0</v>
      </c>
      <c r="D179" s="247">
        <v>11426</v>
      </c>
      <c r="E179" s="425">
        <f t="shared" si="44"/>
        <v>0</v>
      </c>
      <c r="F179" s="247">
        <v>0</v>
      </c>
      <c r="G179" s="247">
        <v>0</v>
      </c>
      <c r="H179" s="425" t="e">
        <f t="shared" si="45"/>
        <v>#DIV/0!</v>
      </c>
      <c r="I179" s="247">
        <v>0</v>
      </c>
      <c r="J179" s="247">
        <v>0</v>
      </c>
      <c r="K179" s="425" t="e">
        <f t="shared" si="46"/>
        <v>#DIV/0!</v>
      </c>
      <c r="L179" s="247">
        <v>0</v>
      </c>
      <c r="M179" s="247">
        <v>0</v>
      </c>
      <c r="N179" s="425" t="e">
        <f t="shared" si="47"/>
        <v>#DIV/0!</v>
      </c>
      <c r="O179" s="126">
        <v>6</v>
      </c>
      <c r="P179" s="127">
        <v>80</v>
      </c>
    </row>
    <row r="180" spans="1:16" ht="51.75" x14ac:dyDescent="0.25">
      <c r="A180" s="7">
        <v>20</v>
      </c>
      <c r="B180" s="548" t="s">
        <v>552</v>
      </c>
      <c r="C180" s="247">
        <v>351510</v>
      </c>
      <c r="D180" s="247">
        <v>342588</v>
      </c>
      <c r="E180" s="425">
        <f t="shared" si="44"/>
        <v>102.60429437108129</v>
      </c>
      <c r="F180" s="247">
        <v>21804</v>
      </c>
      <c r="G180" s="247">
        <v>70652</v>
      </c>
      <c r="H180" s="425">
        <f t="shared" si="45"/>
        <v>30.86112211968522</v>
      </c>
      <c r="I180" s="247">
        <v>351510</v>
      </c>
      <c r="J180" s="247">
        <v>342586</v>
      </c>
      <c r="K180" s="425">
        <f t="shared" si="46"/>
        <v>102.60489336983997</v>
      </c>
      <c r="L180" s="247">
        <v>351510</v>
      </c>
      <c r="M180" s="247">
        <v>342586</v>
      </c>
      <c r="N180" s="425">
        <f t="shared" si="47"/>
        <v>102.60489336983997</v>
      </c>
      <c r="O180" s="126">
        <v>32</v>
      </c>
      <c r="P180" s="127"/>
    </row>
    <row r="181" spans="1:16" ht="17.25" x14ac:dyDescent="0.25">
      <c r="A181" s="7">
        <v>21</v>
      </c>
      <c r="B181" s="548" t="s">
        <v>562</v>
      </c>
      <c r="C181" s="247">
        <v>194320</v>
      </c>
      <c r="D181" s="247">
        <v>186830</v>
      </c>
      <c r="E181" s="425">
        <f t="shared" si="44"/>
        <v>104.0089921318846</v>
      </c>
      <c r="F181" s="247">
        <v>8692</v>
      </c>
      <c r="G181" s="247">
        <v>37203</v>
      </c>
      <c r="H181" s="425">
        <f t="shared" si="45"/>
        <v>23.363707227911728</v>
      </c>
      <c r="I181" s="247">
        <v>194320</v>
      </c>
      <c r="J181" s="247">
        <v>186830</v>
      </c>
      <c r="K181" s="425">
        <f t="shared" si="46"/>
        <v>104.0089921318846</v>
      </c>
      <c r="L181" s="247">
        <v>151710</v>
      </c>
      <c r="M181" s="247">
        <v>148544</v>
      </c>
      <c r="N181" s="425">
        <f t="shared" si="47"/>
        <v>102.1313550193882</v>
      </c>
      <c r="O181" s="126">
        <v>13</v>
      </c>
      <c r="P181" s="127">
        <v>88</v>
      </c>
    </row>
    <row r="182" spans="1:16" ht="17.25" x14ac:dyDescent="0.25">
      <c r="A182" s="7">
        <v>22</v>
      </c>
      <c r="B182" s="548" t="s">
        <v>757</v>
      </c>
      <c r="C182" s="247">
        <v>114539</v>
      </c>
      <c r="D182" s="247">
        <v>161474</v>
      </c>
      <c r="E182" s="425">
        <f t="shared" si="44"/>
        <v>70.933401042892356</v>
      </c>
      <c r="F182" s="247">
        <v>5958</v>
      </c>
      <c r="G182" s="247">
        <v>9077</v>
      </c>
      <c r="H182" s="425">
        <f t="shared" si="45"/>
        <v>65.638426792993272</v>
      </c>
      <c r="I182" s="247">
        <v>84839</v>
      </c>
      <c r="J182" s="247">
        <v>114418</v>
      </c>
      <c r="K182" s="425">
        <f t="shared" si="46"/>
        <v>74.148298344666046</v>
      </c>
      <c r="L182" s="247"/>
      <c r="M182" s="247"/>
      <c r="N182" s="425" t="e">
        <f t="shared" si="47"/>
        <v>#DIV/0!</v>
      </c>
      <c r="O182" s="126">
        <v>47</v>
      </c>
      <c r="P182" s="127">
        <v>123</v>
      </c>
    </row>
    <row r="183" spans="1:16" ht="34.5" x14ac:dyDescent="0.25">
      <c r="A183" s="7">
        <v>23</v>
      </c>
      <c r="B183" s="548" t="s">
        <v>564</v>
      </c>
      <c r="C183" s="247">
        <v>2192300</v>
      </c>
      <c r="D183" s="247">
        <v>2657710</v>
      </c>
      <c r="E183" s="425">
        <f t="shared" si="44"/>
        <v>82.488307603162127</v>
      </c>
      <c r="F183" s="247">
        <v>328639</v>
      </c>
      <c r="G183" s="247">
        <v>649364</v>
      </c>
      <c r="H183" s="425">
        <f t="shared" si="45"/>
        <v>50.609365471445912</v>
      </c>
      <c r="I183" s="247">
        <v>2192300</v>
      </c>
      <c r="J183" s="247">
        <v>2657710</v>
      </c>
      <c r="K183" s="425">
        <f t="shared" si="46"/>
        <v>82.488307603162127</v>
      </c>
      <c r="L183" s="247">
        <v>2152485</v>
      </c>
      <c r="M183" s="247">
        <v>2598506</v>
      </c>
      <c r="N183" s="425">
        <f t="shared" si="47"/>
        <v>82.835483158399484</v>
      </c>
      <c r="O183" s="126">
        <v>28</v>
      </c>
      <c r="P183" s="127">
        <v>110</v>
      </c>
    </row>
    <row r="184" spans="1:16" s="668" customFormat="1" ht="34.5" x14ac:dyDescent="0.25">
      <c r="A184" s="669">
        <v>24</v>
      </c>
      <c r="B184" s="804" t="s">
        <v>753</v>
      </c>
      <c r="C184" s="666">
        <v>273065</v>
      </c>
      <c r="D184" s="666">
        <v>3238</v>
      </c>
      <c r="E184" s="667">
        <f t="shared" si="44"/>
        <v>8433.1377393452749</v>
      </c>
      <c r="F184" s="666">
        <v>25643</v>
      </c>
      <c r="G184" s="666">
        <v>110</v>
      </c>
      <c r="H184" s="667">
        <f t="shared" si="45"/>
        <v>23311.818181818184</v>
      </c>
      <c r="I184" s="666">
        <v>273065</v>
      </c>
      <c r="J184" s="666">
        <v>3238</v>
      </c>
      <c r="K184" s="667">
        <f t="shared" si="46"/>
        <v>8433.1377393452749</v>
      </c>
      <c r="L184" s="666">
        <v>195159</v>
      </c>
      <c r="M184" s="666">
        <v>0</v>
      </c>
      <c r="N184" s="667" t="e">
        <f t="shared" si="47"/>
        <v>#DIV/0!</v>
      </c>
      <c r="O184" s="668">
        <v>7</v>
      </c>
      <c r="P184" s="802">
        <v>150</v>
      </c>
    </row>
    <row r="185" spans="1:16" s="668" customFormat="1" ht="17.25" x14ac:dyDescent="0.25">
      <c r="A185" s="669">
        <v>25</v>
      </c>
      <c r="B185" s="804" t="s">
        <v>754</v>
      </c>
      <c r="C185" s="666">
        <v>139326</v>
      </c>
      <c r="D185" s="666">
        <v>180480</v>
      </c>
      <c r="E185" s="667">
        <f t="shared" si="44"/>
        <v>77.197473404255319</v>
      </c>
      <c r="F185" s="666">
        <v>11819</v>
      </c>
      <c r="G185" s="666">
        <v>20323</v>
      </c>
      <c r="H185" s="667">
        <f t="shared" si="45"/>
        <v>58.155784086995034</v>
      </c>
      <c r="I185" s="666">
        <v>139326</v>
      </c>
      <c r="J185" s="666">
        <v>180480</v>
      </c>
      <c r="K185" s="667">
        <f t="shared" si="46"/>
        <v>77.197473404255319</v>
      </c>
      <c r="L185" s="666">
        <v>0</v>
      </c>
      <c r="M185" s="666">
        <v>0</v>
      </c>
      <c r="N185" s="667" t="e">
        <f t="shared" si="47"/>
        <v>#DIV/0!</v>
      </c>
      <c r="O185" s="668">
        <v>31</v>
      </c>
      <c r="P185" s="802">
        <v>125</v>
      </c>
    </row>
    <row r="186" spans="1:16" ht="17.25" x14ac:dyDescent="0.25">
      <c r="A186" s="7">
        <v>26</v>
      </c>
      <c r="B186" s="548" t="s">
        <v>686</v>
      </c>
      <c r="C186" s="247">
        <v>1645689</v>
      </c>
      <c r="D186" s="247">
        <v>1485477</v>
      </c>
      <c r="E186" s="425">
        <f t="shared" si="44"/>
        <v>110.78522252448204</v>
      </c>
      <c r="F186" s="247">
        <v>132033</v>
      </c>
      <c r="G186" s="247">
        <v>120722</v>
      </c>
      <c r="H186" s="425">
        <f t="shared" si="45"/>
        <v>109.36946041318069</v>
      </c>
      <c r="I186" s="247">
        <v>851498</v>
      </c>
      <c r="J186" s="247">
        <v>778822</v>
      </c>
      <c r="K186" s="425">
        <f t="shared" si="46"/>
        <v>109.33152889877276</v>
      </c>
      <c r="L186" s="247">
        <v>1021040</v>
      </c>
      <c r="M186" s="247">
        <v>830724</v>
      </c>
      <c r="N186" s="425">
        <f t="shared" si="47"/>
        <v>122.90965471083055</v>
      </c>
      <c r="O186" s="126">
        <v>128</v>
      </c>
      <c r="P186" s="127">
        <v>115</v>
      </c>
    </row>
    <row r="188" spans="1:16" x14ac:dyDescent="0.25">
      <c r="A188" s="1033" t="s">
        <v>364</v>
      </c>
      <c r="B188" s="1034" t="s">
        <v>155</v>
      </c>
      <c r="C188" s="254">
        <f>SUM(C189:C192)</f>
        <v>58896601</v>
      </c>
      <c r="D188" s="254">
        <f>SUM(D189:D192)</f>
        <v>33638353</v>
      </c>
      <c r="E188" s="451">
        <f t="shared" ref="E188:E192" si="48">C188/D188*100</f>
        <v>175.08764772163488</v>
      </c>
      <c r="F188" s="254">
        <f>SUM(F189:F192)</f>
        <v>6931581</v>
      </c>
      <c r="G188" s="254">
        <f>SUM(G189:G192)</f>
        <v>3919978</v>
      </c>
      <c r="H188" s="451">
        <f t="shared" ref="H188:H192" si="49">F188/G188*100</f>
        <v>176.82703831501095</v>
      </c>
      <c r="I188" s="254">
        <f>SUM(I189:I192)</f>
        <v>61232519</v>
      </c>
      <c r="J188" s="254">
        <f>SUM(J189:J192)</f>
        <v>34799970</v>
      </c>
      <c r="K188" s="451">
        <f t="shared" ref="K188:K192" si="50">I188/J188*100</f>
        <v>175.95566605373509</v>
      </c>
      <c r="L188" s="254">
        <f>SUM(L189:L192)</f>
        <v>42763681</v>
      </c>
      <c r="M188" s="254">
        <f>SUM(M189:M192)</f>
        <v>23712450</v>
      </c>
      <c r="N188" s="451">
        <f t="shared" ref="N188:N192" si="51">L188/M188*100</f>
        <v>180.34273556718094</v>
      </c>
    </row>
    <row r="189" spans="1:16" s="668" customFormat="1" ht="17.25" x14ac:dyDescent="0.25">
      <c r="A189" s="748">
        <v>1</v>
      </c>
      <c r="B189" s="805" t="s">
        <v>687</v>
      </c>
      <c r="C189" s="666">
        <v>29951947</v>
      </c>
      <c r="D189" s="666">
        <v>12238970</v>
      </c>
      <c r="E189" s="667">
        <f t="shared" si="48"/>
        <v>244.72604312290986</v>
      </c>
      <c r="F189" s="666">
        <v>4121925</v>
      </c>
      <c r="G189" s="666">
        <v>1885196</v>
      </c>
      <c r="H189" s="667">
        <f t="shared" si="49"/>
        <v>218.64702662216553</v>
      </c>
      <c r="I189" s="666">
        <v>25830959</v>
      </c>
      <c r="J189" s="666">
        <v>11051039</v>
      </c>
      <c r="K189" s="667">
        <f t="shared" si="50"/>
        <v>233.7423567141515</v>
      </c>
      <c r="L189" s="666">
        <v>12642674</v>
      </c>
      <c r="M189" s="666">
        <v>3781815</v>
      </c>
      <c r="N189" s="667">
        <f t="shared" si="51"/>
        <v>334.30175722503617</v>
      </c>
      <c r="O189" s="668">
        <v>871</v>
      </c>
    </row>
    <row r="190" spans="1:16" s="668" customFormat="1" ht="17.25" x14ac:dyDescent="0.25">
      <c r="A190" s="748">
        <v>2</v>
      </c>
      <c r="B190" s="805" t="s">
        <v>299</v>
      </c>
      <c r="C190" s="666">
        <v>731</v>
      </c>
      <c r="D190" s="666">
        <v>911597</v>
      </c>
      <c r="E190" s="667">
        <f t="shared" si="48"/>
        <v>8.0188943140444738E-2</v>
      </c>
      <c r="F190" s="666">
        <v>0</v>
      </c>
      <c r="G190" s="666">
        <v>101464</v>
      </c>
      <c r="H190" s="667">
        <f t="shared" si="49"/>
        <v>0</v>
      </c>
      <c r="I190" s="666">
        <v>1059212</v>
      </c>
      <c r="J190" s="666">
        <v>803777</v>
      </c>
      <c r="K190" s="667">
        <f t="shared" si="50"/>
        <v>131.7793368061042</v>
      </c>
      <c r="L190" s="666">
        <v>0</v>
      </c>
      <c r="M190" s="666">
        <v>0</v>
      </c>
      <c r="N190" s="667" t="e">
        <f t="shared" si="51"/>
        <v>#DIV/0!</v>
      </c>
      <c r="O190" s="668">
        <v>195</v>
      </c>
    </row>
    <row r="191" spans="1:16" s="668" customFormat="1" ht="17.25" x14ac:dyDescent="0.25">
      <c r="A191" s="748">
        <v>3</v>
      </c>
      <c r="B191" s="805" t="s">
        <v>244</v>
      </c>
      <c r="C191" s="666">
        <v>444141</v>
      </c>
      <c r="D191" s="666">
        <v>133923</v>
      </c>
      <c r="E191" s="667">
        <f t="shared" si="48"/>
        <v>331.63907618556937</v>
      </c>
      <c r="F191" s="666">
        <v>137103</v>
      </c>
      <c r="G191" s="666">
        <v>0</v>
      </c>
      <c r="H191" s="667" t="e">
        <f t="shared" si="49"/>
        <v>#DIV/0!</v>
      </c>
      <c r="I191" s="666">
        <v>472860</v>
      </c>
      <c r="J191" s="666">
        <v>131489</v>
      </c>
      <c r="K191" s="667">
        <f t="shared" si="50"/>
        <v>359.61943584634457</v>
      </c>
      <c r="L191" s="666">
        <v>327189</v>
      </c>
      <c r="M191" s="666">
        <v>131489</v>
      </c>
      <c r="N191" s="667">
        <f t="shared" si="51"/>
        <v>248.83374274654156</v>
      </c>
      <c r="O191" s="668">
        <v>137</v>
      </c>
      <c r="P191" s="668">
        <v>184</v>
      </c>
    </row>
    <row r="192" spans="1:16" ht="34.5" x14ac:dyDescent="0.25">
      <c r="A192" s="272">
        <v>4</v>
      </c>
      <c r="B192" s="578" t="s">
        <v>688</v>
      </c>
      <c r="C192" s="282">
        <v>28499782</v>
      </c>
      <c r="D192" s="282">
        <v>20353863</v>
      </c>
      <c r="E192" s="425">
        <f t="shared" si="48"/>
        <v>140.0214887955176</v>
      </c>
      <c r="F192" s="282">
        <v>2672553</v>
      </c>
      <c r="G192" s="282">
        <v>1933318</v>
      </c>
      <c r="H192" s="425">
        <f t="shared" si="49"/>
        <v>138.23659635921251</v>
      </c>
      <c r="I192" s="282">
        <v>33869488</v>
      </c>
      <c r="J192" s="282">
        <v>22813665</v>
      </c>
      <c r="K192" s="425">
        <f t="shared" si="50"/>
        <v>148.46140679281476</v>
      </c>
      <c r="L192" s="282">
        <v>29793818</v>
      </c>
      <c r="M192" s="282">
        <v>19799146</v>
      </c>
      <c r="N192" s="425">
        <f t="shared" si="51"/>
        <v>150.48031869657407</v>
      </c>
      <c r="O192" s="126">
        <v>1190</v>
      </c>
      <c r="P192" s="126">
        <v>163</v>
      </c>
    </row>
    <row r="193" spans="1:16" x14ac:dyDescent="0.25">
      <c r="A193" s="579"/>
      <c r="B193" s="579"/>
      <c r="C193" s="579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</row>
    <row r="194" spans="1:16" x14ac:dyDescent="0.25">
      <c r="A194" s="1033" t="s">
        <v>363</v>
      </c>
      <c r="B194" s="1034" t="s">
        <v>119</v>
      </c>
      <c r="C194" s="254">
        <f>SUM(C195:C234)</f>
        <v>108591917</v>
      </c>
      <c r="D194" s="254">
        <f>SUM(D195:D234)</f>
        <v>93316650</v>
      </c>
      <c r="E194" s="451">
        <f>C194/D194*100</f>
        <v>116.36928350942731</v>
      </c>
      <c r="F194" s="254">
        <f>SUM(F195:F234)</f>
        <v>16010108</v>
      </c>
      <c r="G194" s="254">
        <f>SUM(G195:G234)</f>
        <v>10030703</v>
      </c>
      <c r="H194" s="451">
        <f>F194/G194*100</f>
        <v>159.61102626605532</v>
      </c>
      <c r="I194" s="254">
        <f>SUM(I195:I234)</f>
        <v>96642531</v>
      </c>
      <c r="J194" s="254">
        <f>SUM(J195:J234)</f>
        <v>79547789</v>
      </c>
      <c r="K194" s="451">
        <f>I194/J194*100</f>
        <v>121.48990212663233</v>
      </c>
      <c r="L194" s="254">
        <f>SUM(L195:L234)</f>
        <v>11442375</v>
      </c>
      <c r="M194" s="254">
        <f>SUM(M195:M234)</f>
        <v>11495099</v>
      </c>
      <c r="N194" s="451">
        <f>L194/M194*100</f>
        <v>99.541334963709318</v>
      </c>
    </row>
    <row r="195" spans="1:16" ht="17.25" x14ac:dyDescent="0.25">
      <c r="A195" s="53">
        <v>1</v>
      </c>
      <c r="B195" s="545" t="s">
        <v>689</v>
      </c>
      <c r="C195" s="247">
        <v>85430</v>
      </c>
      <c r="D195" s="247">
        <v>123166</v>
      </c>
      <c r="E195" s="425">
        <f t="shared" ref="E195:E234" si="52">C195/D195*100</f>
        <v>69.361674488089236</v>
      </c>
      <c r="F195" s="247">
        <v>3918</v>
      </c>
      <c r="G195" s="247">
        <v>29876</v>
      </c>
      <c r="H195" s="425">
        <f t="shared" ref="H195:H234" si="53">F195/G195*100</f>
        <v>13.114205382246618</v>
      </c>
      <c r="I195" s="247">
        <v>125243</v>
      </c>
      <c r="J195" s="247">
        <v>113215</v>
      </c>
      <c r="K195" s="425">
        <f t="shared" ref="K195:K234" si="54">I195/J195*100</f>
        <v>110.62403391776708</v>
      </c>
      <c r="L195" s="247">
        <v>123513</v>
      </c>
      <c r="M195" s="247">
        <v>108324</v>
      </c>
      <c r="N195" s="425">
        <f t="shared" ref="N195:N234" si="55">L195/M195*100</f>
        <v>114.02182341863298</v>
      </c>
      <c r="O195" s="126">
        <v>22</v>
      </c>
      <c r="P195" s="126">
        <v>101</v>
      </c>
    </row>
    <row r="196" spans="1:16" ht="34.5" x14ac:dyDescent="0.25">
      <c r="A196" s="53">
        <v>2</v>
      </c>
      <c r="B196" s="545" t="s">
        <v>690</v>
      </c>
      <c r="C196" s="247">
        <v>1736884</v>
      </c>
      <c r="D196" s="247">
        <v>1487216</v>
      </c>
      <c r="E196" s="425">
        <f t="shared" si="52"/>
        <v>116.78760852492174</v>
      </c>
      <c r="F196" s="247">
        <v>271500</v>
      </c>
      <c r="G196" s="247">
        <v>299587</v>
      </c>
      <c r="H196" s="425">
        <f t="shared" si="53"/>
        <v>90.624760086385592</v>
      </c>
      <c r="I196" s="247">
        <v>1748566</v>
      </c>
      <c r="J196" s="247">
        <v>1476558</v>
      </c>
      <c r="K196" s="425">
        <f t="shared" si="54"/>
        <v>118.42176196261846</v>
      </c>
      <c r="L196" s="247">
        <v>918041</v>
      </c>
      <c r="M196" s="247">
        <v>658561</v>
      </c>
      <c r="N196" s="425">
        <f t="shared" si="55"/>
        <v>139.40105776078451</v>
      </c>
      <c r="O196" s="126">
        <v>113</v>
      </c>
      <c r="P196" s="126">
        <v>71</v>
      </c>
    </row>
    <row r="197" spans="1:16" ht="17.25" x14ac:dyDescent="0.25">
      <c r="A197" s="53">
        <v>3</v>
      </c>
      <c r="B197" s="545" t="s">
        <v>692</v>
      </c>
      <c r="C197" s="247">
        <v>450401</v>
      </c>
      <c r="D197" s="247">
        <v>331801</v>
      </c>
      <c r="E197" s="425">
        <f t="shared" si="52"/>
        <v>135.7443166235183</v>
      </c>
      <c r="F197" s="247">
        <v>10570</v>
      </c>
      <c r="G197" s="247">
        <v>22629</v>
      </c>
      <c r="H197" s="425">
        <f t="shared" si="53"/>
        <v>46.70997392726148</v>
      </c>
      <c r="I197" s="247">
        <v>744315</v>
      </c>
      <c r="J197" s="247">
        <v>586930</v>
      </c>
      <c r="K197" s="425">
        <f t="shared" si="54"/>
        <v>126.81495237932974</v>
      </c>
      <c r="L197" s="247">
        <v>602649</v>
      </c>
      <c r="M197" s="247">
        <v>483720</v>
      </c>
      <c r="N197" s="425">
        <f t="shared" si="55"/>
        <v>124.58633093525179</v>
      </c>
      <c r="O197" s="126">
        <v>95</v>
      </c>
      <c r="P197" s="126">
        <v>146</v>
      </c>
    </row>
    <row r="198" spans="1:16" ht="17.25" x14ac:dyDescent="0.25">
      <c r="A198" s="53">
        <v>4</v>
      </c>
      <c r="B198" s="545" t="s">
        <v>691</v>
      </c>
      <c r="C198" s="247">
        <v>2566506</v>
      </c>
      <c r="D198" s="247">
        <v>2906706</v>
      </c>
      <c r="E198" s="425">
        <f t="shared" si="52"/>
        <v>88.296029939044402</v>
      </c>
      <c r="F198" s="247">
        <v>271845</v>
      </c>
      <c r="G198" s="247">
        <v>287712</v>
      </c>
      <c r="H198" s="425">
        <f t="shared" si="53"/>
        <v>94.485110110110114</v>
      </c>
      <c r="I198" s="247">
        <v>2662103</v>
      </c>
      <c r="J198" s="247">
        <v>2911494</v>
      </c>
      <c r="K198" s="425">
        <f t="shared" si="54"/>
        <v>91.434260211424103</v>
      </c>
      <c r="L198" s="247">
        <v>1925695</v>
      </c>
      <c r="M198" s="247">
        <v>1428700</v>
      </c>
      <c r="N198" s="425">
        <f t="shared" si="55"/>
        <v>134.78651921327079</v>
      </c>
      <c r="O198" s="126">
        <v>350</v>
      </c>
      <c r="P198" s="126">
        <v>170</v>
      </c>
    </row>
    <row r="199" spans="1:16" ht="17.25" x14ac:dyDescent="0.25">
      <c r="A199" s="53">
        <v>5</v>
      </c>
      <c r="B199" s="545" t="s">
        <v>693</v>
      </c>
      <c r="C199" s="247">
        <v>48760224</v>
      </c>
      <c r="D199" s="247">
        <v>44832200</v>
      </c>
      <c r="E199" s="425">
        <f t="shared" si="52"/>
        <v>108.76161330472294</v>
      </c>
      <c r="F199" s="247">
        <v>9631859</v>
      </c>
      <c r="G199" s="247">
        <v>4665283</v>
      </c>
      <c r="H199" s="425">
        <f t="shared" si="53"/>
        <v>206.45819342577934</v>
      </c>
      <c r="I199" s="247">
        <v>39772120</v>
      </c>
      <c r="J199" s="247">
        <v>31504553</v>
      </c>
      <c r="K199" s="425">
        <f t="shared" si="54"/>
        <v>126.24245136885452</v>
      </c>
      <c r="L199" s="247">
        <v>359834</v>
      </c>
      <c r="M199" s="247">
        <v>1984610</v>
      </c>
      <c r="N199" s="425">
        <f t="shared" si="55"/>
        <v>18.1312197358675</v>
      </c>
      <c r="O199" s="126">
        <v>597</v>
      </c>
      <c r="P199" s="126">
        <v>150</v>
      </c>
    </row>
    <row r="200" spans="1:16" ht="17.25" x14ac:dyDescent="0.25">
      <c r="A200" s="53">
        <v>6</v>
      </c>
      <c r="B200" s="545" t="s">
        <v>694</v>
      </c>
      <c r="C200" s="247">
        <v>6445463</v>
      </c>
      <c r="D200" s="247">
        <v>4890559</v>
      </c>
      <c r="E200" s="425">
        <f t="shared" si="52"/>
        <v>131.79399328379435</v>
      </c>
      <c r="F200" s="247">
        <v>465346</v>
      </c>
      <c r="G200" s="247">
        <v>358706</v>
      </c>
      <c r="H200" s="425">
        <f t="shared" si="53"/>
        <v>129.72908175497483</v>
      </c>
      <c r="I200" s="247">
        <v>3983279</v>
      </c>
      <c r="J200" s="247">
        <v>4291657</v>
      </c>
      <c r="K200" s="425">
        <f t="shared" si="54"/>
        <v>92.814477019016195</v>
      </c>
      <c r="L200" s="247">
        <v>664099</v>
      </c>
      <c r="M200" s="247">
        <v>1100412</v>
      </c>
      <c r="N200" s="425">
        <f t="shared" si="55"/>
        <v>60.350032533269356</v>
      </c>
      <c r="O200" s="126">
        <v>478</v>
      </c>
      <c r="P200" s="126">
        <v>138</v>
      </c>
    </row>
    <row r="201" spans="1:16" ht="17.25" x14ac:dyDescent="0.25">
      <c r="A201" s="53">
        <v>7</v>
      </c>
      <c r="B201" s="545" t="s">
        <v>695</v>
      </c>
      <c r="C201" s="247">
        <v>1735602</v>
      </c>
      <c r="D201" s="247">
        <v>1935693</v>
      </c>
      <c r="E201" s="425">
        <f t="shared" si="52"/>
        <v>89.663081904000279</v>
      </c>
      <c r="F201" s="247">
        <v>207363</v>
      </c>
      <c r="G201" s="247">
        <v>227614</v>
      </c>
      <c r="H201" s="425">
        <f t="shared" si="53"/>
        <v>91.102919855544911</v>
      </c>
      <c r="I201" s="247">
        <v>1689494</v>
      </c>
      <c r="J201" s="247">
        <v>1652395</v>
      </c>
      <c r="K201" s="425">
        <f t="shared" si="54"/>
        <v>102.24516535089975</v>
      </c>
      <c r="L201" s="247">
        <v>234198</v>
      </c>
      <c r="M201" s="247">
        <v>80737</v>
      </c>
      <c r="N201" s="425">
        <f t="shared" si="55"/>
        <v>290.07518238230301</v>
      </c>
      <c r="O201" s="126">
        <v>165</v>
      </c>
      <c r="P201" s="126">
        <v>105</v>
      </c>
    </row>
    <row r="202" spans="1:16" ht="17.25" x14ac:dyDescent="0.25">
      <c r="A202" s="53">
        <v>8</v>
      </c>
      <c r="B202" s="545" t="s">
        <v>696</v>
      </c>
      <c r="C202" s="247">
        <v>199249</v>
      </c>
      <c r="D202" s="247">
        <v>369821</v>
      </c>
      <c r="E202" s="425">
        <f t="shared" si="52"/>
        <v>53.877145970618223</v>
      </c>
      <c r="F202" s="247">
        <v>6202</v>
      </c>
      <c r="G202" s="247">
        <v>33456</v>
      </c>
      <c r="H202" s="425">
        <f t="shared" si="53"/>
        <v>18.537780966044952</v>
      </c>
      <c r="I202" s="247">
        <v>286162</v>
      </c>
      <c r="J202" s="247">
        <v>581753</v>
      </c>
      <c r="K202" s="425">
        <f t="shared" si="54"/>
        <v>49.189604522881702</v>
      </c>
      <c r="L202" s="247">
        <v>180962</v>
      </c>
      <c r="M202" s="247">
        <v>503692</v>
      </c>
      <c r="N202" s="425">
        <f t="shared" si="55"/>
        <v>35.927114188829684</v>
      </c>
      <c r="O202" s="126">
        <v>42</v>
      </c>
      <c r="P202" s="126">
        <v>80</v>
      </c>
    </row>
    <row r="203" spans="1:16" ht="17.25" x14ac:dyDescent="0.25">
      <c r="A203" s="53">
        <v>9</v>
      </c>
      <c r="B203" s="545" t="s">
        <v>697</v>
      </c>
      <c r="C203" s="247">
        <v>2960692</v>
      </c>
      <c r="D203" s="247">
        <v>1777923</v>
      </c>
      <c r="E203" s="425">
        <f t="shared" si="52"/>
        <v>166.52532196276218</v>
      </c>
      <c r="F203" s="247">
        <v>384461</v>
      </c>
      <c r="G203" s="247">
        <v>236546</v>
      </c>
      <c r="H203" s="425">
        <f t="shared" si="53"/>
        <v>162.5311778681525</v>
      </c>
      <c r="I203" s="247">
        <v>2959592</v>
      </c>
      <c r="J203" s="247">
        <v>1773057</v>
      </c>
      <c r="K203" s="425">
        <f t="shared" si="54"/>
        <v>166.92029641461048</v>
      </c>
      <c r="L203" s="247">
        <v>89960</v>
      </c>
      <c r="M203" s="247">
        <v>2395</v>
      </c>
      <c r="N203" s="425">
        <f t="shared" si="55"/>
        <v>3756.1586638830895</v>
      </c>
      <c r="O203" s="126">
        <v>153</v>
      </c>
      <c r="P203" s="126">
        <v>110</v>
      </c>
    </row>
    <row r="204" spans="1:16" ht="17.25" x14ac:dyDescent="0.25">
      <c r="A204" s="53">
        <v>10</v>
      </c>
      <c r="B204" s="545" t="s">
        <v>227</v>
      </c>
      <c r="C204" s="247">
        <v>1062511</v>
      </c>
      <c r="D204" s="247">
        <v>941530</v>
      </c>
      <c r="E204" s="425">
        <f t="shared" si="52"/>
        <v>112.84940469236243</v>
      </c>
      <c r="F204" s="247">
        <v>114235</v>
      </c>
      <c r="G204" s="247">
        <v>112840</v>
      </c>
      <c r="H204" s="425">
        <f t="shared" si="53"/>
        <v>101.23626373626374</v>
      </c>
      <c r="I204" s="247">
        <v>1062511</v>
      </c>
      <c r="J204" s="247">
        <v>941530</v>
      </c>
      <c r="K204" s="425">
        <f t="shared" si="54"/>
        <v>112.84940469236243</v>
      </c>
      <c r="L204" s="247">
        <v>623483</v>
      </c>
      <c r="M204" s="247">
        <v>785129</v>
      </c>
      <c r="N204" s="425">
        <f t="shared" si="55"/>
        <v>79.411536193415344</v>
      </c>
      <c r="O204" s="126">
        <v>123</v>
      </c>
      <c r="P204" s="126">
        <v>85</v>
      </c>
    </row>
    <row r="205" spans="1:16" ht="17.25" x14ac:dyDescent="0.25">
      <c r="A205" s="53">
        <v>11</v>
      </c>
      <c r="B205" s="545" t="s">
        <v>235</v>
      </c>
      <c r="C205" s="247">
        <v>233984</v>
      </c>
      <c r="D205" s="247">
        <v>196917</v>
      </c>
      <c r="E205" s="425">
        <f t="shared" si="52"/>
        <v>118.82366682409339</v>
      </c>
      <c r="F205" s="247">
        <v>16284</v>
      </c>
      <c r="G205" s="247">
        <v>28425</v>
      </c>
      <c r="H205" s="425">
        <f t="shared" si="53"/>
        <v>57.287598944591032</v>
      </c>
      <c r="I205" s="247">
        <v>233984</v>
      </c>
      <c r="J205" s="247">
        <v>196917</v>
      </c>
      <c r="K205" s="425">
        <f t="shared" si="54"/>
        <v>118.82366682409339</v>
      </c>
      <c r="L205" s="247"/>
      <c r="M205" s="247"/>
      <c r="N205" s="425" t="e">
        <f t="shared" si="55"/>
        <v>#DIV/0!</v>
      </c>
      <c r="O205" s="126">
        <v>18</v>
      </c>
      <c r="P205" s="126">
        <v>80</v>
      </c>
    </row>
    <row r="206" spans="1:16" ht="17.25" x14ac:dyDescent="0.25">
      <c r="A206" s="53">
        <v>12</v>
      </c>
      <c r="B206" s="545" t="s">
        <v>698</v>
      </c>
      <c r="C206" s="247">
        <v>2032202</v>
      </c>
      <c r="D206" s="247">
        <v>1756417</v>
      </c>
      <c r="E206" s="425">
        <f t="shared" si="52"/>
        <v>115.70156745237605</v>
      </c>
      <c r="F206" s="247">
        <v>186221</v>
      </c>
      <c r="G206" s="247">
        <v>242013</v>
      </c>
      <c r="H206" s="425">
        <f t="shared" si="53"/>
        <v>76.946692946246685</v>
      </c>
      <c r="I206" s="247">
        <v>2032202</v>
      </c>
      <c r="J206" s="247">
        <v>1756417</v>
      </c>
      <c r="K206" s="425">
        <f t="shared" si="54"/>
        <v>115.70156745237605</v>
      </c>
      <c r="L206" s="247">
        <v>252980</v>
      </c>
      <c r="M206" s="247">
        <v>303507</v>
      </c>
      <c r="N206" s="425">
        <f t="shared" si="55"/>
        <v>83.352278530643446</v>
      </c>
      <c r="O206" s="126">
        <v>174</v>
      </c>
      <c r="P206" s="126">
        <v>115</v>
      </c>
    </row>
    <row r="207" spans="1:16" ht="17.25" x14ac:dyDescent="0.25">
      <c r="A207" s="53">
        <v>13</v>
      </c>
      <c r="B207" s="545" t="s">
        <v>699</v>
      </c>
      <c r="C207" s="247">
        <v>476193</v>
      </c>
      <c r="D207" s="247">
        <v>318711</v>
      </c>
      <c r="E207" s="425">
        <f t="shared" si="52"/>
        <v>149.4121633705771</v>
      </c>
      <c r="F207" s="247">
        <v>31539</v>
      </c>
      <c r="G207" s="247">
        <v>42958</v>
      </c>
      <c r="H207" s="425">
        <f t="shared" si="53"/>
        <v>73.41822244983473</v>
      </c>
      <c r="I207" s="247">
        <v>473941</v>
      </c>
      <c r="J207" s="247">
        <v>313004</v>
      </c>
      <c r="K207" s="425">
        <f t="shared" si="54"/>
        <v>151.41691479981088</v>
      </c>
      <c r="L207" s="247"/>
      <c r="M207" s="247"/>
      <c r="N207" s="425" t="e">
        <f t="shared" si="55"/>
        <v>#DIV/0!</v>
      </c>
      <c r="O207" s="126">
        <v>131</v>
      </c>
    </row>
    <row r="208" spans="1:16" ht="34.5" x14ac:dyDescent="0.25">
      <c r="A208" s="53">
        <v>14</v>
      </c>
      <c r="B208" s="545" t="s">
        <v>700</v>
      </c>
      <c r="C208" s="247">
        <v>9157</v>
      </c>
      <c r="D208" s="247">
        <v>14647</v>
      </c>
      <c r="E208" s="425">
        <f t="shared" si="52"/>
        <v>62.517921758721918</v>
      </c>
      <c r="F208" s="247">
        <v>2213</v>
      </c>
      <c r="G208" s="247">
        <v>7702</v>
      </c>
      <c r="H208" s="425">
        <f t="shared" si="53"/>
        <v>28.732796676188006</v>
      </c>
      <c r="I208" s="247">
        <v>11500</v>
      </c>
      <c r="J208" s="247">
        <v>16500</v>
      </c>
      <c r="K208" s="425">
        <f t="shared" si="54"/>
        <v>69.696969696969703</v>
      </c>
      <c r="L208" s="247"/>
      <c r="M208" s="247"/>
      <c r="N208" s="425" t="e">
        <f t="shared" si="55"/>
        <v>#DIV/0!</v>
      </c>
      <c r="O208" s="126">
        <v>38</v>
      </c>
      <c r="P208" s="126">
        <v>80</v>
      </c>
    </row>
    <row r="209" spans="1:16" ht="34.5" x14ac:dyDescent="0.25">
      <c r="A209" s="53">
        <v>15</v>
      </c>
      <c r="B209" s="545" t="s">
        <v>701</v>
      </c>
      <c r="C209" s="247">
        <v>3576778</v>
      </c>
      <c r="D209" s="247">
        <v>2836192</v>
      </c>
      <c r="E209" s="425">
        <f t="shared" si="52"/>
        <v>126.1119839559522</v>
      </c>
      <c r="F209" s="247">
        <v>196387</v>
      </c>
      <c r="G209" s="247">
        <v>102937</v>
      </c>
      <c r="H209" s="425">
        <f t="shared" si="53"/>
        <v>190.78368322371938</v>
      </c>
      <c r="I209" s="247">
        <v>2800876</v>
      </c>
      <c r="J209" s="247">
        <v>2215347</v>
      </c>
      <c r="K209" s="425">
        <f t="shared" si="54"/>
        <v>126.4305772413983</v>
      </c>
      <c r="L209" s="247"/>
      <c r="M209" s="247"/>
      <c r="N209" s="425" t="e">
        <f t="shared" si="55"/>
        <v>#DIV/0!</v>
      </c>
      <c r="O209" s="126">
        <v>403</v>
      </c>
      <c r="P209" s="126">
        <v>100</v>
      </c>
    </row>
    <row r="210" spans="1:16" ht="17.25" x14ac:dyDescent="0.25">
      <c r="A210" s="53">
        <v>16</v>
      </c>
      <c r="B210" s="545" t="s">
        <v>785</v>
      </c>
      <c r="C210" s="247">
        <v>20094240</v>
      </c>
      <c r="D210" s="247">
        <v>16380791</v>
      </c>
      <c r="E210" s="425">
        <f t="shared" si="52"/>
        <v>122.66953409026462</v>
      </c>
      <c r="F210" s="247">
        <v>2214470</v>
      </c>
      <c r="G210" s="247">
        <v>1856316</v>
      </c>
      <c r="H210" s="425">
        <f t="shared" si="53"/>
        <v>119.29380558051538</v>
      </c>
      <c r="I210" s="247">
        <v>20051370</v>
      </c>
      <c r="J210" s="247">
        <v>16680695</v>
      </c>
      <c r="K210" s="425">
        <f t="shared" si="54"/>
        <v>120.20704173297337</v>
      </c>
      <c r="L210" s="247">
        <v>1120814</v>
      </c>
      <c r="M210" s="247">
        <v>830449</v>
      </c>
      <c r="N210" s="425">
        <f t="shared" si="55"/>
        <v>134.96482023580015</v>
      </c>
      <c r="O210" s="126">
        <v>1732</v>
      </c>
      <c r="P210" s="126">
        <v>168</v>
      </c>
    </row>
    <row r="211" spans="1:16" ht="34.5" x14ac:dyDescent="0.25">
      <c r="A211" s="53">
        <v>17</v>
      </c>
      <c r="B211" s="545" t="s">
        <v>547</v>
      </c>
      <c r="C211" s="247">
        <v>80485</v>
      </c>
      <c r="D211" s="247">
        <v>75600</v>
      </c>
      <c r="E211" s="425">
        <f t="shared" si="52"/>
        <v>106.46164021164022</v>
      </c>
      <c r="F211" s="247">
        <v>2962</v>
      </c>
      <c r="G211" s="247">
        <v>2100</v>
      </c>
      <c r="H211" s="425">
        <f t="shared" si="53"/>
        <v>141.04761904761904</v>
      </c>
      <c r="I211" s="247">
        <v>53822</v>
      </c>
      <c r="J211" s="247">
        <v>47515</v>
      </c>
      <c r="K211" s="425">
        <f t="shared" si="54"/>
        <v>113.2737030411449</v>
      </c>
      <c r="L211" s="247"/>
      <c r="M211" s="247"/>
      <c r="N211" s="425" t="e">
        <f t="shared" si="55"/>
        <v>#DIV/0!</v>
      </c>
      <c r="O211" s="126">
        <v>20</v>
      </c>
      <c r="P211" s="126">
        <v>75</v>
      </c>
    </row>
    <row r="212" spans="1:16" ht="17.25" x14ac:dyDescent="0.25">
      <c r="A212" s="53">
        <v>18</v>
      </c>
      <c r="B212" s="545" t="s">
        <v>549</v>
      </c>
      <c r="C212" s="247">
        <v>136811</v>
      </c>
      <c r="D212" s="247">
        <v>305732</v>
      </c>
      <c r="E212" s="425">
        <f t="shared" si="52"/>
        <v>44.748668768725551</v>
      </c>
      <c r="F212" s="247">
        <v>0</v>
      </c>
      <c r="G212" s="247">
        <v>111570</v>
      </c>
      <c r="H212" s="425">
        <f t="shared" si="53"/>
        <v>0</v>
      </c>
      <c r="I212" s="247">
        <v>181843</v>
      </c>
      <c r="J212" s="247">
        <v>402016</v>
      </c>
      <c r="K212" s="425">
        <f t="shared" si="54"/>
        <v>45.232776804903288</v>
      </c>
      <c r="L212" s="247">
        <v>69274</v>
      </c>
      <c r="M212" s="247">
        <v>248050</v>
      </c>
      <c r="N212" s="425">
        <f t="shared" si="55"/>
        <v>27.927433985083656</v>
      </c>
      <c r="O212" s="126">
        <v>58</v>
      </c>
      <c r="P212" s="126">
        <v>118</v>
      </c>
    </row>
    <row r="213" spans="1:16" ht="17.25" x14ac:dyDescent="0.25">
      <c r="A213" s="53">
        <v>19</v>
      </c>
      <c r="B213" s="545" t="s">
        <v>550</v>
      </c>
      <c r="C213" s="247"/>
      <c r="D213" s="247"/>
      <c r="E213" s="425" t="e">
        <f t="shared" si="52"/>
        <v>#DIV/0!</v>
      </c>
      <c r="F213" s="247"/>
      <c r="G213" s="247"/>
      <c r="H213" s="425" t="e">
        <f>F213/G213*100</f>
        <v>#DIV/0!</v>
      </c>
      <c r="I213" s="247"/>
      <c r="J213" s="247"/>
      <c r="K213" s="425" t="e">
        <f t="shared" si="54"/>
        <v>#DIV/0!</v>
      </c>
      <c r="L213" s="247"/>
      <c r="M213" s="247"/>
      <c r="N213" s="425" t="e">
        <f t="shared" si="55"/>
        <v>#DIV/0!</v>
      </c>
      <c r="O213" s="126">
        <v>6</v>
      </c>
      <c r="P213" s="126">
        <v>83</v>
      </c>
    </row>
    <row r="214" spans="1:16" ht="17.25" x14ac:dyDescent="0.25">
      <c r="A214" s="53">
        <v>20</v>
      </c>
      <c r="B214" s="545" t="s">
        <v>551</v>
      </c>
      <c r="C214" s="247">
        <v>1260706</v>
      </c>
      <c r="D214" s="247">
        <v>828494</v>
      </c>
      <c r="E214" s="425">
        <f t="shared" si="52"/>
        <v>152.16839228769311</v>
      </c>
      <c r="F214" s="282">
        <v>149816</v>
      </c>
      <c r="G214" s="247">
        <v>81237</v>
      </c>
      <c r="H214" s="425">
        <f t="shared" si="53"/>
        <v>184.41843002572719</v>
      </c>
      <c r="I214" s="247">
        <v>1190366</v>
      </c>
      <c r="J214" s="247">
        <v>828380</v>
      </c>
      <c r="K214" s="425">
        <f t="shared" si="54"/>
        <v>143.69806127622587</v>
      </c>
      <c r="L214" s="247">
        <v>14005</v>
      </c>
      <c r="M214" s="247">
        <v>8210</v>
      </c>
      <c r="N214" s="425">
        <f t="shared" si="55"/>
        <v>170.58465286236299</v>
      </c>
      <c r="O214" s="126">
        <v>304</v>
      </c>
      <c r="P214" s="126">
        <v>97</v>
      </c>
    </row>
    <row r="215" spans="1:16" s="668" customFormat="1" ht="17.25" x14ac:dyDescent="0.25">
      <c r="A215" s="748">
        <v>21</v>
      </c>
      <c r="B215" s="799" t="s">
        <v>553</v>
      </c>
      <c r="C215" s="666">
        <v>307386</v>
      </c>
      <c r="D215" s="666">
        <v>105595</v>
      </c>
      <c r="E215" s="667">
        <f t="shared" si="52"/>
        <v>291.09901036980921</v>
      </c>
      <c r="F215" s="666">
        <v>27121</v>
      </c>
      <c r="G215" s="666">
        <v>1458</v>
      </c>
      <c r="H215" s="667">
        <f t="shared" si="53"/>
        <v>1860.150891632373</v>
      </c>
      <c r="I215" s="666">
        <v>256430</v>
      </c>
      <c r="J215" s="666">
        <v>78073</v>
      </c>
      <c r="K215" s="667">
        <f t="shared" si="54"/>
        <v>328.4490156648265</v>
      </c>
      <c r="L215" s="666"/>
      <c r="M215" s="666"/>
      <c r="N215" s="667" t="e">
        <f t="shared" si="55"/>
        <v>#DIV/0!</v>
      </c>
    </row>
    <row r="216" spans="1:16" s="668" customFormat="1" ht="34.5" x14ac:dyDescent="0.25">
      <c r="A216" s="748">
        <v>22</v>
      </c>
      <c r="B216" s="799" t="s">
        <v>554</v>
      </c>
      <c r="C216" s="666">
        <v>3937651</v>
      </c>
      <c r="D216" s="666">
        <v>2269663</v>
      </c>
      <c r="E216" s="667">
        <f t="shared" si="52"/>
        <v>173.49055784933711</v>
      </c>
      <c r="F216" s="666">
        <v>422578</v>
      </c>
      <c r="G216" s="666">
        <v>175405</v>
      </c>
      <c r="H216" s="667">
        <f t="shared" si="53"/>
        <v>240.91559533650693</v>
      </c>
      <c r="I216" s="666">
        <v>3937651</v>
      </c>
      <c r="J216" s="666">
        <v>2269663</v>
      </c>
      <c r="K216" s="667">
        <f t="shared" si="54"/>
        <v>173.49055784933711</v>
      </c>
      <c r="L216" s="666">
        <v>747383</v>
      </c>
      <c r="M216" s="666">
        <v>103647</v>
      </c>
      <c r="N216" s="667">
        <f t="shared" si="55"/>
        <v>721.08502899263851</v>
      </c>
    </row>
    <row r="217" spans="1:16" s="668" customFormat="1" ht="34.5" x14ac:dyDescent="0.25">
      <c r="A217" s="748">
        <v>23</v>
      </c>
      <c r="B217" s="799" t="s">
        <v>575</v>
      </c>
      <c r="C217" s="666">
        <v>132951</v>
      </c>
      <c r="D217" s="666">
        <v>70158</v>
      </c>
      <c r="E217" s="667">
        <f t="shared" si="52"/>
        <v>189.50226631317884</v>
      </c>
      <c r="F217" s="666">
        <v>2217</v>
      </c>
      <c r="G217" s="666">
        <v>7071</v>
      </c>
      <c r="H217" s="667">
        <f t="shared" si="53"/>
        <v>31.353415358506574</v>
      </c>
      <c r="I217" s="666">
        <v>62672</v>
      </c>
      <c r="J217" s="666">
        <v>35440</v>
      </c>
      <c r="K217" s="667">
        <f t="shared" si="54"/>
        <v>176.83972911963883</v>
      </c>
      <c r="L217" s="666">
        <v>11501</v>
      </c>
      <c r="M217" s="666">
        <v>5673</v>
      </c>
      <c r="N217" s="667">
        <f t="shared" si="55"/>
        <v>202.73224043715845</v>
      </c>
    </row>
    <row r="218" spans="1:16" ht="17.25" x14ac:dyDescent="0.25">
      <c r="A218" s="53">
        <v>24</v>
      </c>
      <c r="B218" s="545" t="s">
        <v>576</v>
      </c>
      <c r="C218" s="732">
        <v>48941</v>
      </c>
      <c r="D218" s="733">
        <v>45998</v>
      </c>
      <c r="E218" s="425">
        <f t="shared" si="52"/>
        <v>106.39810426540284</v>
      </c>
      <c r="F218" s="247">
        <v>3780</v>
      </c>
      <c r="G218" s="247">
        <v>3195</v>
      </c>
      <c r="H218" s="425">
        <f t="shared" si="53"/>
        <v>118.30985915492957</v>
      </c>
      <c r="I218" s="247">
        <v>3925</v>
      </c>
      <c r="J218" s="247">
        <v>4655</v>
      </c>
      <c r="K218" s="425">
        <f>I218/J218*100</f>
        <v>84.317937701396346</v>
      </c>
      <c r="L218" s="247">
        <v>0</v>
      </c>
      <c r="M218" s="247">
        <v>0</v>
      </c>
      <c r="N218" s="425" t="e">
        <f t="shared" si="55"/>
        <v>#DIV/0!</v>
      </c>
      <c r="O218" s="126">
        <v>3</v>
      </c>
      <c r="P218" s="126">
        <v>81</v>
      </c>
    </row>
    <row r="219" spans="1:16" ht="17.25" x14ac:dyDescent="0.25">
      <c r="A219" s="53">
        <v>25</v>
      </c>
      <c r="B219" s="545" t="s">
        <v>755</v>
      </c>
      <c r="C219" s="247">
        <v>474116</v>
      </c>
      <c r="D219" s="247">
        <v>369068</v>
      </c>
      <c r="E219" s="425">
        <f t="shared" si="52"/>
        <v>128.46304746008866</v>
      </c>
      <c r="F219" s="247">
        <v>21596</v>
      </c>
      <c r="G219" s="247">
        <v>15226</v>
      </c>
      <c r="H219" s="425">
        <f t="shared" si="53"/>
        <v>141.83633258899252</v>
      </c>
      <c r="I219" s="247">
        <v>500676</v>
      </c>
      <c r="J219" s="247">
        <v>311769</v>
      </c>
      <c r="K219" s="425">
        <f t="shared" si="54"/>
        <v>160.59197675201833</v>
      </c>
      <c r="L219" s="247">
        <v>315629</v>
      </c>
      <c r="M219" s="247">
        <v>228066</v>
      </c>
      <c r="N219" s="425">
        <f t="shared" si="55"/>
        <v>138.39371059254776</v>
      </c>
      <c r="O219" s="126">
        <v>25</v>
      </c>
      <c r="P219" s="126">
        <v>87</v>
      </c>
    </row>
    <row r="220" spans="1:16" ht="34.5" x14ac:dyDescent="0.25">
      <c r="A220" s="53">
        <v>27</v>
      </c>
      <c r="B220" s="545" t="s">
        <v>557</v>
      </c>
      <c r="C220" s="247">
        <v>1066183</v>
      </c>
      <c r="D220" s="247">
        <v>1237847</v>
      </c>
      <c r="E220" s="425">
        <f t="shared" si="52"/>
        <v>86.132050245304953</v>
      </c>
      <c r="F220" s="247">
        <v>203660</v>
      </c>
      <c r="G220" s="247">
        <v>196287</v>
      </c>
      <c r="H220" s="425">
        <f t="shared" si="53"/>
        <v>103.75623449336939</v>
      </c>
      <c r="I220" s="247">
        <v>1019344</v>
      </c>
      <c r="J220" s="247">
        <v>1306385</v>
      </c>
      <c r="K220" s="425">
        <f t="shared" si="54"/>
        <v>78.02784018493783</v>
      </c>
      <c r="L220" s="247">
        <v>223827</v>
      </c>
      <c r="M220" s="247">
        <v>396353</v>
      </c>
      <c r="N220" s="425">
        <f t="shared" si="55"/>
        <v>56.471630087321145</v>
      </c>
      <c r="O220" s="126">
        <v>82</v>
      </c>
      <c r="P220" s="126">
        <v>119</v>
      </c>
    </row>
    <row r="221" spans="1:16" ht="17.25" x14ac:dyDescent="0.25">
      <c r="A221" s="53">
        <v>28</v>
      </c>
      <c r="B221" s="545" t="s">
        <v>558</v>
      </c>
      <c r="C221" s="247">
        <v>2699567</v>
      </c>
      <c r="D221" s="247">
        <v>2069876</v>
      </c>
      <c r="E221" s="425">
        <f t="shared" si="52"/>
        <v>130.42167743381731</v>
      </c>
      <c r="F221" s="247">
        <v>551730</v>
      </c>
      <c r="G221" s="247">
        <v>275031</v>
      </c>
      <c r="H221" s="425">
        <f t="shared" si="53"/>
        <v>200.60647708803737</v>
      </c>
      <c r="I221" s="247">
        <v>2699567</v>
      </c>
      <c r="J221" s="247">
        <v>2069876</v>
      </c>
      <c r="K221" s="425">
        <f t="shared" si="54"/>
        <v>130.42167743381731</v>
      </c>
      <c r="L221" s="247">
        <v>2699386</v>
      </c>
      <c r="M221" s="247">
        <v>2069876</v>
      </c>
      <c r="N221" s="425">
        <f t="shared" si="55"/>
        <v>130.41293294864039</v>
      </c>
      <c r="O221" s="126">
        <v>48</v>
      </c>
      <c r="P221" s="126">
        <v>130</v>
      </c>
    </row>
    <row r="222" spans="1:16" ht="17.25" x14ac:dyDescent="0.25">
      <c r="A222" s="53">
        <v>30</v>
      </c>
      <c r="B222" s="545" t="s">
        <v>560</v>
      </c>
      <c r="C222" s="247"/>
      <c r="D222" s="593"/>
      <c r="E222" s="425" t="e">
        <f t="shared" si="52"/>
        <v>#DIV/0!</v>
      </c>
      <c r="F222" s="593"/>
      <c r="G222" s="593"/>
      <c r="H222" s="425" t="e">
        <f t="shared" si="53"/>
        <v>#DIV/0!</v>
      </c>
      <c r="I222" s="593"/>
      <c r="J222" s="593"/>
      <c r="K222" s="425" t="e">
        <f t="shared" si="54"/>
        <v>#DIV/0!</v>
      </c>
      <c r="L222" s="247"/>
      <c r="M222" s="247"/>
      <c r="N222" s="425" t="e">
        <f t="shared" si="55"/>
        <v>#DIV/0!</v>
      </c>
      <c r="O222" s="126">
        <v>57</v>
      </c>
      <c r="P222" s="126">
        <v>95</v>
      </c>
    </row>
    <row r="223" spans="1:16" ht="17.25" x14ac:dyDescent="0.25">
      <c r="A223" s="53">
        <v>31</v>
      </c>
      <c r="B223" s="545" t="s">
        <v>561</v>
      </c>
      <c r="C223" s="247">
        <v>2129935</v>
      </c>
      <c r="D223" s="247">
        <v>1869192</v>
      </c>
      <c r="E223" s="425">
        <f t="shared" si="52"/>
        <v>113.94950331480128</v>
      </c>
      <c r="F223" s="247">
        <v>258354</v>
      </c>
      <c r="G223" s="247">
        <v>222381</v>
      </c>
      <c r="H223" s="425">
        <f t="shared" si="53"/>
        <v>116.17629203933791</v>
      </c>
      <c r="I223" s="247">
        <v>2167537</v>
      </c>
      <c r="J223" s="247">
        <v>1883078</v>
      </c>
      <c r="K223" s="425">
        <f t="shared" si="54"/>
        <v>115.10606570731537</v>
      </c>
      <c r="L223" s="247">
        <v>26845</v>
      </c>
      <c r="M223" s="247">
        <v>40753</v>
      </c>
      <c r="N223" s="425">
        <f t="shared" si="55"/>
        <v>65.872451107893895</v>
      </c>
    </row>
    <row r="224" spans="1:16" ht="34.5" x14ac:dyDescent="0.25">
      <c r="A224" s="53">
        <v>32</v>
      </c>
      <c r="B224" s="545" t="s">
        <v>565</v>
      </c>
      <c r="C224" s="247">
        <v>65892</v>
      </c>
      <c r="D224" s="247">
        <v>49732</v>
      </c>
      <c r="E224" s="425">
        <f t="shared" si="52"/>
        <v>132.49416874447036</v>
      </c>
      <c r="F224" s="247">
        <v>8242</v>
      </c>
      <c r="G224" s="247">
        <v>2383</v>
      </c>
      <c r="H224" s="425">
        <f t="shared" si="53"/>
        <v>345.86655476290389</v>
      </c>
      <c r="I224" s="247">
        <v>65892</v>
      </c>
      <c r="J224" s="247">
        <v>49732</v>
      </c>
      <c r="K224" s="425">
        <f t="shared" si="54"/>
        <v>132.49416874447036</v>
      </c>
      <c r="L224" s="247"/>
      <c r="M224" s="247"/>
      <c r="N224" s="425" t="e">
        <f t="shared" si="55"/>
        <v>#DIV/0!</v>
      </c>
      <c r="O224" s="126">
        <v>21</v>
      </c>
      <c r="P224" s="126">
        <v>97</v>
      </c>
    </row>
    <row r="225" spans="1:16" ht="17.25" x14ac:dyDescent="0.25">
      <c r="A225" s="53">
        <v>33</v>
      </c>
      <c r="B225" s="545" t="s">
        <v>566</v>
      </c>
      <c r="C225" s="247">
        <v>255780</v>
      </c>
      <c r="D225" s="247">
        <v>234489</v>
      </c>
      <c r="E225" s="425">
        <f t="shared" si="52"/>
        <v>109.07974361270678</v>
      </c>
      <c r="F225" s="425">
        <v>23877</v>
      </c>
      <c r="G225" s="247">
        <v>20296</v>
      </c>
      <c r="H225" s="425">
        <f t="shared" si="53"/>
        <v>117.64387071344106</v>
      </c>
      <c r="I225" s="247">
        <v>255780</v>
      </c>
      <c r="J225" s="247">
        <v>234489</v>
      </c>
      <c r="K225" s="425">
        <f t="shared" si="54"/>
        <v>109.07974361270678</v>
      </c>
      <c r="L225" s="247"/>
      <c r="M225" s="247"/>
      <c r="N225" s="425" t="e">
        <f t="shared" si="55"/>
        <v>#DIV/0!</v>
      </c>
      <c r="O225" s="126">
        <v>26</v>
      </c>
      <c r="P225" s="126">
        <v>120</v>
      </c>
    </row>
    <row r="226" spans="1:16" ht="34.5" x14ac:dyDescent="0.25">
      <c r="A226" s="53">
        <v>34</v>
      </c>
      <c r="B226" s="545" t="s">
        <v>567</v>
      </c>
      <c r="C226" s="247">
        <v>34897</v>
      </c>
      <c r="D226" s="247">
        <v>32143</v>
      </c>
      <c r="E226" s="425">
        <f t="shared" si="52"/>
        <v>108.56796192016924</v>
      </c>
      <c r="F226" s="247">
        <v>3189</v>
      </c>
      <c r="G226" s="247">
        <v>2161</v>
      </c>
      <c r="H226" s="425">
        <f t="shared" si="53"/>
        <v>147.57056918093477</v>
      </c>
      <c r="I226" s="247">
        <v>43104</v>
      </c>
      <c r="J226" s="247">
        <v>42587</v>
      </c>
      <c r="K226" s="425">
        <f t="shared" si="54"/>
        <v>101.21398548852936</v>
      </c>
      <c r="L226" s="247">
        <v>0</v>
      </c>
      <c r="M226" s="247">
        <v>4514</v>
      </c>
      <c r="N226" s="425">
        <f t="shared" si="55"/>
        <v>0</v>
      </c>
      <c r="O226" s="126">
        <v>6</v>
      </c>
    </row>
    <row r="227" spans="1:16" ht="34.5" x14ac:dyDescent="0.25">
      <c r="A227" s="53">
        <v>35</v>
      </c>
      <c r="B227" s="545" t="s">
        <v>574</v>
      </c>
      <c r="C227" s="247">
        <v>294889</v>
      </c>
      <c r="D227" s="247">
        <v>294396</v>
      </c>
      <c r="E227" s="425">
        <f t="shared" si="52"/>
        <v>100.16746151442275</v>
      </c>
      <c r="F227" s="247">
        <v>24121</v>
      </c>
      <c r="G227" s="247">
        <v>18690</v>
      </c>
      <c r="H227" s="425">
        <f t="shared" si="53"/>
        <v>129.05831995719637</v>
      </c>
      <c r="I227" s="247">
        <v>293834</v>
      </c>
      <c r="J227" s="247">
        <v>287632</v>
      </c>
      <c r="K227" s="425">
        <f t="shared" si="54"/>
        <v>102.15622740167993</v>
      </c>
      <c r="L227" s="247"/>
      <c r="M227" s="247"/>
      <c r="N227" s="425" t="e">
        <f t="shared" si="55"/>
        <v>#DIV/0!</v>
      </c>
      <c r="O227" s="126">
        <v>83</v>
      </c>
    </row>
    <row r="228" spans="1:16" ht="17.25" x14ac:dyDescent="0.25">
      <c r="A228" s="53">
        <v>36</v>
      </c>
      <c r="B228" s="545" t="s">
        <v>569</v>
      </c>
      <c r="C228" s="247">
        <v>2586</v>
      </c>
      <c r="D228" s="247">
        <v>45733</v>
      </c>
      <c r="E228" s="425">
        <f t="shared" si="52"/>
        <v>5.6545601644326853</v>
      </c>
      <c r="F228" s="247">
        <v>0</v>
      </c>
      <c r="G228" s="247">
        <v>909</v>
      </c>
      <c r="H228" s="425">
        <f t="shared" si="53"/>
        <v>0</v>
      </c>
      <c r="I228" s="247">
        <v>42467</v>
      </c>
      <c r="J228" s="247">
        <v>57790</v>
      </c>
      <c r="K228" s="425">
        <f t="shared" si="54"/>
        <v>73.485032012458902</v>
      </c>
      <c r="L228" s="247">
        <v>0</v>
      </c>
      <c r="M228" s="247">
        <v>0</v>
      </c>
      <c r="N228" s="425" t="e">
        <f t="shared" si="55"/>
        <v>#DIV/0!</v>
      </c>
      <c r="O228" s="126">
        <v>1</v>
      </c>
      <c r="P228" s="126">
        <v>67</v>
      </c>
    </row>
    <row r="229" spans="1:16" ht="17.25" x14ac:dyDescent="0.25">
      <c r="A229" s="53">
        <v>37</v>
      </c>
      <c r="B229" s="545" t="s">
        <v>704</v>
      </c>
      <c r="C229" s="247">
        <v>250888</v>
      </c>
      <c r="D229" s="247">
        <v>141756</v>
      </c>
      <c r="E229" s="425">
        <f t="shared" si="52"/>
        <v>176.98580659725161</v>
      </c>
      <c r="F229" s="247">
        <v>2802</v>
      </c>
      <c r="G229" s="247">
        <v>33156</v>
      </c>
      <c r="H229" s="425">
        <f t="shared" si="53"/>
        <v>8.4509591024248998</v>
      </c>
      <c r="I229" s="247">
        <v>38979</v>
      </c>
      <c r="J229" s="247">
        <v>78358</v>
      </c>
      <c r="K229" s="425">
        <f t="shared" si="54"/>
        <v>49.74476122412517</v>
      </c>
      <c r="L229" s="247">
        <v>238297</v>
      </c>
      <c r="M229" s="247">
        <v>119721</v>
      </c>
      <c r="N229" s="425">
        <f t="shared" si="55"/>
        <v>199.04360972594617</v>
      </c>
      <c r="O229" s="126">
        <v>11</v>
      </c>
      <c r="P229" s="126">
        <v>120</v>
      </c>
    </row>
    <row r="230" spans="1:16" ht="34.5" x14ac:dyDescent="0.25">
      <c r="A230" s="53">
        <v>38</v>
      </c>
      <c r="B230" s="545" t="s">
        <v>705</v>
      </c>
      <c r="C230" s="247">
        <v>47859</v>
      </c>
      <c r="D230" s="247">
        <v>36653</v>
      </c>
      <c r="E230" s="425">
        <f t="shared" si="52"/>
        <v>130.57321365236135</v>
      </c>
      <c r="F230" s="247">
        <v>5440</v>
      </c>
      <c r="G230" s="247">
        <v>2765</v>
      </c>
      <c r="H230" s="425">
        <f t="shared" si="53"/>
        <v>196.74502712477394</v>
      </c>
      <c r="I230" s="247">
        <v>42912</v>
      </c>
      <c r="J230" s="247">
        <v>37687</v>
      </c>
      <c r="K230" s="425">
        <f>I230/J230*100</f>
        <v>113.86419720327964</v>
      </c>
      <c r="L230" s="247"/>
      <c r="M230" s="247"/>
      <c r="N230" s="425" t="e">
        <f t="shared" si="55"/>
        <v>#DIV/0!</v>
      </c>
      <c r="O230" s="126">
        <v>14</v>
      </c>
      <c r="P230" s="126">
        <v>69</v>
      </c>
    </row>
    <row r="231" spans="1:16" ht="34.5" x14ac:dyDescent="0.25">
      <c r="A231" s="53">
        <v>39</v>
      </c>
      <c r="B231" s="545" t="s">
        <v>752</v>
      </c>
      <c r="C231" s="247"/>
      <c r="D231" s="247"/>
      <c r="E231" s="425" t="e">
        <f t="shared" si="52"/>
        <v>#DIV/0!</v>
      </c>
      <c r="F231" s="247"/>
      <c r="G231" s="247"/>
      <c r="H231" s="425" t="e">
        <f t="shared" si="53"/>
        <v>#DIV/0!</v>
      </c>
      <c r="I231" s="247"/>
      <c r="J231" s="247"/>
      <c r="K231" s="425" t="e">
        <f t="shared" si="54"/>
        <v>#DIV/0!</v>
      </c>
      <c r="L231" s="247"/>
      <c r="M231" s="247"/>
      <c r="N231" s="425" t="e">
        <f t="shared" si="55"/>
        <v>#DIV/0!</v>
      </c>
      <c r="O231" s="126">
        <v>146</v>
      </c>
      <c r="P231" s="126">
        <v>103</v>
      </c>
    </row>
    <row r="232" spans="1:16" s="727" customFormat="1" ht="17.25" x14ac:dyDescent="0.25">
      <c r="A232" s="272">
        <v>40</v>
      </c>
      <c r="B232" s="549" t="s">
        <v>783</v>
      </c>
      <c r="C232" s="282">
        <v>2887918</v>
      </c>
      <c r="D232" s="282">
        <v>2091090</v>
      </c>
      <c r="E232" s="372">
        <f t="shared" si="52"/>
        <v>138.10586823140085</v>
      </c>
      <c r="F232" s="282">
        <v>279798</v>
      </c>
      <c r="G232" s="282">
        <v>300466</v>
      </c>
      <c r="H232" s="372">
        <f t="shared" si="53"/>
        <v>93.121351500668965</v>
      </c>
      <c r="I232" s="282">
        <v>3097512</v>
      </c>
      <c r="J232" s="282">
        <v>2467497</v>
      </c>
      <c r="K232" s="372">
        <f t="shared" si="54"/>
        <v>125.53255383897124</v>
      </c>
      <c r="L232" s="282"/>
      <c r="M232" s="282"/>
      <c r="N232" s="372" t="e">
        <f t="shared" si="55"/>
        <v>#DIV/0!</v>
      </c>
      <c r="O232" s="727">
        <v>50</v>
      </c>
      <c r="P232" s="727">
        <v>103</v>
      </c>
    </row>
    <row r="233" spans="1:16" ht="17.25" x14ac:dyDescent="0.25">
      <c r="A233" s="53">
        <v>41</v>
      </c>
      <c r="B233" s="545" t="s">
        <v>756</v>
      </c>
      <c r="C233" s="247"/>
      <c r="D233" s="247"/>
      <c r="E233" s="425" t="e">
        <f t="shared" si="52"/>
        <v>#DIV/0!</v>
      </c>
      <c r="F233" s="247"/>
      <c r="G233" s="247"/>
      <c r="H233" s="425" t="e">
        <f t="shared" si="53"/>
        <v>#DIV/0!</v>
      </c>
      <c r="I233" s="247"/>
      <c r="J233" s="247"/>
      <c r="K233" s="425" t="e">
        <f t="shared" si="54"/>
        <v>#DIV/0!</v>
      </c>
      <c r="L233" s="247"/>
      <c r="M233" s="247"/>
      <c r="N233" s="425" t="e">
        <f t="shared" si="55"/>
        <v>#DIV/0!</v>
      </c>
      <c r="O233" s="126">
        <v>220</v>
      </c>
      <c r="P233" s="126">
        <v>114</v>
      </c>
    </row>
    <row r="234" spans="1:16" ht="17.25" x14ac:dyDescent="0.25">
      <c r="A234" s="53">
        <v>42</v>
      </c>
      <c r="B234" s="549" t="s">
        <v>706</v>
      </c>
      <c r="C234" s="247">
        <v>50960</v>
      </c>
      <c r="D234" s="247">
        <v>43145</v>
      </c>
      <c r="E234" s="425">
        <f t="shared" si="52"/>
        <v>118.11333874145325</v>
      </c>
      <c r="F234" s="247">
        <v>4412</v>
      </c>
      <c r="G234" s="247">
        <v>4316</v>
      </c>
      <c r="H234" s="425">
        <f t="shared" si="53"/>
        <v>102.22428174235402</v>
      </c>
      <c r="I234" s="247">
        <v>50960</v>
      </c>
      <c r="J234" s="247">
        <v>43145</v>
      </c>
      <c r="K234" s="425">
        <f t="shared" si="54"/>
        <v>118.11333874145325</v>
      </c>
      <c r="L234" s="247">
        <v>0</v>
      </c>
      <c r="M234" s="247">
        <v>0</v>
      </c>
      <c r="N234" s="425" t="e">
        <f t="shared" si="55"/>
        <v>#DIV/0!</v>
      </c>
      <c r="O234" s="126">
        <v>10</v>
      </c>
      <c r="P234" s="126">
        <v>91</v>
      </c>
    </row>
    <row r="236" spans="1:16" ht="51.75" x14ac:dyDescent="0.25">
      <c r="A236" s="414"/>
      <c r="B236" s="552" t="s">
        <v>732</v>
      </c>
      <c r="C236" s="345">
        <f>C237+C247</f>
        <v>13906023</v>
      </c>
      <c r="D236" s="345">
        <f>D237+D247</f>
        <v>14156487</v>
      </c>
      <c r="E236" s="345">
        <f>C236/D236*100</f>
        <v>98.230747501127922</v>
      </c>
      <c r="F236" s="345">
        <f>F237+F247</f>
        <v>1697889</v>
      </c>
      <c r="G236" s="345">
        <f>G237+G247</f>
        <v>1784139</v>
      </c>
      <c r="H236" s="345">
        <f>F236/G236*100</f>
        <v>95.165735405145</v>
      </c>
      <c r="I236" s="345">
        <f>I237+I247</f>
        <v>14079163</v>
      </c>
      <c r="J236" s="345">
        <f>J237+J247</f>
        <v>14082533</v>
      </c>
      <c r="K236" s="345">
        <f>I236/J236*100</f>
        <v>99.976069645993377</v>
      </c>
      <c r="L236" s="345">
        <f>L237+L247</f>
        <v>8088637</v>
      </c>
      <c r="M236" s="345">
        <f>M237+M247</f>
        <v>7778163</v>
      </c>
      <c r="N236" s="345">
        <f>L236/M236*100</f>
        <v>103.99161087264434</v>
      </c>
    </row>
    <row r="237" spans="1:16" ht="17.25" x14ac:dyDescent="0.25">
      <c r="A237" s="1062" t="s">
        <v>340</v>
      </c>
      <c r="B237" s="1063" t="s">
        <v>155</v>
      </c>
      <c r="C237" s="254">
        <f>SUM(C238:C245)</f>
        <v>10873053</v>
      </c>
      <c r="D237" s="254">
        <f>SUM(D238:D245)</f>
        <v>11078009</v>
      </c>
      <c r="E237" s="254">
        <f>C237/D237*100</f>
        <v>98.149884153370877</v>
      </c>
      <c r="F237" s="254">
        <f>SUM(F238:F245)</f>
        <v>1487680</v>
      </c>
      <c r="G237" s="254">
        <f>SUM(G238:G245)</f>
        <v>1235709</v>
      </c>
      <c r="H237" s="254">
        <f>F237/G237*100</f>
        <v>120.39080398378583</v>
      </c>
      <c r="I237" s="254">
        <f>SUM(I238:I245)</f>
        <v>10841546</v>
      </c>
      <c r="J237" s="254">
        <f>SUM(J238:J245)</f>
        <v>11238740</v>
      </c>
      <c r="K237" s="254">
        <f>I237/J237*100</f>
        <v>96.46584937457402</v>
      </c>
      <c r="L237" s="254">
        <f>SUM(L238:L245)</f>
        <v>5279899</v>
      </c>
      <c r="M237" s="254">
        <f>SUM(M238:M245)</f>
        <v>5335282</v>
      </c>
      <c r="N237" s="254">
        <f>L237/M237*100</f>
        <v>98.961948028239178</v>
      </c>
    </row>
    <row r="238" spans="1:16" ht="17.25" x14ac:dyDescent="0.25">
      <c r="A238" s="568">
        <v>1</v>
      </c>
      <c r="B238" s="545" t="s">
        <v>707</v>
      </c>
      <c r="C238" s="247">
        <v>738933</v>
      </c>
      <c r="D238" s="247">
        <v>1145601</v>
      </c>
      <c r="E238" s="425">
        <f t="shared" ref="E238:E245" si="56">C238/D238*100</f>
        <v>64.501776796633379</v>
      </c>
      <c r="F238" s="247">
        <v>64375</v>
      </c>
      <c r="G238" s="247">
        <v>162403</v>
      </c>
      <c r="H238" s="425">
        <f t="shared" ref="H238:H245" si="57">F238/G238*100</f>
        <v>39.639046076735035</v>
      </c>
      <c r="I238" s="247">
        <v>738933</v>
      </c>
      <c r="J238" s="247">
        <v>1315781</v>
      </c>
      <c r="K238" s="425">
        <f t="shared" ref="K238:K245" si="58">I238/J238*100</f>
        <v>56.159269665696641</v>
      </c>
      <c r="L238" s="247">
        <v>738933</v>
      </c>
      <c r="M238" s="247">
        <v>1315781</v>
      </c>
      <c r="N238" s="425">
        <f t="shared" ref="N238:N245" si="59">L238/M238*100</f>
        <v>56.159269665696641</v>
      </c>
      <c r="O238" s="126">
        <v>125</v>
      </c>
      <c r="P238" s="126">
        <v>180</v>
      </c>
    </row>
    <row r="239" spans="1:16" ht="17.25" x14ac:dyDescent="0.25">
      <c r="A239" s="568">
        <v>2</v>
      </c>
      <c r="B239" s="545" t="s">
        <v>708</v>
      </c>
      <c r="C239" s="247">
        <v>0</v>
      </c>
      <c r="D239" s="247">
        <v>0</v>
      </c>
      <c r="E239" s="425" t="e">
        <f t="shared" si="56"/>
        <v>#DIV/0!</v>
      </c>
      <c r="F239" s="247">
        <v>0</v>
      </c>
      <c r="G239" s="247">
        <v>0</v>
      </c>
      <c r="H239" s="425" t="e">
        <f t="shared" si="57"/>
        <v>#DIV/0!</v>
      </c>
      <c r="I239" s="247">
        <v>0</v>
      </c>
      <c r="J239" s="247">
        <v>0</v>
      </c>
      <c r="K239" s="425" t="e">
        <f t="shared" si="58"/>
        <v>#DIV/0!</v>
      </c>
      <c r="L239" s="247">
        <v>0</v>
      </c>
      <c r="M239" s="247">
        <v>0</v>
      </c>
      <c r="N239" s="425" t="e">
        <f t="shared" si="59"/>
        <v>#DIV/0!</v>
      </c>
      <c r="O239" s="126">
        <v>0</v>
      </c>
      <c r="P239" s="126">
        <v>0</v>
      </c>
    </row>
    <row r="240" spans="1:16" ht="17.25" x14ac:dyDescent="0.25">
      <c r="A240" s="568">
        <v>3</v>
      </c>
      <c r="B240" s="545" t="s">
        <v>709</v>
      </c>
      <c r="C240" s="247">
        <v>5499580</v>
      </c>
      <c r="D240" s="247">
        <v>5900904</v>
      </c>
      <c r="E240" s="425">
        <f t="shared" si="56"/>
        <v>93.198940365747347</v>
      </c>
      <c r="F240" s="247">
        <v>895360</v>
      </c>
      <c r="G240" s="247">
        <v>641189</v>
      </c>
      <c r="H240" s="425">
        <f t="shared" si="57"/>
        <v>139.64057399612281</v>
      </c>
      <c r="I240" s="247">
        <v>5499580</v>
      </c>
      <c r="J240" s="247">
        <v>5900904</v>
      </c>
      <c r="K240" s="425">
        <f t="shared" si="58"/>
        <v>93.198940365747347</v>
      </c>
      <c r="L240" s="247"/>
      <c r="M240" s="247"/>
      <c r="N240" s="425" t="e">
        <f t="shared" si="59"/>
        <v>#DIV/0!</v>
      </c>
      <c r="O240" s="126">
        <v>108</v>
      </c>
      <c r="P240" s="126">
        <v>228</v>
      </c>
    </row>
    <row r="241" spans="1:16" ht="17.25" x14ac:dyDescent="0.25">
      <c r="A241" s="568">
        <v>4</v>
      </c>
      <c r="B241" s="545" t="s">
        <v>710</v>
      </c>
      <c r="C241" s="247">
        <v>572877</v>
      </c>
      <c r="D241" s="247">
        <v>813213</v>
      </c>
      <c r="E241" s="425">
        <f t="shared" si="56"/>
        <v>70.446119282402037</v>
      </c>
      <c r="F241" s="247">
        <v>115822</v>
      </c>
      <c r="G241" s="247">
        <v>70555</v>
      </c>
      <c r="H241" s="425">
        <f t="shared" si="57"/>
        <v>164.15845794061369</v>
      </c>
      <c r="I241" s="247">
        <v>724523</v>
      </c>
      <c r="J241" s="247">
        <v>822845</v>
      </c>
      <c r="K241" s="425">
        <f t="shared" si="58"/>
        <v>88.050969502154103</v>
      </c>
      <c r="L241" s="247">
        <v>724523</v>
      </c>
      <c r="M241" s="247">
        <v>822845</v>
      </c>
      <c r="N241" s="425">
        <f t="shared" si="59"/>
        <v>88.050969502154103</v>
      </c>
      <c r="O241" s="126">
        <v>52</v>
      </c>
      <c r="P241" s="126">
        <v>93</v>
      </c>
    </row>
    <row r="242" spans="1:16" ht="17.25" x14ac:dyDescent="0.25">
      <c r="A242" s="568">
        <v>5</v>
      </c>
      <c r="B242" s="545" t="s">
        <v>711</v>
      </c>
      <c r="C242" s="247">
        <v>3815692</v>
      </c>
      <c r="D242" s="247">
        <v>3218291</v>
      </c>
      <c r="E242" s="425">
        <f t="shared" si="56"/>
        <v>118.56267814190824</v>
      </c>
      <c r="F242" s="247">
        <v>412123</v>
      </c>
      <c r="G242" s="247">
        <v>361562</v>
      </c>
      <c r="H242" s="425">
        <f>F242/G242*100</f>
        <v>113.98404699608919</v>
      </c>
      <c r="I242" s="247">
        <v>3747083</v>
      </c>
      <c r="J242" s="247">
        <v>3199210</v>
      </c>
      <c r="K242" s="425">
        <f>I242/J242*100</f>
        <v>117.12525904832756</v>
      </c>
      <c r="L242" s="247">
        <v>3747083</v>
      </c>
      <c r="M242" s="247">
        <v>3196656</v>
      </c>
      <c r="N242" s="425">
        <f t="shared" si="59"/>
        <v>117.2188374351197</v>
      </c>
      <c r="O242" s="126">
        <v>65</v>
      </c>
      <c r="P242" s="126">
        <v>121</v>
      </c>
    </row>
    <row r="243" spans="1:16" ht="17.25" x14ac:dyDescent="0.25">
      <c r="A243" s="568">
        <v>6</v>
      </c>
      <c r="B243" s="545" t="s">
        <v>712</v>
      </c>
      <c r="C243" s="247">
        <v>0</v>
      </c>
      <c r="D243" s="247">
        <v>0</v>
      </c>
      <c r="E243" s="425" t="e">
        <f t="shared" si="56"/>
        <v>#DIV/0!</v>
      </c>
      <c r="F243" s="247">
        <v>0</v>
      </c>
      <c r="G243" s="247">
        <v>0</v>
      </c>
      <c r="H243" s="425" t="e">
        <f t="shared" si="57"/>
        <v>#DIV/0!</v>
      </c>
      <c r="I243" s="247">
        <v>0</v>
      </c>
      <c r="J243" s="247">
        <v>0</v>
      </c>
      <c r="K243" s="425" t="e">
        <f t="shared" si="58"/>
        <v>#DIV/0!</v>
      </c>
      <c r="L243" s="247">
        <v>0</v>
      </c>
      <c r="M243" s="247">
        <v>0</v>
      </c>
      <c r="N243" s="425" t="e">
        <f t="shared" si="59"/>
        <v>#DIV/0!</v>
      </c>
      <c r="O243" s="126">
        <v>3</v>
      </c>
      <c r="P243" s="126">
        <v>143</v>
      </c>
    </row>
    <row r="244" spans="1:16" ht="17.25" x14ac:dyDescent="0.25">
      <c r="A244" s="568">
        <v>7</v>
      </c>
      <c r="B244" s="545" t="s">
        <v>799</v>
      </c>
      <c r="C244" s="247">
        <v>245971</v>
      </c>
      <c r="D244" s="247">
        <v>0</v>
      </c>
      <c r="E244" s="425" t="e">
        <f t="shared" si="56"/>
        <v>#DIV/0!</v>
      </c>
      <c r="F244" s="247">
        <v>0</v>
      </c>
      <c r="G244" s="247">
        <v>0</v>
      </c>
      <c r="H244" s="425" t="e">
        <f t="shared" si="57"/>
        <v>#DIV/0!</v>
      </c>
      <c r="I244" s="247">
        <v>131427</v>
      </c>
      <c r="J244" s="247">
        <v>0</v>
      </c>
      <c r="K244" s="425" t="e">
        <f t="shared" si="58"/>
        <v>#DIV/0!</v>
      </c>
      <c r="L244" s="247">
        <v>69360</v>
      </c>
      <c r="M244" s="247">
        <v>0</v>
      </c>
      <c r="N244" s="425" t="e">
        <f t="shared" si="59"/>
        <v>#DIV/0!</v>
      </c>
      <c r="O244" s="126">
        <v>4</v>
      </c>
    </row>
    <row r="245" spans="1:16" ht="17.25" x14ac:dyDescent="0.25">
      <c r="A245" s="568">
        <v>8</v>
      </c>
      <c r="B245" s="545" t="s">
        <v>713</v>
      </c>
      <c r="C245" s="247">
        <v>0</v>
      </c>
      <c r="D245" s="247">
        <v>0</v>
      </c>
      <c r="E245" s="425" t="e">
        <f t="shared" si="56"/>
        <v>#DIV/0!</v>
      </c>
      <c r="F245" s="247">
        <v>0</v>
      </c>
      <c r="G245" s="247">
        <v>0</v>
      </c>
      <c r="H245" s="425" t="e">
        <f t="shared" si="57"/>
        <v>#DIV/0!</v>
      </c>
      <c r="I245" s="247">
        <v>0</v>
      </c>
      <c r="J245" s="247">
        <v>0</v>
      </c>
      <c r="K245" s="425" t="e">
        <f t="shared" si="58"/>
        <v>#DIV/0!</v>
      </c>
      <c r="L245" s="247">
        <v>0</v>
      </c>
      <c r="M245" s="247">
        <v>0</v>
      </c>
      <c r="N245" s="425" t="e">
        <f t="shared" si="59"/>
        <v>#DIV/0!</v>
      </c>
    </row>
    <row r="247" spans="1:16" ht="17.25" x14ac:dyDescent="0.25">
      <c r="A247" s="1062" t="s">
        <v>541</v>
      </c>
      <c r="B247" s="1063" t="s">
        <v>155</v>
      </c>
      <c r="C247" s="254">
        <f>SUM(C248:C252)</f>
        <v>3032970</v>
      </c>
      <c r="D247" s="254">
        <f>SUM(D248:D252)</f>
        <v>3078478</v>
      </c>
      <c r="E247" s="329">
        <f>C247/D247*100</f>
        <v>98.521737040186736</v>
      </c>
      <c r="F247" s="254">
        <f>SUM(F248:F252)</f>
        <v>210209</v>
      </c>
      <c r="G247" s="254">
        <f>SUM(G248:G252)</f>
        <v>548430</v>
      </c>
      <c r="H247" s="329">
        <f>F247/G247*100</f>
        <v>38.329230713126563</v>
      </c>
      <c r="I247" s="254">
        <f>SUM(I248:I252)</f>
        <v>3237617</v>
      </c>
      <c r="J247" s="254">
        <f>SUM(J248:J252)</f>
        <v>2843793</v>
      </c>
      <c r="K247" s="329">
        <f>I247/J247*100</f>
        <v>113.84854664175627</v>
      </c>
      <c r="L247" s="254">
        <f>SUM(L248:L252)</f>
        <v>2808738</v>
      </c>
      <c r="M247" s="254">
        <f>SUM(M248:M252)</f>
        <v>2442881</v>
      </c>
      <c r="N247" s="329">
        <f>L247/M247*100</f>
        <v>114.97645607788509</v>
      </c>
    </row>
    <row r="248" spans="1:16" ht="17.25" x14ac:dyDescent="0.25">
      <c r="A248" s="581">
        <v>1</v>
      </c>
      <c r="B248" s="545" t="s">
        <v>714</v>
      </c>
      <c r="C248" s="247">
        <v>1844929</v>
      </c>
      <c r="D248" s="247">
        <v>1899327</v>
      </c>
      <c r="E248" s="425">
        <f t="shared" ref="E248:E252" si="60">C248/D248*100</f>
        <v>97.135932885701095</v>
      </c>
      <c r="F248" s="247">
        <v>162110</v>
      </c>
      <c r="G248" s="247">
        <v>228486</v>
      </c>
      <c r="H248" s="425">
        <f t="shared" ref="H248:H252" si="61">F248/G248*100</f>
        <v>70.949642428857786</v>
      </c>
      <c r="I248" s="247">
        <v>2019685</v>
      </c>
      <c r="J248" s="247">
        <v>1615528</v>
      </c>
      <c r="K248" s="425">
        <f t="shared" ref="K248:K252" si="62">I248/J248*100</f>
        <v>125.01702229859217</v>
      </c>
      <c r="L248" s="247">
        <v>1614458</v>
      </c>
      <c r="M248" s="247">
        <v>1266597</v>
      </c>
      <c r="N248" s="425">
        <f t="shared" ref="N248:N252" si="63">L248/M248*100</f>
        <v>127.46422105847401</v>
      </c>
      <c r="O248" s="126">
        <v>145</v>
      </c>
      <c r="P248" s="126">
        <v>159</v>
      </c>
    </row>
    <row r="249" spans="1:16" ht="34.5" x14ac:dyDescent="0.25">
      <c r="A249" s="581">
        <v>2</v>
      </c>
      <c r="B249" s="545" t="s">
        <v>715</v>
      </c>
      <c r="C249" s="247">
        <v>1872</v>
      </c>
      <c r="D249" s="247">
        <v>2867</v>
      </c>
      <c r="E249" s="425">
        <f t="shared" si="60"/>
        <v>65.294733170561557</v>
      </c>
      <c r="F249" s="247">
        <v>0</v>
      </c>
      <c r="G249" s="247">
        <v>430</v>
      </c>
      <c r="H249" s="425">
        <f t="shared" si="61"/>
        <v>0</v>
      </c>
      <c r="I249" s="247">
        <v>31763</v>
      </c>
      <c r="J249" s="247">
        <v>51981</v>
      </c>
      <c r="K249" s="425">
        <f t="shared" si="62"/>
        <v>61.105019141609432</v>
      </c>
      <c r="L249" s="247">
        <v>0</v>
      </c>
      <c r="M249" s="247">
        <v>0</v>
      </c>
      <c r="N249" s="425" t="e">
        <f t="shared" si="63"/>
        <v>#DIV/0!</v>
      </c>
      <c r="O249" s="126">
        <v>65</v>
      </c>
      <c r="P249" s="126">
        <v>132</v>
      </c>
    </row>
    <row r="250" spans="1:16" ht="17.25" x14ac:dyDescent="0.25">
      <c r="A250" s="581">
        <v>3</v>
      </c>
      <c r="B250" s="545" t="s">
        <v>716</v>
      </c>
      <c r="C250" s="247">
        <v>0</v>
      </c>
      <c r="D250" s="247">
        <v>0</v>
      </c>
      <c r="E250" s="425" t="e">
        <f t="shared" si="60"/>
        <v>#DIV/0!</v>
      </c>
      <c r="F250" s="247">
        <v>0</v>
      </c>
      <c r="G250" s="247">
        <v>0</v>
      </c>
      <c r="H250" s="425" t="e">
        <f t="shared" si="61"/>
        <v>#DIV/0!</v>
      </c>
      <c r="I250" s="247">
        <v>0</v>
      </c>
      <c r="J250" s="247">
        <v>0</v>
      </c>
      <c r="K250" s="425" t="e">
        <f t="shared" si="62"/>
        <v>#DIV/0!</v>
      </c>
      <c r="L250" s="247">
        <v>0</v>
      </c>
      <c r="M250" s="247">
        <v>0</v>
      </c>
      <c r="N250" s="425" t="e">
        <f t="shared" si="63"/>
        <v>#DIV/0!</v>
      </c>
      <c r="O250" s="126">
        <v>0</v>
      </c>
      <c r="P250" s="126">
        <v>0</v>
      </c>
    </row>
    <row r="251" spans="1:16" ht="17.25" x14ac:dyDescent="0.25">
      <c r="A251" s="581">
        <v>4</v>
      </c>
      <c r="B251" s="545" t="s">
        <v>717</v>
      </c>
      <c r="C251" s="247">
        <v>918624</v>
      </c>
      <c r="D251" s="247">
        <v>1001588</v>
      </c>
      <c r="E251" s="425">
        <f t="shared" si="60"/>
        <v>91.716753794973584</v>
      </c>
      <c r="F251" s="247">
        <v>39988</v>
      </c>
      <c r="G251" s="247">
        <v>314646</v>
      </c>
      <c r="H251" s="425">
        <f t="shared" si="61"/>
        <v>12.708885541211393</v>
      </c>
      <c r="I251" s="247">
        <v>918624</v>
      </c>
      <c r="J251" s="247">
        <v>1001588</v>
      </c>
      <c r="K251" s="425">
        <f t="shared" si="62"/>
        <v>91.716753794973584</v>
      </c>
      <c r="L251" s="247">
        <v>918624</v>
      </c>
      <c r="M251" s="247">
        <v>1001588</v>
      </c>
      <c r="N251" s="425">
        <f t="shared" si="63"/>
        <v>91.716753794973584</v>
      </c>
      <c r="O251" s="126">
        <v>32</v>
      </c>
      <c r="P251" s="126">
        <v>125</v>
      </c>
    </row>
    <row r="252" spans="1:16" ht="17.25" x14ac:dyDescent="0.25">
      <c r="A252" s="581">
        <v>5</v>
      </c>
      <c r="B252" s="582" t="s">
        <v>718</v>
      </c>
      <c r="C252" s="594">
        <v>267545</v>
      </c>
      <c r="D252" s="594">
        <v>174696</v>
      </c>
      <c r="E252" s="425">
        <f t="shared" si="60"/>
        <v>153.1488986582406</v>
      </c>
      <c r="F252" s="594">
        <v>8111</v>
      </c>
      <c r="G252" s="594">
        <v>4868</v>
      </c>
      <c r="H252" s="425">
        <f t="shared" si="61"/>
        <v>166.61873459326213</v>
      </c>
      <c r="I252" s="594">
        <v>267545</v>
      </c>
      <c r="J252" s="594">
        <v>174696</v>
      </c>
      <c r="K252" s="425">
        <f t="shared" si="62"/>
        <v>153.1488986582406</v>
      </c>
      <c r="L252" s="734">
        <v>275656</v>
      </c>
      <c r="M252" s="594">
        <v>174696</v>
      </c>
      <c r="N252" s="425">
        <f t="shared" si="63"/>
        <v>157.79182122086368</v>
      </c>
      <c r="O252" s="126">
        <v>40</v>
      </c>
      <c r="P252" s="126">
        <v>140</v>
      </c>
    </row>
    <row r="253" spans="1:16" x14ac:dyDescent="0.25">
      <c r="O253" s="584"/>
    </row>
    <row r="254" spans="1:16" ht="34.5" x14ac:dyDescent="0.25">
      <c r="A254" s="348"/>
      <c r="B254" s="553" t="s">
        <v>733</v>
      </c>
      <c r="C254" s="254">
        <f>SUM(C255:C263)</f>
        <v>1038870.7</v>
      </c>
      <c r="D254" s="254">
        <f>SUM(D255:D263)</f>
        <v>1068409.3</v>
      </c>
      <c r="E254" s="452">
        <f>C254/D254*100</f>
        <v>97.235273036279253</v>
      </c>
      <c r="F254" s="254">
        <f>SUM(F255:F263)</f>
        <v>86035.8</v>
      </c>
      <c r="G254" s="254">
        <f>SUM(G255:G263)</f>
        <v>132782.39999999999</v>
      </c>
      <c r="H254" s="452">
        <f>F254/G254*100</f>
        <v>64.794581209557904</v>
      </c>
      <c r="I254" s="254">
        <f>SUM(I255:I263)</f>
        <v>703290.1</v>
      </c>
      <c r="J254" s="254">
        <f>SUM(J255:J263)</f>
        <v>686753</v>
      </c>
      <c r="K254" s="452">
        <f>I254/J254*100</f>
        <v>102.40801277897584</v>
      </c>
      <c r="L254" s="254">
        <f>SUM(L255:L263)</f>
        <v>19651</v>
      </c>
      <c r="M254" s="254">
        <f>SUM(M255:M263)</f>
        <v>4630</v>
      </c>
      <c r="N254" s="452">
        <f>L254/M254*100</f>
        <v>424.42764578833697</v>
      </c>
    </row>
    <row r="255" spans="1:16" ht="34.5" x14ac:dyDescent="0.2">
      <c r="A255" s="7">
        <v>1</v>
      </c>
      <c r="B255" s="545" t="s">
        <v>719</v>
      </c>
      <c r="C255" s="738">
        <v>749771.7</v>
      </c>
      <c r="D255" s="739">
        <v>786816.3</v>
      </c>
      <c r="E255" s="425">
        <f>C255/D255*100</f>
        <v>95.29183622657537</v>
      </c>
      <c r="F255" s="739">
        <v>57991.8</v>
      </c>
      <c r="G255" s="739">
        <v>102902.39999999999</v>
      </c>
      <c r="H255" s="425">
        <f t="shared" ref="H255:H263" si="64">F255/G255*100</f>
        <v>56.356119973878172</v>
      </c>
      <c r="I255" s="739">
        <v>564301.1</v>
      </c>
      <c r="J255" s="739">
        <v>546495</v>
      </c>
      <c r="K255" s="425">
        <f t="shared" ref="K255:K263" si="65">I255/J255*100</f>
        <v>103.25823658038958</v>
      </c>
      <c r="L255" s="738">
        <v>0</v>
      </c>
      <c r="M255" s="738">
        <v>0</v>
      </c>
      <c r="N255" s="425" t="e">
        <f t="shared" ref="N255:N263" si="66">L255/M255*100</f>
        <v>#DIV/0!</v>
      </c>
      <c r="O255" s="658">
        <v>259</v>
      </c>
      <c r="P255" s="652">
        <v>244.6</v>
      </c>
    </row>
    <row r="256" spans="1:16" ht="34.5" x14ac:dyDescent="0.2">
      <c r="A256" s="291">
        <v>2</v>
      </c>
      <c r="B256" s="545" t="s">
        <v>720</v>
      </c>
      <c r="C256" s="740">
        <v>128975</v>
      </c>
      <c r="D256" s="740">
        <v>128095</v>
      </c>
      <c r="E256" s="425">
        <f t="shared" ref="E256:E263" si="67">C256/D256*100</f>
        <v>100.68699012451697</v>
      </c>
      <c r="F256" s="740">
        <v>16368</v>
      </c>
      <c r="G256" s="740">
        <v>14183</v>
      </c>
      <c r="H256" s="425">
        <f t="shared" si="64"/>
        <v>115.4057674680956</v>
      </c>
      <c r="I256" s="741">
        <v>0</v>
      </c>
      <c r="J256" s="741">
        <v>0</v>
      </c>
      <c r="K256" s="425" t="e">
        <f t="shared" si="65"/>
        <v>#DIV/0!</v>
      </c>
      <c r="L256" s="741">
        <v>0</v>
      </c>
      <c r="M256" s="741">
        <v>0</v>
      </c>
      <c r="N256" s="425" t="e">
        <f t="shared" si="66"/>
        <v>#DIV/0!</v>
      </c>
      <c r="O256" s="654">
        <v>85</v>
      </c>
      <c r="P256" s="655">
        <v>107</v>
      </c>
    </row>
    <row r="257" spans="1:16" ht="34.5" x14ac:dyDescent="0.2">
      <c r="A257" s="7">
        <v>3</v>
      </c>
      <c r="B257" s="545" t="s">
        <v>721</v>
      </c>
      <c r="C257" s="742">
        <v>0</v>
      </c>
      <c r="D257" s="743">
        <v>1253</v>
      </c>
      <c r="E257" s="425">
        <f t="shared" si="67"/>
        <v>0</v>
      </c>
      <c r="F257" s="741">
        <v>0</v>
      </c>
      <c r="G257" s="744">
        <v>127</v>
      </c>
      <c r="H257" s="425">
        <f t="shared" si="64"/>
        <v>0</v>
      </c>
      <c r="I257" s="740">
        <v>0</v>
      </c>
      <c r="J257" s="743">
        <v>1253</v>
      </c>
      <c r="K257" s="425">
        <f t="shared" si="65"/>
        <v>0</v>
      </c>
      <c r="L257" s="741">
        <v>0</v>
      </c>
      <c r="M257" s="741">
        <v>0</v>
      </c>
      <c r="N257" s="425" t="e">
        <f t="shared" si="66"/>
        <v>#DIV/0!</v>
      </c>
      <c r="O257" s="654">
        <v>4</v>
      </c>
      <c r="P257" s="655">
        <v>52.5</v>
      </c>
    </row>
    <row r="258" spans="1:16" ht="34.5" x14ac:dyDescent="0.2">
      <c r="A258" s="291">
        <v>4</v>
      </c>
      <c r="B258" s="545" t="s">
        <v>722</v>
      </c>
      <c r="C258" s="744">
        <v>29991</v>
      </c>
      <c r="D258" s="744">
        <v>28736</v>
      </c>
      <c r="E258" s="425">
        <f t="shared" si="67"/>
        <v>104.36734409799556</v>
      </c>
      <c r="F258" s="744">
        <v>959</v>
      </c>
      <c r="G258" s="744">
        <v>2604</v>
      </c>
      <c r="H258" s="425">
        <f t="shared" si="64"/>
        <v>36.827956989247312</v>
      </c>
      <c r="I258" s="744">
        <v>29991</v>
      </c>
      <c r="J258" s="744">
        <v>28736</v>
      </c>
      <c r="K258" s="425">
        <f t="shared" si="65"/>
        <v>104.36734409799556</v>
      </c>
      <c r="L258" s="741">
        <v>0</v>
      </c>
      <c r="M258" s="741">
        <v>0</v>
      </c>
      <c r="N258" s="425" t="e">
        <f t="shared" si="66"/>
        <v>#DIV/0!</v>
      </c>
      <c r="O258" s="654">
        <v>13</v>
      </c>
      <c r="P258" s="655">
        <v>71</v>
      </c>
    </row>
    <row r="259" spans="1:16" ht="17.25" x14ac:dyDescent="0.2">
      <c r="A259" s="7">
        <v>5</v>
      </c>
      <c r="B259" s="545" t="s">
        <v>723</v>
      </c>
      <c r="C259" s="744">
        <v>8620</v>
      </c>
      <c r="D259" s="744">
        <v>10865</v>
      </c>
      <c r="E259" s="425">
        <f t="shared" si="67"/>
        <v>79.337321675103539</v>
      </c>
      <c r="F259" s="744">
        <v>310</v>
      </c>
      <c r="G259" s="744">
        <v>975</v>
      </c>
      <c r="H259" s="425">
        <f t="shared" si="64"/>
        <v>31.794871794871792</v>
      </c>
      <c r="I259" s="745">
        <v>0</v>
      </c>
      <c r="J259" s="745">
        <v>0</v>
      </c>
      <c r="K259" s="425" t="e">
        <f t="shared" si="65"/>
        <v>#DIV/0!</v>
      </c>
      <c r="L259" s="741">
        <v>0</v>
      </c>
      <c r="M259" s="741">
        <v>0</v>
      </c>
      <c r="N259" s="425" t="e">
        <f t="shared" si="66"/>
        <v>#DIV/0!</v>
      </c>
      <c r="O259" s="654">
        <v>10</v>
      </c>
      <c r="P259" s="655">
        <v>78</v>
      </c>
    </row>
    <row r="260" spans="1:16" ht="17.25" x14ac:dyDescent="0.2">
      <c r="A260" s="291">
        <v>6</v>
      </c>
      <c r="B260" s="545" t="s">
        <v>724</v>
      </c>
      <c r="C260" s="744">
        <v>81513</v>
      </c>
      <c r="D260" s="744">
        <v>88323</v>
      </c>
      <c r="E260" s="425">
        <f t="shared" si="67"/>
        <v>92.289664073910544</v>
      </c>
      <c r="F260" s="744">
        <v>8020</v>
      </c>
      <c r="G260" s="744">
        <v>9840</v>
      </c>
      <c r="H260" s="425">
        <f t="shared" si="64"/>
        <v>81.504065040650403</v>
      </c>
      <c r="I260" s="744">
        <v>68151</v>
      </c>
      <c r="J260" s="744">
        <v>86078</v>
      </c>
      <c r="K260" s="425">
        <f t="shared" si="65"/>
        <v>79.173540277422802</v>
      </c>
      <c r="L260" s="741">
        <v>0</v>
      </c>
      <c r="M260" s="741">
        <v>0</v>
      </c>
      <c r="N260" s="425" t="e">
        <f t="shared" si="66"/>
        <v>#DIV/0!</v>
      </c>
      <c r="O260" s="654">
        <v>19</v>
      </c>
      <c r="P260" s="655">
        <v>196</v>
      </c>
    </row>
    <row r="261" spans="1:16" s="422" customFormat="1" ht="34.5" x14ac:dyDescent="0.3">
      <c r="A261" s="277">
        <v>7</v>
      </c>
      <c r="B261" s="728" t="s">
        <v>725</v>
      </c>
      <c r="C261" s="744">
        <v>19651</v>
      </c>
      <c r="D261" s="744">
        <v>4630</v>
      </c>
      <c r="E261" s="425">
        <f t="shared" si="67"/>
        <v>424.42764578833697</v>
      </c>
      <c r="F261" s="744">
        <v>0</v>
      </c>
      <c r="G261" s="744">
        <v>0</v>
      </c>
      <c r="H261" s="425" t="e">
        <f t="shared" si="64"/>
        <v>#DIV/0!</v>
      </c>
      <c r="I261" s="744">
        <v>19651</v>
      </c>
      <c r="J261" s="744">
        <v>4630</v>
      </c>
      <c r="K261" s="425">
        <f t="shared" si="65"/>
        <v>424.42764578833697</v>
      </c>
      <c r="L261" s="744">
        <v>19651</v>
      </c>
      <c r="M261" s="744">
        <v>4630</v>
      </c>
      <c r="N261" s="425">
        <f t="shared" si="66"/>
        <v>424.42764578833697</v>
      </c>
      <c r="O261" s="654">
        <v>11</v>
      </c>
      <c r="P261" s="655">
        <v>82.3</v>
      </c>
    </row>
    <row r="262" spans="1:16" ht="17.25" x14ac:dyDescent="0.2">
      <c r="A262" s="291">
        <v>8</v>
      </c>
      <c r="B262" s="545" t="s">
        <v>726</v>
      </c>
      <c r="C262" s="744">
        <v>3587</v>
      </c>
      <c r="D262" s="744">
        <v>4315</v>
      </c>
      <c r="E262" s="425">
        <f t="shared" si="67"/>
        <v>83.128621089223643</v>
      </c>
      <c r="F262" s="744">
        <v>750</v>
      </c>
      <c r="G262" s="744">
        <v>850</v>
      </c>
      <c r="H262" s="425">
        <f t="shared" si="64"/>
        <v>88.235294117647058</v>
      </c>
      <c r="I262" s="744">
        <v>4434</v>
      </c>
      <c r="J262" s="744">
        <v>4185</v>
      </c>
      <c r="K262" s="425">
        <f t="shared" si="65"/>
        <v>105.94982078853046</v>
      </c>
      <c r="L262" s="741">
        <v>0</v>
      </c>
      <c r="M262" s="741">
        <v>0</v>
      </c>
      <c r="N262" s="425" t="e">
        <f t="shared" si="66"/>
        <v>#DIV/0!</v>
      </c>
      <c r="O262" s="654">
        <v>21</v>
      </c>
      <c r="P262" s="655">
        <v>75.5</v>
      </c>
    </row>
    <row r="263" spans="1:16" ht="34.5" x14ac:dyDescent="0.2">
      <c r="A263" s="7">
        <v>9</v>
      </c>
      <c r="B263" s="545" t="s">
        <v>727</v>
      </c>
      <c r="C263" s="744">
        <v>16762</v>
      </c>
      <c r="D263" s="744">
        <v>15376</v>
      </c>
      <c r="E263" s="425">
        <f t="shared" si="67"/>
        <v>109.01404786680541</v>
      </c>
      <c r="F263" s="744">
        <v>1637</v>
      </c>
      <c r="G263" s="744">
        <v>1301</v>
      </c>
      <c r="H263" s="425">
        <f t="shared" si="64"/>
        <v>125.82628747117602</v>
      </c>
      <c r="I263" s="744">
        <v>16762</v>
      </c>
      <c r="J263" s="744">
        <v>15376</v>
      </c>
      <c r="K263" s="425">
        <f t="shared" si="65"/>
        <v>109.01404786680541</v>
      </c>
      <c r="L263" s="741">
        <v>0</v>
      </c>
      <c r="M263" s="741">
        <v>0</v>
      </c>
      <c r="N263" s="425" t="e">
        <f t="shared" si="66"/>
        <v>#DIV/0!</v>
      </c>
      <c r="O263" s="654">
        <v>8</v>
      </c>
      <c r="P263" s="655">
        <v>85.4</v>
      </c>
    </row>
    <row r="265" spans="1:16" s="339" customFormat="1" ht="16.5" x14ac:dyDescent="0.25">
      <c r="A265" s="339">
        <v>2</v>
      </c>
      <c r="B265" s="418" t="s">
        <v>345</v>
      </c>
      <c r="C265" s="366"/>
    </row>
    <row r="266" spans="1:16" ht="18" thickBot="1" x14ac:dyDescent="0.3">
      <c r="A266" s="1059" t="s">
        <v>734</v>
      </c>
      <c r="B266" s="1059" t="s">
        <v>155</v>
      </c>
      <c r="C266" s="254">
        <f>SUM(C267:C283)</f>
        <v>207103422.84900001</v>
      </c>
      <c r="D266" s="254">
        <f>SUM(D267:D283)</f>
        <v>169861407.58899999</v>
      </c>
      <c r="E266" s="57">
        <f t="shared" ref="E266:E283" si="68">C266/D266*100</f>
        <v>121.9249420975667</v>
      </c>
      <c r="F266" s="254">
        <f>SUM(F267:F283)</f>
        <v>22778920.949000001</v>
      </c>
      <c r="G266" s="254">
        <f>SUM(G267:G283)</f>
        <v>18854364.089000002</v>
      </c>
      <c r="H266" s="57">
        <f t="shared" ref="H266:H283" si="69">F266/G266*100</f>
        <v>120.81511124678907</v>
      </c>
      <c r="I266" s="254">
        <f>SUM(I267:I283)</f>
        <v>207103422.84900001</v>
      </c>
      <c r="J266" s="254">
        <f>SUM(J267:J283)</f>
        <v>169861407.58899999</v>
      </c>
      <c r="K266" s="57">
        <f t="shared" ref="K266:K283" si="70">I266/J266*100</f>
        <v>121.9249420975667</v>
      </c>
      <c r="L266" s="254">
        <f>SUM(L267:L283)</f>
        <v>15924809</v>
      </c>
      <c r="M266" s="254">
        <f>SUM(M267:M283)</f>
        <v>15087907</v>
      </c>
      <c r="N266" s="57">
        <f t="shared" ref="N266:N283" si="71">L266/M266*100</f>
        <v>105.54683959809668</v>
      </c>
    </row>
    <row r="267" spans="1:16" ht="17.25" x14ac:dyDescent="0.25">
      <c r="A267" s="272">
        <v>1</v>
      </c>
      <c r="B267" s="550" t="s">
        <v>306</v>
      </c>
      <c r="C267" s="749">
        <v>21753083</v>
      </c>
      <c r="D267" s="750">
        <v>19889697</v>
      </c>
      <c r="E267" s="602">
        <f t="shared" si="68"/>
        <v>109.36859923004359</v>
      </c>
      <c r="F267" s="763">
        <v>1010326</v>
      </c>
      <c r="G267" s="763">
        <v>828884</v>
      </c>
      <c r="H267" s="602">
        <f t="shared" si="69"/>
        <v>121.88991463220427</v>
      </c>
      <c r="I267" s="766">
        <v>21753083</v>
      </c>
      <c r="J267" s="767">
        <v>19889697</v>
      </c>
      <c r="K267" s="602">
        <f t="shared" si="70"/>
        <v>109.36859923004359</v>
      </c>
      <c r="L267" s="780">
        <v>0</v>
      </c>
      <c r="M267" s="774">
        <v>0</v>
      </c>
      <c r="N267" s="687"/>
      <c r="O267" s="785">
        <v>1772</v>
      </c>
      <c r="P267" s="789">
        <v>307.8</v>
      </c>
    </row>
    <row r="268" spans="1:16" ht="17.25" x14ac:dyDescent="0.25">
      <c r="A268" s="272">
        <v>2</v>
      </c>
      <c r="B268" s="550" t="s">
        <v>307</v>
      </c>
      <c r="C268" s="755">
        <v>32404717</v>
      </c>
      <c r="D268" s="756">
        <v>25470339</v>
      </c>
      <c r="E268" s="602">
        <f t="shared" si="68"/>
        <v>127.22530705225398</v>
      </c>
      <c r="F268" s="761">
        <v>3765709</v>
      </c>
      <c r="G268" s="761">
        <v>2602741</v>
      </c>
      <c r="H268" s="602">
        <f t="shared" si="69"/>
        <v>144.68243286596706</v>
      </c>
      <c r="I268" s="768">
        <v>32404717</v>
      </c>
      <c r="J268" s="769">
        <v>25470339</v>
      </c>
      <c r="K268" s="602">
        <f t="shared" si="70"/>
        <v>127.22530705225398</v>
      </c>
      <c r="L268" s="775">
        <v>15924809</v>
      </c>
      <c r="M268" s="776">
        <v>15087907</v>
      </c>
      <c r="N268" s="686">
        <f t="shared" ref="N268:N278" si="72">L268/M268*100</f>
        <v>105.54683959809668</v>
      </c>
      <c r="O268" s="787">
        <v>447</v>
      </c>
      <c r="P268" s="790">
        <v>190</v>
      </c>
    </row>
    <row r="269" spans="1:16" ht="17.25" x14ac:dyDescent="0.25">
      <c r="A269" s="272">
        <v>3</v>
      </c>
      <c r="B269" s="550" t="s">
        <v>318</v>
      </c>
      <c r="C269" s="751">
        <v>27938926.899999999</v>
      </c>
      <c r="D269" s="752">
        <v>15887520.199999999</v>
      </c>
      <c r="E269" s="602">
        <f>C269/D269*100</f>
        <v>175.85454840208482</v>
      </c>
      <c r="F269" s="761">
        <v>3879220</v>
      </c>
      <c r="G269" s="761">
        <v>2384285.1999999993</v>
      </c>
      <c r="H269" s="602">
        <f>F269/G269*100</f>
        <v>162.6994958489027</v>
      </c>
      <c r="I269" s="768">
        <v>27938926.899999999</v>
      </c>
      <c r="J269" s="769">
        <v>15887520.199999999</v>
      </c>
      <c r="K269" s="602">
        <f>I269/J269*100</f>
        <v>175.85454840208482</v>
      </c>
      <c r="L269" s="781" t="s">
        <v>809</v>
      </c>
      <c r="M269" s="777">
        <v>0</v>
      </c>
      <c r="N269" s="686" t="e">
        <f t="shared" si="72"/>
        <v>#VALUE!</v>
      </c>
      <c r="O269" s="786">
        <v>678</v>
      </c>
      <c r="P269" s="791">
        <v>146.9</v>
      </c>
    </row>
    <row r="270" spans="1:16" ht="17.25" x14ac:dyDescent="0.25">
      <c r="A270" s="272">
        <v>4</v>
      </c>
      <c r="B270" s="550" t="s">
        <v>308</v>
      </c>
      <c r="C270" s="755">
        <v>6150103</v>
      </c>
      <c r="D270" s="756">
        <v>5727933</v>
      </c>
      <c r="E270" s="602">
        <f t="shared" si="68"/>
        <v>107.3703725235613</v>
      </c>
      <c r="F270" s="761">
        <v>538179</v>
      </c>
      <c r="G270" s="761">
        <v>550119</v>
      </c>
      <c r="H270" s="602">
        <f t="shared" si="69"/>
        <v>97.829560513270764</v>
      </c>
      <c r="I270" s="768">
        <v>6150103</v>
      </c>
      <c r="J270" s="769">
        <v>5727933</v>
      </c>
      <c r="K270" s="602">
        <f t="shared" si="70"/>
        <v>107.3703725235613</v>
      </c>
      <c r="L270" s="781">
        <v>0</v>
      </c>
      <c r="M270" s="777">
        <v>0</v>
      </c>
      <c r="N270" s="686" t="e">
        <f t="shared" si="72"/>
        <v>#DIV/0!</v>
      </c>
      <c r="O270" s="786">
        <v>214</v>
      </c>
      <c r="P270" s="791">
        <v>206</v>
      </c>
    </row>
    <row r="271" spans="1:16" ht="51.75" x14ac:dyDescent="0.25">
      <c r="A271" s="272">
        <v>5</v>
      </c>
      <c r="B271" s="549" t="s">
        <v>317</v>
      </c>
      <c r="C271" s="755">
        <v>3247738</v>
      </c>
      <c r="D271" s="756">
        <v>2651555</v>
      </c>
      <c r="E271" s="602">
        <f>C271/D271*100</f>
        <v>122.48427809342066</v>
      </c>
      <c r="F271" s="761">
        <v>185889</v>
      </c>
      <c r="G271" s="761">
        <v>201585</v>
      </c>
      <c r="H271" s="602">
        <f>F271/G271*100</f>
        <v>92.213706376962563</v>
      </c>
      <c r="I271" s="768">
        <v>3247738</v>
      </c>
      <c r="J271" s="769">
        <v>2651555</v>
      </c>
      <c r="K271" s="602">
        <f>I271/J271*100</f>
        <v>122.48427809342066</v>
      </c>
      <c r="L271" s="781">
        <v>0</v>
      </c>
      <c r="M271" s="777">
        <v>0</v>
      </c>
      <c r="N271" s="686" t="e">
        <f t="shared" si="72"/>
        <v>#DIV/0!</v>
      </c>
      <c r="O271" s="786">
        <v>457</v>
      </c>
      <c r="P271" s="791">
        <v>207.9</v>
      </c>
    </row>
    <row r="272" spans="1:16" ht="34.5" x14ac:dyDescent="0.25">
      <c r="A272" s="272">
        <v>6</v>
      </c>
      <c r="B272" s="642" t="s">
        <v>571</v>
      </c>
      <c r="C272" s="755">
        <v>22277643</v>
      </c>
      <c r="D272" s="756">
        <v>22859867</v>
      </c>
      <c r="E272" s="602">
        <f>C272/D272*100</f>
        <v>97.453073545878468</v>
      </c>
      <c r="F272" s="761">
        <v>5739873</v>
      </c>
      <c r="G272" s="761">
        <v>5351737</v>
      </c>
      <c r="H272" s="602">
        <f>F272/G272*100</f>
        <v>107.25252380675659</v>
      </c>
      <c r="I272" s="768">
        <v>22277643</v>
      </c>
      <c r="J272" s="769">
        <v>22859867</v>
      </c>
      <c r="K272" s="602">
        <f>I272/J272*100</f>
        <v>97.453073545878468</v>
      </c>
      <c r="L272" s="784" t="s">
        <v>810</v>
      </c>
      <c r="M272" s="778" t="s">
        <v>811</v>
      </c>
      <c r="N272" s="606"/>
      <c r="O272" s="787">
        <v>375</v>
      </c>
      <c r="P272" s="790">
        <v>265.10000000000002</v>
      </c>
    </row>
    <row r="273" spans="1:16" ht="17.25" x14ac:dyDescent="0.25">
      <c r="A273" s="272">
        <v>17</v>
      </c>
      <c r="B273" s="550" t="s">
        <v>570</v>
      </c>
      <c r="C273" s="755">
        <v>12597812.948999999</v>
      </c>
      <c r="D273" s="756">
        <v>13160618.389</v>
      </c>
      <c r="E273" s="602">
        <f>C273/D273*100</f>
        <v>95.723563867861955</v>
      </c>
      <c r="F273" s="761">
        <v>835944.94899999909</v>
      </c>
      <c r="G273" s="761">
        <v>829302.38900000043</v>
      </c>
      <c r="H273" s="602">
        <f>F273/G273*100</f>
        <v>100.80098165495561</v>
      </c>
      <c r="I273" s="768">
        <v>12597812.948999999</v>
      </c>
      <c r="J273" s="769">
        <v>13160618.389</v>
      </c>
      <c r="K273" s="602">
        <f>I273/J273*100</f>
        <v>95.723563867861955</v>
      </c>
      <c r="L273" s="781">
        <v>0</v>
      </c>
      <c r="M273" s="777">
        <v>0</v>
      </c>
      <c r="N273" s="602" t="e">
        <f>L273/M273*100</f>
        <v>#DIV/0!</v>
      </c>
      <c r="O273" s="787">
        <v>1490</v>
      </c>
      <c r="P273" s="790">
        <v>112</v>
      </c>
    </row>
    <row r="274" spans="1:16" ht="17.25" x14ac:dyDescent="0.25">
      <c r="A274" s="272">
        <v>7</v>
      </c>
      <c r="B274" s="550" t="s">
        <v>309</v>
      </c>
      <c r="C274" s="751">
        <v>7350679</v>
      </c>
      <c r="D274" s="756">
        <v>3915554</v>
      </c>
      <c r="E274" s="602">
        <f t="shared" si="68"/>
        <v>187.73024200406888</v>
      </c>
      <c r="F274" s="762">
        <v>879902</v>
      </c>
      <c r="G274" s="762">
        <v>601786</v>
      </c>
      <c r="H274" s="602">
        <f t="shared" si="69"/>
        <v>146.21509971983394</v>
      </c>
      <c r="I274" s="768">
        <v>7350679</v>
      </c>
      <c r="J274" s="769">
        <v>3915554</v>
      </c>
      <c r="K274" s="602">
        <f t="shared" si="70"/>
        <v>187.73024200406888</v>
      </c>
      <c r="L274" s="781">
        <v>0</v>
      </c>
      <c r="M274" s="777">
        <v>0</v>
      </c>
      <c r="N274" s="602" t="e">
        <f t="shared" si="72"/>
        <v>#DIV/0!</v>
      </c>
      <c r="O274" s="786">
        <v>769</v>
      </c>
      <c r="P274" s="791">
        <v>187.4</v>
      </c>
    </row>
    <row r="275" spans="1:16" ht="34.5" x14ac:dyDescent="0.25">
      <c r="A275" s="272">
        <v>8</v>
      </c>
      <c r="B275" s="549" t="s">
        <v>316</v>
      </c>
      <c r="C275" s="759">
        <v>32107479</v>
      </c>
      <c r="D275" s="760">
        <v>29527458</v>
      </c>
      <c r="E275" s="602">
        <f>C275/D275*100</f>
        <v>108.73770102390799</v>
      </c>
      <c r="F275" s="761">
        <v>1248139</v>
      </c>
      <c r="G275" s="761">
        <v>1428041</v>
      </c>
      <c r="H275" s="602">
        <f>F275/G275*100</f>
        <v>87.402182430336381</v>
      </c>
      <c r="I275" s="768">
        <v>32107479</v>
      </c>
      <c r="J275" s="769">
        <v>29527458</v>
      </c>
      <c r="K275" s="602">
        <f>I275/J275*100</f>
        <v>108.73770102390799</v>
      </c>
      <c r="L275" s="781">
        <v>0</v>
      </c>
      <c r="M275" s="777">
        <v>0</v>
      </c>
      <c r="N275" s="602" t="e">
        <f t="shared" si="72"/>
        <v>#DIV/0!</v>
      </c>
      <c r="O275" s="786">
        <v>7794</v>
      </c>
      <c r="P275" s="791">
        <v>202.3</v>
      </c>
    </row>
    <row r="276" spans="1:16" ht="34.5" x14ac:dyDescent="0.25">
      <c r="A276" s="272">
        <v>9</v>
      </c>
      <c r="B276" s="549" t="s">
        <v>572</v>
      </c>
      <c r="C276" s="755">
        <v>39783212</v>
      </c>
      <c r="D276" s="756">
        <v>29379101</v>
      </c>
      <c r="E276" s="602">
        <f>C276/D276*100</f>
        <v>135.41330621382869</v>
      </c>
      <c r="F276" s="761">
        <v>4550196</v>
      </c>
      <c r="G276" s="761">
        <v>3947781</v>
      </c>
      <c r="H276" s="602">
        <f>F276/G276*100</f>
        <v>115.25958506816866</v>
      </c>
      <c r="I276" s="770">
        <v>39783212</v>
      </c>
      <c r="J276" s="771">
        <v>29379101</v>
      </c>
      <c r="K276" s="602">
        <f>I276/J276*100</f>
        <v>135.41330621382869</v>
      </c>
      <c r="L276" s="782">
        <v>0</v>
      </c>
      <c r="M276" s="778">
        <v>0</v>
      </c>
      <c r="N276" s="602" t="e">
        <f t="shared" si="72"/>
        <v>#DIV/0!</v>
      </c>
      <c r="O276" s="787">
        <v>4993</v>
      </c>
      <c r="P276" s="790">
        <v>231.3</v>
      </c>
    </row>
    <row r="277" spans="1:16" ht="51.75" x14ac:dyDescent="0.25">
      <c r="A277" s="272">
        <v>10</v>
      </c>
      <c r="B277" s="549" t="s">
        <v>787</v>
      </c>
      <c r="C277" s="753">
        <v>172232</v>
      </c>
      <c r="D277" s="754">
        <v>140522</v>
      </c>
      <c r="E277" s="602">
        <f>C277/D277*100</f>
        <v>122.56586157327678</v>
      </c>
      <c r="F277" s="761">
        <v>16481</v>
      </c>
      <c r="G277" s="761">
        <v>14961</v>
      </c>
      <c r="H277" s="602">
        <f>F277/G277*100</f>
        <v>110.15974867990109</v>
      </c>
      <c r="I277" s="768">
        <v>172232</v>
      </c>
      <c r="J277" s="769">
        <v>140522</v>
      </c>
      <c r="K277" s="602">
        <f>I277/J277*100</f>
        <v>122.56586157327678</v>
      </c>
      <c r="L277" s="781">
        <v>0</v>
      </c>
      <c r="M277" s="777">
        <v>0</v>
      </c>
      <c r="N277" s="602" t="e">
        <f t="shared" si="72"/>
        <v>#DIV/0!</v>
      </c>
      <c r="O277" s="786">
        <v>36</v>
      </c>
      <c r="P277" s="791">
        <v>190</v>
      </c>
    </row>
    <row r="278" spans="1:16" ht="52.5" thickBot="1" x14ac:dyDescent="0.3">
      <c r="A278" s="272">
        <v>11</v>
      </c>
      <c r="B278" s="549" t="s">
        <v>310</v>
      </c>
      <c r="C278" s="757">
        <v>1319797</v>
      </c>
      <c r="D278" s="758">
        <v>1251243</v>
      </c>
      <c r="E278" s="602">
        <f t="shared" si="68"/>
        <v>105.47887180987226</v>
      </c>
      <c r="F278" s="764">
        <v>129062</v>
      </c>
      <c r="G278" s="765">
        <v>113141.5</v>
      </c>
      <c r="H278" s="602">
        <f t="shared" si="69"/>
        <v>114.07131777464502</v>
      </c>
      <c r="I278" s="772">
        <v>1319797</v>
      </c>
      <c r="J278" s="773">
        <v>1251243</v>
      </c>
      <c r="K278" s="602">
        <f t="shared" si="70"/>
        <v>105.47887180987226</v>
      </c>
      <c r="L278" s="783">
        <v>0</v>
      </c>
      <c r="M278" s="779">
        <v>0</v>
      </c>
      <c r="N278" s="602" t="e">
        <f t="shared" si="72"/>
        <v>#DIV/0!</v>
      </c>
      <c r="O278" s="788">
        <v>191</v>
      </c>
      <c r="P278" s="792">
        <v>340</v>
      </c>
    </row>
    <row r="279" spans="1:16" ht="34.5" x14ac:dyDescent="0.25">
      <c r="A279" s="272">
        <v>12</v>
      </c>
      <c r="B279" s="549" t="s">
        <v>788</v>
      </c>
      <c r="C279" s="474"/>
      <c r="D279" s="474"/>
      <c r="E279" s="425" t="e">
        <f t="shared" si="68"/>
        <v>#DIV/0!</v>
      </c>
      <c r="F279" s="474"/>
      <c r="G279" s="474"/>
      <c r="H279" s="425" t="e">
        <f t="shared" si="69"/>
        <v>#DIV/0!</v>
      </c>
      <c r="I279" s="473"/>
      <c r="J279" s="473"/>
      <c r="K279" s="425" t="e">
        <f t="shared" si="70"/>
        <v>#DIV/0!</v>
      </c>
      <c r="L279" s="474"/>
      <c r="M279" s="474"/>
      <c r="N279" s="425" t="e">
        <f t="shared" si="71"/>
        <v>#DIV/0!</v>
      </c>
      <c r="O279" s="127"/>
      <c r="P279" s="127"/>
    </row>
    <row r="280" spans="1:16" ht="17.25" x14ac:dyDescent="0.25">
      <c r="A280" s="272">
        <v>13</v>
      </c>
      <c r="B280" s="550" t="s">
        <v>314</v>
      </c>
      <c r="C280" s="474"/>
      <c r="D280" s="474"/>
      <c r="E280" s="425" t="e">
        <f t="shared" si="68"/>
        <v>#DIV/0!</v>
      </c>
      <c r="F280" s="474"/>
      <c r="G280" s="474"/>
      <c r="H280" s="425" t="e">
        <f t="shared" si="69"/>
        <v>#DIV/0!</v>
      </c>
      <c r="I280" s="473"/>
      <c r="J280" s="473"/>
      <c r="K280" s="425" t="e">
        <f t="shared" si="70"/>
        <v>#DIV/0!</v>
      </c>
      <c r="L280" s="474"/>
      <c r="M280" s="474"/>
      <c r="N280" s="425" t="e">
        <f t="shared" si="71"/>
        <v>#DIV/0!</v>
      </c>
      <c r="O280" s="127"/>
      <c r="P280" s="127"/>
    </row>
    <row r="281" spans="1:16" ht="17.25" x14ac:dyDescent="0.25">
      <c r="A281" s="272">
        <v>14</v>
      </c>
      <c r="B281" s="550" t="s">
        <v>315</v>
      </c>
      <c r="C281" s="474"/>
      <c r="D281" s="474"/>
      <c r="E281" s="425" t="e">
        <f t="shared" si="68"/>
        <v>#DIV/0!</v>
      </c>
      <c r="F281" s="474"/>
      <c r="G281" s="474"/>
      <c r="H281" s="425" t="e">
        <f t="shared" si="69"/>
        <v>#DIV/0!</v>
      </c>
      <c r="I281" s="473"/>
      <c r="J281" s="473"/>
      <c r="K281" s="425" t="e">
        <f t="shared" si="70"/>
        <v>#DIV/0!</v>
      </c>
      <c r="L281" s="474"/>
      <c r="M281" s="474"/>
      <c r="N281" s="425" t="e">
        <f t="shared" si="71"/>
        <v>#DIV/0!</v>
      </c>
      <c r="O281" s="127"/>
      <c r="P281" s="127"/>
    </row>
    <row r="282" spans="1:16" ht="51.75" x14ac:dyDescent="0.25">
      <c r="A282" s="272">
        <v>15</v>
      </c>
      <c r="B282" s="549" t="s">
        <v>313</v>
      </c>
      <c r="C282" s="474"/>
      <c r="D282" s="474"/>
      <c r="E282" s="425" t="e">
        <f>C282/D282*100</f>
        <v>#DIV/0!</v>
      </c>
      <c r="F282" s="474"/>
      <c r="G282" s="474"/>
      <c r="H282" s="425" t="e">
        <f>F282/G282*100</f>
        <v>#DIV/0!</v>
      </c>
      <c r="I282" s="473"/>
      <c r="J282" s="473"/>
      <c r="K282" s="425" t="e">
        <f>I282/J282*100</f>
        <v>#DIV/0!</v>
      </c>
      <c r="L282" s="474"/>
      <c r="M282" s="474"/>
      <c r="N282" s="425" t="e">
        <f>L282/M282*100</f>
        <v>#DIV/0!</v>
      </c>
      <c r="O282" s="127"/>
      <c r="P282" s="127"/>
    </row>
    <row r="283" spans="1:16" ht="17.25" x14ac:dyDescent="0.25">
      <c r="A283" s="272">
        <v>16</v>
      </c>
      <c r="B283" s="550" t="s">
        <v>320</v>
      </c>
      <c r="C283" s="474"/>
      <c r="D283" s="474"/>
      <c r="E283" s="425" t="e">
        <f t="shared" si="68"/>
        <v>#DIV/0!</v>
      </c>
      <c r="F283" s="474"/>
      <c r="G283" s="474"/>
      <c r="H283" s="425" t="e">
        <f t="shared" si="69"/>
        <v>#DIV/0!</v>
      </c>
      <c r="I283" s="473"/>
      <c r="J283" s="473"/>
      <c r="K283" s="425" t="e">
        <f t="shared" si="70"/>
        <v>#DIV/0!</v>
      </c>
      <c r="L283" s="474"/>
      <c r="M283" s="474"/>
      <c r="N283" s="425" t="e">
        <f t="shared" si="71"/>
        <v>#DIV/0!</v>
      </c>
      <c r="O283" s="127"/>
      <c r="P283" s="127"/>
    </row>
    <row r="284" spans="1:16" ht="120" customHeight="1" x14ac:dyDescent="0.25">
      <c r="A284" s="504"/>
      <c r="B284" s="541"/>
      <c r="C284" s="542"/>
      <c r="D284" s="542"/>
      <c r="E284" s="542"/>
      <c r="F284" s="542"/>
      <c r="G284" s="542"/>
      <c r="H284" s="542"/>
      <c r="I284" s="543"/>
      <c r="J284" s="543"/>
      <c r="K284" s="542"/>
      <c r="L284" s="542"/>
      <c r="M284" s="542"/>
      <c r="N284" s="439"/>
    </row>
    <row r="285" spans="1:16" s="587" customFormat="1" ht="16.5" x14ac:dyDescent="0.25">
      <c r="A285" s="585">
        <v>3</v>
      </c>
      <c r="B285" s="586" t="s">
        <v>346</v>
      </c>
      <c r="C285" s="586"/>
      <c r="F285" s="586"/>
      <c r="G285" s="586"/>
      <c r="H285" s="586"/>
      <c r="I285" s="586"/>
      <c r="J285" s="586"/>
      <c r="K285" s="586"/>
      <c r="L285" s="586"/>
      <c r="M285" s="586"/>
      <c r="N285" s="586"/>
    </row>
    <row r="286" spans="1:16" ht="16.5" x14ac:dyDescent="0.25">
      <c r="A286" s="1060" t="s">
        <v>734</v>
      </c>
      <c r="B286" s="1061"/>
      <c r="C286" s="588">
        <f>SUM(C287:C291)</f>
        <v>1954836</v>
      </c>
      <c r="D286" s="588">
        <f>SUM(D287:D291)</f>
        <v>1935660</v>
      </c>
      <c r="E286" s="589">
        <f>C286/D286*100</f>
        <v>100.99066984904374</v>
      </c>
      <c r="F286" s="588">
        <f>SUM(F287:F291)</f>
        <v>158386</v>
      </c>
      <c r="G286" s="588">
        <f>SUM(G287:G291)</f>
        <v>171048</v>
      </c>
      <c r="H286" s="589">
        <f>F286/G286*100</f>
        <v>92.597399560357331</v>
      </c>
      <c r="I286" s="588">
        <f>SUM(I287:I291)</f>
        <v>1954836</v>
      </c>
      <c r="J286" s="588">
        <f>SUM(J287:J291)</f>
        <v>1935660</v>
      </c>
      <c r="K286" s="589">
        <f>I286/J286*100</f>
        <v>100.99066984904374</v>
      </c>
      <c r="L286" s="588">
        <f>SUM(L287:L291)</f>
        <v>329411</v>
      </c>
      <c r="M286" s="588">
        <f>SUM(M287:M291)</f>
        <v>387470</v>
      </c>
      <c r="N286" s="589">
        <f>L286/M286*100</f>
        <v>85.015872196557154</v>
      </c>
    </row>
    <row r="287" spans="1:16" ht="34.5" x14ac:dyDescent="0.25">
      <c r="A287" s="307">
        <v>1</v>
      </c>
      <c r="B287" s="548" t="s">
        <v>331</v>
      </c>
      <c r="C287" s="746">
        <v>92037</v>
      </c>
      <c r="D287" s="746">
        <v>91390</v>
      </c>
      <c r="E287" s="425">
        <f t="shared" ref="E287:E291" si="73">C287/D287*100</f>
        <v>100.70795491848124</v>
      </c>
      <c r="F287" s="746">
        <v>8421</v>
      </c>
      <c r="G287" s="746">
        <v>8036</v>
      </c>
      <c r="H287" s="425">
        <f t="shared" ref="H287:H291" si="74">F287/G287*100</f>
        <v>104.79094076655053</v>
      </c>
      <c r="I287" s="746">
        <v>92037</v>
      </c>
      <c r="J287" s="746">
        <v>91390</v>
      </c>
      <c r="K287" s="425">
        <f t="shared" ref="K287:K291" si="75">I287/J287*100</f>
        <v>100.70795491848124</v>
      </c>
      <c r="L287" s="746">
        <v>0</v>
      </c>
      <c r="M287" s="746">
        <v>0</v>
      </c>
      <c r="N287" s="659" t="e">
        <f t="shared" ref="N287:N291" si="76">L287/M287*100</f>
        <v>#DIV/0!</v>
      </c>
      <c r="O287" s="735">
        <v>34</v>
      </c>
      <c r="P287" s="735">
        <v>84.9</v>
      </c>
    </row>
    <row r="288" spans="1:16" ht="34.5" x14ac:dyDescent="0.25">
      <c r="A288" s="307">
        <v>2</v>
      </c>
      <c r="B288" s="548" t="s">
        <v>332</v>
      </c>
      <c r="C288" s="746">
        <v>224625</v>
      </c>
      <c r="D288" s="746">
        <v>232119</v>
      </c>
      <c r="E288" s="425">
        <f t="shared" si="73"/>
        <v>96.771483592467661</v>
      </c>
      <c r="F288" s="746">
        <v>19972</v>
      </c>
      <c r="G288" s="746">
        <v>20890</v>
      </c>
      <c r="H288" s="425">
        <f t="shared" si="74"/>
        <v>95.605552896122546</v>
      </c>
      <c r="I288" s="746">
        <v>224625</v>
      </c>
      <c r="J288" s="746">
        <v>232119</v>
      </c>
      <c r="K288" s="425">
        <f t="shared" si="75"/>
        <v>96.771483592467661</v>
      </c>
      <c r="L288" s="746">
        <v>0</v>
      </c>
      <c r="M288" s="746">
        <v>0</v>
      </c>
      <c r="N288" s="659" t="e">
        <f t="shared" si="76"/>
        <v>#DIV/0!</v>
      </c>
      <c r="O288" s="735">
        <v>200</v>
      </c>
      <c r="P288" s="736">
        <v>84.3</v>
      </c>
    </row>
    <row r="289" spans="1:16" ht="69" x14ac:dyDescent="0.25">
      <c r="A289" s="307">
        <v>3</v>
      </c>
      <c r="B289" s="548" t="s">
        <v>333</v>
      </c>
      <c r="C289" s="746">
        <v>1447546</v>
      </c>
      <c r="D289" s="746">
        <v>1533333</v>
      </c>
      <c r="E289" s="425">
        <f t="shared" si="73"/>
        <v>94.405194435911838</v>
      </c>
      <c r="F289" s="746">
        <v>124131</v>
      </c>
      <c r="G289" s="746">
        <v>133179</v>
      </c>
      <c r="H289" s="425">
        <f t="shared" si="74"/>
        <v>93.206136102538679</v>
      </c>
      <c r="I289" s="746">
        <v>1447546</v>
      </c>
      <c r="J289" s="746">
        <v>1533333</v>
      </c>
      <c r="K289" s="425">
        <f t="shared" si="75"/>
        <v>94.405194435911838</v>
      </c>
      <c r="L289" s="746">
        <v>329411</v>
      </c>
      <c r="M289" s="746">
        <v>387470</v>
      </c>
      <c r="N289" s="659">
        <f t="shared" si="76"/>
        <v>85.015872196557154</v>
      </c>
      <c r="O289" s="735">
        <v>575</v>
      </c>
      <c r="P289" s="737">
        <v>104</v>
      </c>
    </row>
    <row r="290" spans="1:16" ht="17.25" x14ac:dyDescent="0.25">
      <c r="A290" s="307">
        <v>4</v>
      </c>
      <c r="B290" s="548" t="s">
        <v>334</v>
      </c>
      <c r="C290" s="746">
        <v>190628</v>
      </c>
      <c r="D290" s="746">
        <v>78818</v>
      </c>
      <c r="E290" s="425">
        <f t="shared" si="73"/>
        <v>241.85845872770179</v>
      </c>
      <c r="F290" s="746">
        <v>5862</v>
      </c>
      <c r="G290" s="746">
        <v>8943</v>
      </c>
      <c r="H290" s="425">
        <f t="shared" si="74"/>
        <v>65.548473666554855</v>
      </c>
      <c r="I290" s="746">
        <v>190628</v>
      </c>
      <c r="J290" s="746">
        <v>78818</v>
      </c>
      <c r="K290" s="425">
        <f t="shared" si="75"/>
        <v>241.85845872770179</v>
      </c>
      <c r="L290" s="746">
        <v>0</v>
      </c>
      <c r="M290" s="746">
        <v>0</v>
      </c>
      <c r="N290" s="659" t="e">
        <f t="shared" si="76"/>
        <v>#DIV/0!</v>
      </c>
      <c r="O290" s="735">
        <v>37</v>
      </c>
      <c r="P290" s="737">
        <v>136</v>
      </c>
    </row>
    <row r="291" spans="1:16" ht="51.75" x14ac:dyDescent="0.25">
      <c r="A291" s="307">
        <v>5</v>
      </c>
      <c r="B291" s="548" t="s">
        <v>335</v>
      </c>
      <c r="C291" s="322"/>
      <c r="D291" s="322"/>
      <c r="E291" s="425" t="e">
        <f t="shared" si="73"/>
        <v>#DIV/0!</v>
      </c>
      <c r="F291" s="322"/>
      <c r="G291" s="322"/>
      <c r="H291" s="425" t="e">
        <f t="shared" si="74"/>
        <v>#DIV/0!</v>
      </c>
      <c r="I291" s="322"/>
      <c r="J291" s="322"/>
      <c r="K291" s="425" t="e">
        <f t="shared" si="75"/>
        <v>#DIV/0!</v>
      </c>
      <c r="L291" s="322"/>
      <c r="M291" s="322"/>
      <c r="N291" s="555" t="e">
        <f t="shared" si="76"/>
        <v>#DIV/0!</v>
      </c>
    </row>
    <row r="293" spans="1:16" ht="16.5" x14ac:dyDescent="0.25">
      <c r="A293" s="585">
        <v>4</v>
      </c>
      <c r="B293" s="590" t="s">
        <v>543</v>
      </c>
      <c r="C293" s="586"/>
      <c r="D293" s="586"/>
      <c r="E293" s="586"/>
      <c r="F293" s="586"/>
      <c r="G293" s="586"/>
      <c r="H293" s="586"/>
      <c r="I293" s="586"/>
      <c r="J293" s="586"/>
      <c r="K293" s="586"/>
      <c r="L293" s="586"/>
      <c r="M293" s="586"/>
      <c r="N293" s="586"/>
    </row>
    <row r="294" spans="1:16" ht="16.5" x14ac:dyDescent="0.25">
      <c r="A294" s="588"/>
      <c r="B294" s="591" t="s">
        <v>734</v>
      </c>
      <c r="C294" s="588">
        <f>SUM(C295:C295)</f>
        <v>0</v>
      </c>
      <c r="D294" s="588">
        <f>SUM(D295:D295)</f>
        <v>0</v>
      </c>
      <c r="E294" s="589" t="e">
        <f>C294/D294*100</f>
        <v>#DIV/0!</v>
      </c>
      <c r="F294" s="588">
        <f>SUM(F295:F295)</f>
        <v>0</v>
      </c>
      <c r="G294" s="588">
        <f>SUM(G295:G295)</f>
        <v>0</v>
      </c>
      <c r="H294" s="589" t="e">
        <f>F294/G294*100</f>
        <v>#DIV/0!</v>
      </c>
      <c r="I294" s="588">
        <f>SUM(I295:I295)</f>
        <v>0</v>
      </c>
      <c r="J294" s="588">
        <f>SUM(J295:J295)</f>
        <v>0</v>
      </c>
      <c r="K294" s="589" t="e">
        <f>I294/J294*100</f>
        <v>#DIV/0!</v>
      </c>
      <c r="L294" s="588">
        <f>SUM(L295:L295)</f>
        <v>0</v>
      </c>
      <c r="M294" s="588">
        <f>SUM(M295:M295)</f>
        <v>0</v>
      </c>
      <c r="N294" s="589">
        <v>0</v>
      </c>
    </row>
    <row r="295" spans="1:16" ht="17.25" x14ac:dyDescent="0.25">
      <c r="A295" s="307">
        <v>1</v>
      </c>
      <c r="B295" s="548" t="s">
        <v>728</v>
      </c>
      <c r="C295" s="426"/>
      <c r="D295" s="426"/>
      <c r="E295" s="323" t="e">
        <f>C295/D295*100</f>
        <v>#DIV/0!</v>
      </c>
      <c r="F295" s="426"/>
      <c r="G295" s="426"/>
      <c r="H295" s="323" t="e">
        <f>F295/G295*100</f>
        <v>#DIV/0!</v>
      </c>
      <c r="I295" s="426"/>
      <c r="J295" s="426"/>
      <c r="K295" s="323" t="e">
        <f>I295/J295*100</f>
        <v>#DIV/0!</v>
      </c>
      <c r="L295" s="426"/>
      <c r="M295" s="426"/>
      <c r="N295" s="323">
        <v>0</v>
      </c>
    </row>
  </sheetData>
  <mergeCells count="39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M4:M8"/>
    <mergeCell ref="N4:N8"/>
    <mergeCell ref="L4:L8"/>
    <mergeCell ref="G4:G8"/>
    <mergeCell ref="H4:H8"/>
    <mergeCell ref="I4:I8"/>
    <mergeCell ref="J4:J8"/>
    <mergeCell ref="K4:K8"/>
    <mergeCell ref="A29:N30"/>
    <mergeCell ref="A247:B247"/>
    <mergeCell ref="A95:B95"/>
    <mergeCell ref="A55:B55"/>
    <mergeCell ref="A69:B69"/>
    <mergeCell ref="A79:B79"/>
    <mergeCell ref="B31:B32"/>
    <mergeCell ref="C31:G31"/>
    <mergeCell ref="H31:K31"/>
    <mergeCell ref="A34:B34"/>
    <mergeCell ref="A35:B35"/>
    <mergeCell ref="A31:A32"/>
    <mergeCell ref="A266:B266"/>
    <mergeCell ref="A286:B286"/>
    <mergeCell ref="A133:B133"/>
    <mergeCell ref="A134:B134"/>
    <mergeCell ref="A159:B159"/>
    <mergeCell ref="A160:B160"/>
    <mergeCell ref="A188:B188"/>
    <mergeCell ref="A194:B194"/>
    <mergeCell ref="A237:B237"/>
  </mergeCells>
  <pageMargins left="0.25" right="0.25" top="0.25" bottom="0.25" header="0.25" footer="0.25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6"/>
  <sheetViews>
    <sheetView topLeftCell="A237" zoomScale="90" zoomScaleNormal="90" workbookViewId="0">
      <selection activeCell="B106" sqref="B106"/>
    </sheetView>
  </sheetViews>
  <sheetFormatPr defaultColWidth="11.28515625" defaultRowHeight="15" x14ac:dyDescent="0.25"/>
  <cols>
    <col min="1" max="1" width="6.85546875" style="126" customWidth="1"/>
    <col min="2" max="2" width="31.28515625" style="126" customWidth="1"/>
    <col min="3" max="3" width="13.42578125" style="126" customWidth="1"/>
    <col min="4" max="4" width="12.7109375" style="126" customWidth="1"/>
    <col min="5" max="5" width="9.5703125" style="126" customWidth="1"/>
    <col min="6" max="6" width="12.28515625" style="126" customWidth="1"/>
    <col min="7" max="7" width="11.7109375" style="126" customWidth="1"/>
    <col min="8" max="8" width="9.28515625" style="126" customWidth="1"/>
    <col min="9" max="10" width="12.28515625" style="126" customWidth="1"/>
    <col min="11" max="11" width="9" style="126" customWidth="1"/>
    <col min="12" max="13" width="13.140625" style="126" customWidth="1"/>
    <col min="14" max="14" width="9.5703125" style="126" customWidth="1"/>
    <col min="15" max="16384" width="11.28515625" style="126"/>
  </cols>
  <sheetData>
    <row r="2" spans="1:14" s="556" customFormat="1" ht="16.5" x14ac:dyDescent="0.25">
      <c r="A2" s="1051" t="s">
        <v>816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21.75" customHeight="1" thickBot="1" x14ac:dyDescent="0.3">
      <c r="A3" s="1051"/>
      <c r="B3" s="1051"/>
      <c r="C3" s="1051"/>
      <c r="D3" s="1051"/>
      <c r="E3" s="1051"/>
      <c r="F3" s="1051"/>
      <c r="G3" s="1051"/>
      <c r="H3" s="1051"/>
      <c r="I3" s="1051"/>
      <c r="J3" s="1051"/>
      <c r="K3" s="1051"/>
      <c r="L3" s="1051"/>
      <c r="M3" s="1051"/>
      <c r="N3" s="1051"/>
    </row>
    <row r="4" spans="1:14" s="556" customFormat="1" ht="17.25" x14ac:dyDescent="0.25">
      <c r="A4" s="1077" t="s">
        <v>1</v>
      </c>
      <c r="B4" s="1080" t="s">
        <v>337</v>
      </c>
      <c r="C4" s="1083" t="s">
        <v>326</v>
      </c>
      <c r="D4" s="1084"/>
      <c r="E4" s="1084"/>
      <c r="F4" s="1084"/>
      <c r="G4" s="1084"/>
      <c r="H4" s="1085"/>
      <c r="I4" s="1086" t="s">
        <v>327</v>
      </c>
      <c r="J4" s="1087"/>
      <c r="K4" s="1088"/>
      <c r="L4" s="1083" t="s">
        <v>328</v>
      </c>
      <c r="M4" s="1084"/>
      <c r="N4" s="1085"/>
    </row>
    <row r="5" spans="1:14" s="556" customFormat="1" ht="16.5" customHeight="1" x14ac:dyDescent="0.25">
      <c r="A5" s="1078"/>
      <c r="B5" s="1081"/>
      <c r="C5" s="1070" t="s">
        <v>819</v>
      </c>
      <c r="D5" s="1070" t="s">
        <v>820</v>
      </c>
      <c r="E5" s="1073" t="s">
        <v>545</v>
      </c>
      <c r="F5" s="1070" t="s">
        <v>822</v>
      </c>
      <c r="G5" s="1070" t="s">
        <v>821</v>
      </c>
      <c r="H5" s="1073" t="s">
        <v>545</v>
      </c>
      <c r="I5" s="1070" t="s">
        <v>819</v>
      </c>
      <c r="J5" s="1070" t="s">
        <v>820</v>
      </c>
      <c r="K5" s="1073" t="s">
        <v>545</v>
      </c>
      <c r="L5" s="1070" t="s">
        <v>819</v>
      </c>
      <c r="M5" s="1070" t="s">
        <v>820</v>
      </c>
      <c r="N5" s="1073" t="s">
        <v>545</v>
      </c>
    </row>
    <row r="6" spans="1:14" s="556" customFormat="1" ht="16.5" customHeight="1" x14ac:dyDescent="0.25">
      <c r="A6" s="1078"/>
      <c r="B6" s="1081"/>
      <c r="C6" s="1071"/>
      <c r="D6" s="1071"/>
      <c r="E6" s="1074"/>
      <c r="F6" s="1071"/>
      <c r="G6" s="1071"/>
      <c r="H6" s="1074"/>
      <c r="I6" s="1071"/>
      <c r="J6" s="1071"/>
      <c r="K6" s="1074"/>
      <c r="L6" s="1071"/>
      <c r="M6" s="1071"/>
      <c r="N6" s="1074"/>
    </row>
    <row r="7" spans="1:14" s="556" customFormat="1" ht="16.5" customHeight="1" x14ac:dyDescent="0.25">
      <c r="A7" s="1078"/>
      <c r="B7" s="1081"/>
      <c r="C7" s="1071"/>
      <c r="D7" s="1071"/>
      <c r="E7" s="1074"/>
      <c r="F7" s="1071"/>
      <c r="G7" s="1071"/>
      <c r="H7" s="1074"/>
      <c r="I7" s="1071"/>
      <c r="J7" s="1071"/>
      <c r="K7" s="1074"/>
      <c r="L7" s="1071"/>
      <c r="M7" s="1071"/>
      <c r="N7" s="1074"/>
    </row>
    <row r="8" spans="1:14" s="556" customFormat="1" ht="9.75" customHeight="1" x14ac:dyDescent="0.25">
      <c r="A8" s="1078"/>
      <c r="B8" s="1081"/>
      <c r="C8" s="1071"/>
      <c r="D8" s="1071"/>
      <c r="E8" s="1074"/>
      <c r="F8" s="1071"/>
      <c r="G8" s="1071"/>
      <c r="H8" s="1074"/>
      <c r="I8" s="1071"/>
      <c r="J8" s="1071"/>
      <c r="K8" s="1074"/>
      <c r="L8" s="1071"/>
      <c r="M8" s="1071"/>
      <c r="N8" s="1074"/>
    </row>
    <row r="9" spans="1:14" s="556" customFormat="1" ht="17.25" customHeight="1" thickBot="1" x14ac:dyDescent="0.3">
      <c r="A9" s="1079"/>
      <c r="B9" s="1082"/>
      <c r="C9" s="1072"/>
      <c r="D9" s="1072"/>
      <c r="E9" s="1075"/>
      <c r="F9" s="1072"/>
      <c r="G9" s="1072"/>
      <c r="H9" s="1075"/>
      <c r="I9" s="1072"/>
      <c r="J9" s="1072"/>
      <c r="K9" s="1075"/>
      <c r="L9" s="1072"/>
      <c r="M9" s="1072"/>
      <c r="N9" s="1075"/>
    </row>
    <row r="10" spans="1:14" s="556" customFormat="1" ht="18" thickBot="1" x14ac:dyDescent="0.3">
      <c r="A10" s="844">
        <v>1</v>
      </c>
      <c r="B10" s="845">
        <v>2</v>
      </c>
      <c r="C10" s="846">
        <v>3</v>
      </c>
      <c r="D10" s="846">
        <v>4</v>
      </c>
      <c r="E10" s="847">
        <v>5</v>
      </c>
      <c r="F10" s="846">
        <v>6</v>
      </c>
      <c r="G10" s="846">
        <v>7</v>
      </c>
      <c r="H10" s="846">
        <v>8</v>
      </c>
      <c r="I10" s="846">
        <v>9</v>
      </c>
      <c r="J10" s="846">
        <v>10</v>
      </c>
      <c r="K10" s="846">
        <v>11</v>
      </c>
      <c r="L10" s="846">
        <v>12</v>
      </c>
      <c r="M10" s="846">
        <v>13</v>
      </c>
      <c r="N10" s="846">
        <v>14</v>
      </c>
    </row>
    <row r="11" spans="1:14" s="557" customFormat="1" ht="37.5" customHeight="1" x14ac:dyDescent="0.25">
      <c r="A11" s="456"/>
      <c r="B11" s="395" t="s">
        <v>348</v>
      </c>
      <c r="C11" s="859">
        <f>C12+C26</f>
        <v>851.76703090000001</v>
      </c>
      <c r="D11" s="859">
        <f>D12+D26</f>
        <v>759.18869531400003</v>
      </c>
      <c r="E11" s="860">
        <f>C11/D11*100</f>
        <v>112.1943775187155</v>
      </c>
      <c r="F11" s="859">
        <f>F12+F26</f>
        <v>83.208928350999997</v>
      </c>
      <c r="G11" s="859">
        <f>G12+G26</f>
        <v>75.208726725000005</v>
      </c>
      <c r="H11" s="860">
        <f>F11/G11*100</f>
        <v>110.63733156293505</v>
      </c>
      <c r="I11" s="859">
        <f>I12+I26</f>
        <v>832.50205749999998</v>
      </c>
      <c r="J11" s="859">
        <f>J12+J26</f>
        <v>731.09117731399988</v>
      </c>
      <c r="K11" s="860">
        <f>I11/J11*100</f>
        <v>113.87116728156667</v>
      </c>
      <c r="L11" s="859">
        <f>L12+L26</f>
        <v>434.02478599999995</v>
      </c>
      <c r="M11" s="859">
        <f>M12+M26</f>
        <v>407.90399700000006</v>
      </c>
      <c r="N11" s="860">
        <f>L11/M11*100</f>
        <v>106.40366095750709</v>
      </c>
    </row>
    <row r="12" spans="1:14" ht="37.5" customHeight="1" x14ac:dyDescent="0.25">
      <c r="A12" s="848">
        <v>1</v>
      </c>
      <c r="B12" s="373" t="s">
        <v>730</v>
      </c>
      <c r="C12" s="861">
        <f>C13+C14</f>
        <v>656.76513990000001</v>
      </c>
      <c r="D12" s="861">
        <f>D13+D14</f>
        <v>593.61829599999999</v>
      </c>
      <c r="E12" s="861">
        <f>C12/D12*100</f>
        <v>110.6376175272064</v>
      </c>
      <c r="F12" s="861">
        <f>F13+F14</f>
        <v>63.202981199999996</v>
      </c>
      <c r="G12" s="861">
        <f>G13+G14</f>
        <v>50.00177</v>
      </c>
      <c r="H12" s="861">
        <f>F12/G12*100</f>
        <v>126.40148778733231</v>
      </c>
      <c r="I12" s="861">
        <f>I13+I14</f>
        <v>637.50016649999998</v>
      </c>
      <c r="J12" s="861">
        <f>J13+J14</f>
        <v>565.52077799999984</v>
      </c>
      <c r="K12" s="861">
        <f>I12/J12*100</f>
        <v>112.72798300259804</v>
      </c>
      <c r="L12" s="861">
        <f>L13+L14</f>
        <v>405.55255299999993</v>
      </c>
      <c r="M12" s="861">
        <f>M13+M14</f>
        <v>381.60043000000007</v>
      </c>
      <c r="N12" s="861">
        <f>L12/M12*100</f>
        <v>106.27675471958977</v>
      </c>
    </row>
    <row r="13" spans="1:14" ht="75" customHeight="1" thickBot="1" x14ac:dyDescent="0.3">
      <c r="A13" s="476">
        <v>1.1000000000000001</v>
      </c>
      <c r="B13" s="849" t="s">
        <v>527</v>
      </c>
      <c r="C13" s="862">
        <f>C135/1000000</f>
        <v>177.56429199999999</v>
      </c>
      <c r="D13" s="862">
        <f>D135/1000000</f>
        <v>177.86230900000001</v>
      </c>
      <c r="E13" s="863">
        <f>E135</f>
        <v>99.832445107861503</v>
      </c>
      <c r="F13" s="862">
        <f>F135/1000000</f>
        <v>14.981263999999999</v>
      </c>
      <c r="G13" s="862">
        <f>G135/1000000</f>
        <v>13.187847</v>
      </c>
      <c r="H13" s="864">
        <f>H135</f>
        <v>113.59901278806161</v>
      </c>
      <c r="I13" s="862">
        <f>I135/1000000</f>
        <v>166.38161600000001</v>
      </c>
      <c r="J13" s="862">
        <f>J135/1000000</f>
        <v>165.304563</v>
      </c>
      <c r="K13" s="864">
        <f>K135</f>
        <v>100.65155672684003</v>
      </c>
      <c r="L13" s="862">
        <f>L135/1000000</f>
        <v>115.796071</v>
      </c>
      <c r="M13" s="862">
        <f>M135/1000000</f>
        <v>116.220111</v>
      </c>
      <c r="N13" s="863">
        <f>N135</f>
        <v>99.635140599719435</v>
      </c>
    </row>
    <row r="14" spans="1:14" ht="69" customHeight="1" x14ac:dyDescent="0.25">
      <c r="A14" s="850">
        <v>1.2</v>
      </c>
      <c r="B14" s="851" t="s">
        <v>350</v>
      </c>
      <c r="C14" s="865">
        <f>SUM(C15:C25)</f>
        <v>479.20084789999999</v>
      </c>
      <c r="D14" s="865">
        <f>SUM(D15:D25)</f>
        <v>415.755987</v>
      </c>
      <c r="E14" s="866">
        <f t="shared" ref="E14" si="0">C14/D14*100</f>
        <v>115.26011960953433</v>
      </c>
      <c r="F14" s="865">
        <f>SUM(F15:F25)</f>
        <v>48.221717200000001</v>
      </c>
      <c r="G14" s="865">
        <f>SUM(G15:G25)</f>
        <v>36.813923000000003</v>
      </c>
      <c r="H14" s="866">
        <f t="shared" ref="H14" si="1">F14/G14*100</f>
        <v>130.98771679399667</v>
      </c>
      <c r="I14" s="865">
        <f>SUM(I15:I25)</f>
        <v>471.11855050000003</v>
      </c>
      <c r="J14" s="865">
        <f>SUM(J15:J25)</f>
        <v>400.21621499999986</v>
      </c>
      <c r="K14" s="866">
        <f t="shared" ref="K14" si="2">I14/J14*100</f>
        <v>117.71600770848332</v>
      </c>
      <c r="L14" s="865">
        <f>SUM(L15:L25)</f>
        <v>289.75648199999995</v>
      </c>
      <c r="M14" s="865">
        <f>SUM(M15:M25)</f>
        <v>265.38031900000004</v>
      </c>
      <c r="N14" s="866">
        <f t="shared" ref="N14" si="3">L14/M14*100</f>
        <v>109.18536954505653</v>
      </c>
    </row>
    <row r="15" spans="1:14" ht="18.75" customHeight="1" x14ac:dyDescent="0.25">
      <c r="A15" s="852" t="s">
        <v>528</v>
      </c>
      <c r="B15" s="535" t="s">
        <v>791</v>
      </c>
      <c r="C15" s="853">
        <f>C145/1000000</f>
        <v>168.86551600000001</v>
      </c>
      <c r="D15" s="853">
        <f>D145/1000000</f>
        <v>158.846991</v>
      </c>
      <c r="E15" s="854">
        <f>E145</f>
        <v>106.30702850392677</v>
      </c>
      <c r="F15" s="853">
        <f>F145/1000000</f>
        <v>15.087555</v>
      </c>
      <c r="G15" s="853">
        <f>G145/1000000</f>
        <v>12.068033</v>
      </c>
      <c r="H15" s="854">
        <f>H145</f>
        <v>125.02082982371692</v>
      </c>
      <c r="I15" s="853">
        <f>I145/1000000</f>
        <v>168.844719</v>
      </c>
      <c r="J15" s="853">
        <f>J145/1000000</f>
        <v>154.528265</v>
      </c>
      <c r="K15" s="854">
        <f>K145</f>
        <v>109.26461835315371</v>
      </c>
      <c r="L15" s="853">
        <f>L145/1000000</f>
        <v>153.52534399999999</v>
      </c>
      <c r="M15" s="853">
        <f>M145/1000000</f>
        <v>145.767065</v>
      </c>
      <c r="N15" s="854">
        <f>N145</f>
        <v>105.32238129374423</v>
      </c>
    </row>
    <row r="16" spans="1:14" ht="17.25" x14ac:dyDescent="0.25">
      <c r="A16" s="855" t="s">
        <v>529</v>
      </c>
      <c r="B16" s="535" t="s">
        <v>792</v>
      </c>
      <c r="C16" s="853">
        <f>C155/1000000</f>
        <v>14.229032999999999</v>
      </c>
      <c r="D16" s="853">
        <f>D155/1000000</f>
        <v>15.147905</v>
      </c>
      <c r="E16" s="854">
        <f>E155</f>
        <v>93.933999454049925</v>
      </c>
      <c r="F16" s="853">
        <f>F155/1000000</f>
        <v>1.029523</v>
      </c>
      <c r="G16" s="853">
        <f>G155/1000000</f>
        <v>1.3839649999999999</v>
      </c>
      <c r="H16" s="854">
        <f>H155</f>
        <v>74.38938123435203</v>
      </c>
      <c r="I16" s="853">
        <f>I155/1000000</f>
        <v>14.299103000000001</v>
      </c>
      <c r="J16" s="853">
        <f>J155/1000000</f>
        <v>14.626949</v>
      </c>
      <c r="K16" s="854">
        <f>K155</f>
        <v>97.758616646574765</v>
      </c>
      <c r="L16" s="853">
        <f>L155/1000000</f>
        <v>5.7726230000000003</v>
      </c>
      <c r="M16" s="853">
        <f>M155/1000000</f>
        <v>6.6445480000000003</v>
      </c>
      <c r="N16" s="854">
        <f>N155</f>
        <v>86.877587459673705</v>
      </c>
    </row>
    <row r="17" spans="1:14" ht="17.25" x14ac:dyDescent="0.25">
      <c r="A17" s="852" t="s">
        <v>530</v>
      </c>
      <c r="B17" s="535" t="s">
        <v>793</v>
      </c>
      <c r="C17" s="853">
        <f>C237/1000000</f>
        <v>16.689810000000001</v>
      </c>
      <c r="D17" s="853">
        <f>D237/1000000</f>
        <v>15.498218</v>
      </c>
      <c r="E17" s="854">
        <f>E237</f>
        <v>107.6885742606021</v>
      </c>
      <c r="F17" s="853">
        <f>F237/1000000</f>
        <v>2.7130239999999999</v>
      </c>
      <c r="G17" s="853">
        <f>G237/1000000</f>
        <v>1.3417319999999999</v>
      </c>
      <c r="H17" s="854">
        <f>H237</f>
        <v>202.20312253117615</v>
      </c>
      <c r="I17" s="853">
        <f>I237/1000000</f>
        <v>16.504992999999999</v>
      </c>
      <c r="J17" s="853">
        <f>J237/1000000</f>
        <v>15.490579</v>
      </c>
      <c r="K17" s="854">
        <f>K237</f>
        <v>106.54858672487322</v>
      </c>
      <c r="L17" s="853">
        <f>L237/1000000</f>
        <v>15.965752999999999</v>
      </c>
      <c r="M17" s="853">
        <f>M237/1000000</f>
        <v>14.963602</v>
      </c>
      <c r="N17" s="854">
        <f>N237</f>
        <v>106.69725778592614</v>
      </c>
    </row>
    <row r="18" spans="1:14" ht="17.25" x14ac:dyDescent="0.25">
      <c r="A18" s="855" t="s">
        <v>531</v>
      </c>
      <c r="B18" s="535" t="s">
        <v>354</v>
      </c>
      <c r="C18" s="853">
        <f>C36/1000000</f>
        <v>1.925181</v>
      </c>
      <c r="D18" s="853">
        <f>D36/1000000</f>
        <v>2.3394180000000002</v>
      </c>
      <c r="E18" s="854">
        <f>E36</f>
        <v>82.293160093664312</v>
      </c>
      <c r="F18" s="853">
        <f>F36/1000000</f>
        <v>0.216835</v>
      </c>
      <c r="G18" s="853">
        <f>G36/1000000</f>
        <v>0.18473999999999999</v>
      </c>
      <c r="H18" s="854">
        <f>H36</f>
        <v>117.37306484789434</v>
      </c>
      <c r="I18" s="853">
        <f>I36/1000000</f>
        <v>1.8745689999999999</v>
      </c>
      <c r="J18" s="853">
        <f>J36/1000000</f>
        <v>2.3928919999999998</v>
      </c>
      <c r="K18" s="854">
        <f>K36</f>
        <v>78.339055837037364</v>
      </c>
      <c r="L18" s="853">
        <f>L36/1000000</f>
        <v>0.81330000000000002</v>
      </c>
      <c r="M18" s="853">
        <f>M36/1000000</f>
        <v>1.1000730000000001</v>
      </c>
      <c r="N18" s="854">
        <f>N36</f>
        <v>73.931457276017127</v>
      </c>
    </row>
    <row r="19" spans="1:14" ht="17.25" x14ac:dyDescent="0.25">
      <c r="A19" s="852" t="s">
        <v>532</v>
      </c>
      <c r="B19" s="535" t="s">
        <v>355</v>
      </c>
      <c r="C19" s="853">
        <f>C56/1000000</f>
        <v>2.2177129999999998</v>
      </c>
      <c r="D19" s="853">
        <f>D56/1000000</f>
        <v>2.2953570000000001</v>
      </c>
      <c r="E19" s="854">
        <f>E56</f>
        <v>96.617345362834627</v>
      </c>
      <c r="F19" s="853">
        <f>F56/1000000</f>
        <v>0.23422000000000001</v>
      </c>
      <c r="G19" s="853">
        <f>G56/1000000</f>
        <v>0.41685499999999998</v>
      </c>
      <c r="H19" s="854">
        <f>H56</f>
        <v>56.187403293711249</v>
      </c>
      <c r="I19" s="853">
        <f>I56/1000000</f>
        <v>2.2944170000000002</v>
      </c>
      <c r="J19" s="853">
        <f>J56/1000000</f>
        <v>2.385656</v>
      </c>
      <c r="K19" s="854">
        <f>K56</f>
        <v>96.175517341980566</v>
      </c>
      <c r="L19" s="853">
        <f>L56/1000000</f>
        <v>1.25345</v>
      </c>
      <c r="M19" s="853">
        <f>M56/1000000</f>
        <v>1.3876930000000001</v>
      </c>
      <c r="N19" s="854">
        <f>N56</f>
        <v>90.326174449247773</v>
      </c>
    </row>
    <row r="20" spans="1:14" ht="17.25" x14ac:dyDescent="0.25">
      <c r="A20" s="855" t="s">
        <v>533</v>
      </c>
      <c r="B20" s="535" t="s">
        <v>356</v>
      </c>
      <c r="C20" s="853">
        <f>C70/1000000</f>
        <v>1.3545050000000001</v>
      </c>
      <c r="D20" s="853">
        <f>D70/1000000</f>
        <v>1.1676299999999999</v>
      </c>
      <c r="E20" s="854">
        <f>E70</f>
        <v>116.00464188141792</v>
      </c>
      <c r="F20" s="853">
        <f>F70/1000000</f>
        <v>9.0187000000000003E-2</v>
      </c>
      <c r="G20" s="853">
        <f>G70/1000000</f>
        <v>0.15802099999999999</v>
      </c>
      <c r="H20" s="854">
        <f>H70</f>
        <v>57.072794122300195</v>
      </c>
      <c r="I20" s="853">
        <f>I70/1000000</f>
        <v>1.4253039999999999</v>
      </c>
      <c r="J20" s="853">
        <f>J70/1000000</f>
        <v>1.8454870000000001</v>
      </c>
      <c r="K20" s="854">
        <f>K70</f>
        <v>77.231863459347053</v>
      </c>
      <c r="L20" s="853">
        <f>L70/1000000</f>
        <v>0.68721399999999999</v>
      </c>
      <c r="M20" s="853">
        <f>M70/1000000</f>
        <v>0.90135500000000002</v>
      </c>
      <c r="N20" s="854">
        <f>N70</f>
        <v>76.242324056559298</v>
      </c>
    </row>
    <row r="21" spans="1:14" ht="17.25" x14ac:dyDescent="0.25">
      <c r="A21" s="852" t="s">
        <v>534</v>
      </c>
      <c r="B21" s="535" t="s">
        <v>357</v>
      </c>
      <c r="C21" s="853">
        <f>C80/1000000</f>
        <v>7.7002230000000003</v>
      </c>
      <c r="D21" s="853">
        <f>D80/1000000</f>
        <v>6.9685569999999997</v>
      </c>
      <c r="E21" s="854">
        <f>E80</f>
        <v>110.49953383462314</v>
      </c>
      <c r="F21" s="853">
        <f>F80/1000000</f>
        <v>0.82503899999999997</v>
      </c>
      <c r="G21" s="853">
        <f>G80/1000000</f>
        <v>0.49362299999999998</v>
      </c>
      <c r="H21" s="854">
        <f>H80</f>
        <v>167.13949714660782</v>
      </c>
      <c r="I21" s="853">
        <f>I80/1000000</f>
        <v>9.7997479999999992</v>
      </c>
      <c r="J21" s="853">
        <f>J80/1000000</f>
        <v>10.721636999999999</v>
      </c>
      <c r="K21" s="854">
        <f>K80</f>
        <v>91.401602199365641</v>
      </c>
      <c r="L21" s="853">
        <f>L80/1000000</f>
        <v>3.3569580000000001</v>
      </c>
      <c r="M21" s="853">
        <f>M80/1000000</f>
        <v>3.4001939999999999</v>
      </c>
      <c r="N21" s="854">
        <f>N80</f>
        <v>98.728425495721723</v>
      </c>
    </row>
    <row r="22" spans="1:14" ht="17.25" x14ac:dyDescent="0.25">
      <c r="A22" s="855" t="s">
        <v>535</v>
      </c>
      <c r="B22" s="535" t="s">
        <v>358</v>
      </c>
      <c r="C22" s="854">
        <f>C160/1000000</f>
        <v>260.080445</v>
      </c>
      <c r="D22" s="854">
        <f>D160/1000000</f>
        <v>209.26096699999999</v>
      </c>
      <c r="E22" s="854">
        <f>E160</f>
        <v>124.28521607663218</v>
      </c>
      <c r="F22" s="853">
        <f>F160/1000000</f>
        <v>27.331517000000002</v>
      </c>
      <c r="G22" s="853">
        <f>G160/1000000</f>
        <v>20.226462999999999</v>
      </c>
      <c r="H22" s="854">
        <f>H160</f>
        <v>135.12751586869143</v>
      </c>
      <c r="I22" s="853">
        <f>I160/1000000</f>
        <v>249.894991</v>
      </c>
      <c r="J22" s="853">
        <f>J160/1000000</f>
        <v>193.93921499999999</v>
      </c>
      <c r="K22" s="854">
        <f>K160</f>
        <v>128.85222362068444</v>
      </c>
      <c r="L22" s="853">
        <f>L160/1000000</f>
        <v>105.41587</v>
      </c>
      <c r="M22" s="853">
        <f>M160/1000000</f>
        <v>89.769221000000002</v>
      </c>
      <c r="N22" s="854">
        <f>N160</f>
        <v>117.42985939468049</v>
      </c>
    </row>
    <row r="23" spans="1:14" ht="17.25" x14ac:dyDescent="0.25">
      <c r="A23" s="852" t="s">
        <v>536</v>
      </c>
      <c r="B23" s="535" t="s">
        <v>359</v>
      </c>
      <c r="C23" s="853">
        <f>C96/1000000</f>
        <v>4.8281359999999998</v>
      </c>
      <c r="D23" s="853">
        <f>D96/1000000</f>
        <v>2.8069069999999998</v>
      </c>
      <c r="E23" s="854">
        <f>E96</f>
        <v>172.00911893411504</v>
      </c>
      <c r="F23" s="853">
        <f>F96/1000000</f>
        <v>0.56879599999999997</v>
      </c>
      <c r="G23" s="853">
        <f>G96/1000000</f>
        <v>0.33173599999999998</v>
      </c>
      <c r="H23" s="854">
        <f>H96</f>
        <v>171.46043842091302</v>
      </c>
      <c r="I23" s="853">
        <f>I96/1000000</f>
        <v>5.0380269999999996</v>
      </c>
      <c r="J23" s="853">
        <f>J96/1000000</f>
        <v>2.958809</v>
      </c>
      <c r="K23" s="854">
        <f>K96</f>
        <v>170.2721263859884</v>
      </c>
      <c r="L23" s="853">
        <f>L96/1000000</f>
        <v>2.8911730000000002</v>
      </c>
      <c r="M23" s="853">
        <f>M96/1000000</f>
        <v>1.3817600000000001</v>
      </c>
      <c r="N23" s="854">
        <f>N96</f>
        <v>209.23843503937007</v>
      </c>
    </row>
    <row r="24" spans="1:14" ht="24" customHeight="1" x14ac:dyDescent="0.25">
      <c r="A24" s="855" t="s">
        <v>537</v>
      </c>
      <c r="B24" s="535" t="s">
        <v>360</v>
      </c>
      <c r="C24" s="856">
        <f>C126/1000000</f>
        <v>0.16972499999999999</v>
      </c>
      <c r="D24" s="856">
        <f>D126/1000000</f>
        <v>0.168046</v>
      </c>
      <c r="E24" s="854">
        <f>E126</f>
        <v>100.99913119026934</v>
      </c>
      <c r="F24" s="867">
        <f>F126/1000000</f>
        <v>2.3348000000000001E-2</v>
      </c>
      <c r="G24" s="867">
        <f>G126/1000000</f>
        <v>1.8765E-2</v>
      </c>
      <c r="H24" s="854">
        <f>H126</f>
        <v>124.42312816413536</v>
      </c>
      <c r="I24" s="856">
        <f>I126/1000000</f>
        <v>0.17541000000000001</v>
      </c>
      <c r="J24" s="856">
        <f>J126/1000000</f>
        <v>0.17629800000000001</v>
      </c>
      <c r="K24" s="854">
        <f>K126</f>
        <v>99.496307388626079</v>
      </c>
      <c r="L24" s="853">
        <f>L126/1000000</f>
        <v>5.5146000000000001E-2</v>
      </c>
      <c r="M24" s="853">
        <f>M126/1000000</f>
        <v>5.425E-2</v>
      </c>
      <c r="N24" s="854">
        <f>N126</f>
        <v>101.6516129032258</v>
      </c>
    </row>
    <row r="25" spans="1:14" ht="42.75" customHeight="1" thickBot="1" x14ac:dyDescent="0.3">
      <c r="A25" s="852" t="s">
        <v>538</v>
      </c>
      <c r="B25" s="535" t="s">
        <v>361</v>
      </c>
      <c r="C25" s="853">
        <f>C255/1000000</f>
        <v>1.1405608999999999</v>
      </c>
      <c r="D25" s="853">
        <f>D255/1000000</f>
        <v>1.2559910000000001</v>
      </c>
      <c r="E25" s="854">
        <f>E255</f>
        <v>90.809639559519127</v>
      </c>
      <c r="F25" s="853">
        <f>F255/1000000</f>
        <v>0.10167319999999999</v>
      </c>
      <c r="G25" s="853">
        <f>G255/1000000</f>
        <v>0.18998999999999999</v>
      </c>
      <c r="H25" s="854">
        <f>H255</f>
        <v>53.515027106689828</v>
      </c>
      <c r="I25" s="853">
        <f>I255/1000000</f>
        <v>0.9672695</v>
      </c>
      <c r="J25" s="853">
        <f>J255/1000000</f>
        <v>1.150428</v>
      </c>
      <c r="K25" s="854">
        <f>K255</f>
        <v>84.079099256972185</v>
      </c>
      <c r="L25" s="853">
        <f>L255/1000000</f>
        <v>1.9650999999999998E-2</v>
      </c>
      <c r="M25" s="856">
        <f>M255/1000000</f>
        <v>1.0558E-2</v>
      </c>
      <c r="N25" s="854">
        <f>N255</f>
        <v>186.12426595946201</v>
      </c>
    </row>
    <row r="26" spans="1:14" s="556" customFormat="1" ht="30" customHeight="1" thickBot="1" x14ac:dyDescent="0.3">
      <c r="A26" s="857">
        <v>2</v>
      </c>
      <c r="B26" s="462" t="s">
        <v>322</v>
      </c>
      <c r="C26" s="526">
        <f>C267/1000000</f>
        <v>195.001891</v>
      </c>
      <c r="D26" s="526">
        <f>D267/1000000</f>
        <v>165.57039931400001</v>
      </c>
      <c r="E26" s="526">
        <f t="shared" ref="E26" si="4">C26/D26*100</f>
        <v>117.77581730064195</v>
      </c>
      <c r="F26" s="526">
        <f>F267/1000000</f>
        <v>20.005947151000001</v>
      </c>
      <c r="G26" s="526">
        <f>G267/1000000</f>
        <v>25.206956725000001</v>
      </c>
      <c r="H26" s="526">
        <f t="shared" ref="H26" si="5">F26/G26*100</f>
        <v>79.366769139403132</v>
      </c>
      <c r="I26" s="526">
        <f>I267/1000000</f>
        <v>195.001891</v>
      </c>
      <c r="J26" s="526">
        <f>J267/1000000</f>
        <v>165.57039931400001</v>
      </c>
      <c r="K26" s="526">
        <f t="shared" ref="K26" si="6">I26/J26*100</f>
        <v>117.77581730064195</v>
      </c>
      <c r="L26" s="526">
        <f>L267/1000000</f>
        <v>28.472232999999999</v>
      </c>
      <c r="M26" s="526">
        <f>M267/1000000</f>
        <v>26.303567000000001</v>
      </c>
      <c r="N26" s="526">
        <f t="shared" ref="N26" si="7">L26/M26*100</f>
        <v>108.24476011181297</v>
      </c>
    </row>
    <row r="27" spans="1:14" s="556" customFormat="1" ht="27" customHeight="1" thickBot="1" x14ac:dyDescent="0.3">
      <c r="A27" s="857">
        <v>3</v>
      </c>
      <c r="B27" s="462" t="s">
        <v>321</v>
      </c>
      <c r="C27" s="558">
        <f>C287/1000000</f>
        <v>0</v>
      </c>
      <c r="D27" s="558">
        <f>D287/1000000</f>
        <v>0</v>
      </c>
      <c r="E27" s="529" t="e">
        <f>C27/D27*100</f>
        <v>#DIV/0!</v>
      </c>
      <c r="F27" s="559">
        <f>F287/1000000</f>
        <v>0</v>
      </c>
      <c r="G27" s="559">
        <f>G287/1000000</f>
        <v>0</v>
      </c>
      <c r="H27" s="529" t="e">
        <f>F27/G27*100</f>
        <v>#DIV/0!</v>
      </c>
      <c r="I27" s="558">
        <f>I287/1000000</f>
        <v>0</v>
      </c>
      <c r="J27" s="558">
        <f>J287/1000000</f>
        <v>0</v>
      </c>
      <c r="K27" s="529" t="e">
        <f>I27/J27*100</f>
        <v>#DIV/0!</v>
      </c>
      <c r="L27" s="558">
        <f>L287/1000000</f>
        <v>0</v>
      </c>
      <c r="M27" s="558">
        <f>M287/1000000</f>
        <v>0</v>
      </c>
      <c r="N27" s="529" t="e">
        <f>L27/M27*100</f>
        <v>#DIV/0!</v>
      </c>
    </row>
    <row r="28" spans="1:14" ht="33" customHeight="1" thickBot="1" x14ac:dyDescent="0.3">
      <c r="A28" s="460">
        <v>4</v>
      </c>
      <c r="B28" s="461" t="s">
        <v>517</v>
      </c>
      <c r="C28" s="477">
        <f>C295/1000000</f>
        <v>0</v>
      </c>
      <c r="D28" s="477">
        <f>D295/1000000</f>
        <v>0</v>
      </c>
      <c r="E28" s="533" t="e">
        <f>C28/D28*100</f>
        <v>#DIV/0!</v>
      </c>
      <c r="F28" s="477">
        <f>F295/1000000</f>
        <v>0</v>
      </c>
      <c r="G28" s="477">
        <f>G295/1000000</f>
        <v>0</v>
      </c>
      <c r="H28" s="533" t="e">
        <f>F28/G28*100</f>
        <v>#DIV/0!</v>
      </c>
      <c r="I28" s="477">
        <f>I295/1000000</f>
        <v>0</v>
      </c>
      <c r="J28" s="477">
        <f>J295/1000000</f>
        <v>0</v>
      </c>
      <c r="K28" s="533" t="e">
        <f>I28/J28*100</f>
        <v>#DIV/0!</v>
      </c>
      <c r="L28" s="459">
        <f>L295</f>
        <v>0</v>
      </c>
      <c r="M28" s="459">
        <f>M295</f>
        <v>0</v>
      </c>
      <c r="N28" s="410">
        <v>0</v>
      </c>
    </row>
    <row r="29" spans="1:14" ht="91.5" customHeight="1" x14ac:dyDescent="0.25"/>
    <row r="30" spans="1:14" x14ac:dyDescent="0.25">
      <c r="A30" s="941" t="s">
        <v>817</v>
      </c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s="560" customFormat="1" ht="42" customHeight="1" thickBot="1" x14ac:dyDescent="0.3">
      <c r="A31" s="1076"/>
      <c r="B31" s="1076"/>
      <c r="C31" s="1076"/>
      <c r="D31" s="1076"/>
      <c r="E31" s="1076"/>
      <c r="F31" s="1076"/>
      <c r="G31" s="1076"/>
      <c r="H31" s="1076"/>
      <c r="I31" s="1076"/>
      <c r="J31" s="1076"/>
      <c r="K31" s="1076"/>
      <c r="L31" s="1076"/>
      <c r="M31" s="1076"/>
      <c r="N31" s="1076"/>
    </row>
    <row r="32" spans="1:14" x14ac:dyDescent="0.25">
      <c r="A32" s="1037" t="s">
        <v>1</v>
      </c>
      <c r="B32" s="1023" t="s">
        <v>338</v>
      </c>
      <c r="C32" s="1040" t="s">
        <v>3</v>
      </c>
      <c r="D32" s="1041"/>
      <c r="E32" s="1041"/>
      <c r="F32" s="1041"/>
      <c r="G32" s="1042"/>
      <c r="H32" s="1040" t="s">
        <v>4</v>
      </c>
      <c r="I32" s="1041"/>
      <c r="J32" s="1041"/>
      <c r="K32" s="1042"/>
      <c r="L32" s="484"/>
      <c r="M32" s="484" t="s">
        <v>5</v>
      </c>
      <c r="N32" s="484"/>
    </row>
    <row r="33" spans="1:16" ht="63" customHeight="1" thickBot="1" x14ac:dyDescent="0.3">
      <c r="A33" s="1038"/>
      <c r="B33" s="1039"/>
      <c r="C33" s="600" t="s">
        <v>812</v>
      </c>
      <c r="D33" s="600" t="s">
        <v>813</v>
      </c>
      <c r="E33" s="600" t="s">
        <v>323</v>
      </c>
      <c r="F33" s="600" t="s">
        <v>814</v>
      </c>
      <c r="G33" s="600" t="s">
        <v>815</v>
      </c>
      <c r="H33" s="600" t="s">
        <v>323</v>
      </c>
      <c r="I33" s="600" t="s">
        <v>812</v>
      </c>
      <c r="J33" s="600" t="s">
        <v>818</v>
      </c>
      <c r="K33" s="600" t="s">
        <v>323</v>
      </c>
      <c r="L33" s="600" t="s">
        <v>812</v>
      </c>
      <c r="M33" s="600" t="s">
        <v>813</v>
      </c>
      <c r="N33" s="600" t="s">
        <v>323</v>
      </c>
    </row>
    <row r="34" spans="1:16" ht="15.75" customHeight="1" thickBot="1" x14ac:dyDescent="0.3">
      <c r="A34" s="487">
        <v>1</v>
      </c>
      <c r="B34" s="488">
        <v>2</v>
      </c>
      <c r="C34" s="488">
        <v>3</v>
      </c>
      <c r="D34" s="489">
        <v>4</v>
      </c>
      <c r="E34" s="490">
        <v>5</v>
      </c>
      <c r="F34" s="489">
        <v>6</v>
      </c>
      <c r="G34" s="489">
        <v>7</v>
      </c>
      <c r="H34" s="489">
        <v>8</v>
      </c>
      <c r="I34" s="489">
        <v>9</v>
      </c>
      <c r="J34" s="489">
        <v>10</v>
      </c>
      <c r="K34" s="489">
        <v>11</v>
      </c>
      <c r="L34" s="489">
        <v>12</v>
      </c>
      <c r="M34" s="489">
        <v>13</v>
      </c>
      <c r="N34" s="489">
        <v>14</v>
      </c>
    </row>
    <row r="35" spans="1:16" ht="15" customHeight="1" x14ac:dyDescent="0.25">
      <c r="A35" s="1043" t="s">
        <v>741</v>
      </c>
      <c r="B35" s="1044" t="s">
        <v>78</v>
      </c>
      <c r="C35" s="464">
        <f>C36+C56+C70</f>
        <v>5497399</v>
      </c>
      <c r="D35" s="464">
        <f>D36+D56+D70</f>
        <v>5802405</v>
      </c>
      <c r="E35" s="465">
        <f>C35/D35*100</f>
        <v>94.743455515428522</v>
      </c>
      <c r="F35" s="464">
        <f>F36+F56+F70</f>
        <v>541242</v>
      </c>
      <c r="G35" s="464">
        <f>G36+G56+G70</f>
        <v>759616</v>
      </c>
      <c r="H35" s="465">
        <f>F35/G35*100</f>
        <v>71.252053669222349</v>
      </c>
      <c r="I35" s="464">
        <f>I36+I56+I70</f>
        <v>5594290</v>
      </c>
      <c r="J35" s="464">
        <f>J36+J56+J70</f>
        <v>6624035</v>
      </c>
      <c r="K35" s="465">
        <f>I35/J35*100</f>
        <v>84.454414869486655</v>
      </c>
      <c r="L35" s="464">
        <f>L36+L56+L70</f>
        <v>2753964</v>
      </c>
      <c r="M35" s="464">
        <f>M36+M56+M70</f>
        <v>3389121</v>
      </c>
      <c r="N35" s="465">
        <f>L35/M35*100</f>
        <v>81.25894590367237</v>
      </c>
    </row>
    <row r="36" spans="1:16" ht="17.25" x14ac:dyDescent="0.25">
      <c r="A36" s="1033" t="s">
        <v>740</v>
      </c>
      <c r="B36" s="1034"/>
      <c r="C36" s="254">
        <f>SUM(C37:C54)</f>
        <v>1925181</v>
      </c>
      <c r="D36" s="254">
        <f>SUM(D37:D54)</f>
        <v>2339418</v>
      </c>
      <c r="E36" s="452">
        <f>C36/D36*100</f>
        <v>82.293160093664312</v>
      </c>
      <c r="F36" s="254">
        <f>SUM(F37:F54)</f>
        <v>216835</v>
      </c>
      <c r="G36" s="254">
        <f>SUM(G37:G54)</f>
        <v>184740</v>
      </c>
      <c r="H36" s="254">
        <f>F36/G36*100</f>
        <v>117.37306484789434</v>
      </c>
      <c r="I36" s="254">
        <f>SUM(I37:I54)</f>
        <v>1874569</v>
      </c>
      <c r="J36" s="254">
        <f>SUM(J37:J54)</f>
        <v>2392892</v>
      </c>
      <c r="K36" s="254">
        <f>I36/J36*100</f>
        <v>78.339055837037364</v>
      </c>
      <c r="L36" s="254">
        <f>SUM(L37:L54)</f>
        <v>813300</v>
      </c>
      <c r="M36" s="254">
        <f>SUM(M37:M54)</f>
        <v>1100073</v>
      </c>
      <c r="N36" s="254">
        <f>L36/M36*100</f>
        <v>73.931457276017127</v>
      </c>
    </row>
    <row r="37" spans="1:16" ht="17.25" x14ac:dyDescent="0.25">
      <c r="A37" s="253">
        <v>1</v>
      </c>
      <c r="B37" s="544" t="s">
        <v>577</v>
      </c>
      <c r="C37" s="247">
        <v>90389</v>
      </c>
      <c r="D37" s="247">
        <v>121632</v>
      </c>
      <c r="E37" s="425">
        <f>C37/D37*100</f>
        <v>74.313503025519594</v>
      </c>
      <c r="F37" s="247">
        <v>7177</v>
      </c>
      <c r="G37" s="247">
        <v>10678</v>
      </c>
      <c r="H37" s="425">
        <f>F37/G37*100</f>
        <v>67.21296122869451</v>
      </c>
      <c r="I37" s="247">
        <v>88806</v>
      </c>
      <c r="J37" s="247">
        <v>109549</v>
      </c>
      <c r="K37" s="425">
        <f>I37/J37*100</f>
        <v>81.065094158778265</v>
      </c>
      <c r="L37" s="247">
        <v>825</v>
      </c>
      <c r="M37" s="247">
        <v>1672</v>
      </c>
      <c r="N37" s="425">
        <f>L37/M37*100</f>
        <v>49.34210526315789</v>
      </c>
      <c r="O37" s="126">
        <v>71</v>
      </c>
      <c r="P37" s="126">
        <v>118</v>
      </c>
    </row>
    <row r="38" spans="1:16" s="806" customFormat="1" ht="17.25" x14ac:dyDescent="0.25">
      <c r="A38" s="793">
        <v>2</v>
      </c>
      <c r="B38" s="665" t="s">
        <v>578</v>
      </c>
      <c r="C38" s="666">
        <v>287650</v>
      </c>
      <c r="D38" s="666">
        <v>299448</v>
      </c>
      <c r="E38" s="667">
        <f t="shared" ref="E38:E54" si="8">C38/D38*100</f>
        <v>96.060083887686673</v>
      </c>
      <c r="F38" s="666">
        <v>38768</v>
      </c>
      <c r="G38" s="666">
        <v>0</v>
      </c>
      <c r="H38" s="667" t="e">
        <f t="shared" ref="H38:H54" si="9">F38/G38*100</f>
        <v>#DIV/0!</v>
      </c>
      <c r="I38" s="666">
        <v>287650</v>
      </c>
      <c r="J38" s="666">
        <v>299448</v>
      </c>
      <c r="K38" s="667">
        <f t="shared" ref="K38:K54" si="10">I38/J38*100</f>
        <v>96.060083887686673</v>
      </c>
      <c r="L38" s="666">
        <v>81813</v>
      </c>
      <c r="M38" s="666">
        <v>170885</v>
      </c>
      <c r="N38" s="667">
        <f t="shared" ref="N38:N54" si="11">L38/M38*100</f>
        <v>47.876056997395914</v>
      </c>
      <c r="O38" s="806">
        <v>57</v>
      </c>
      <c r="P38" s="806">
        <v>211</v>
      </c>
    </row>
    <row r="39" spans="1:16" ht="17.25" x14ac:dyDescent="0.25">
      <c r="A39" s="253">
        <v>3</v>
      </c>
      <c r="B39" s="544" t="s">
        <v>579</v>
      </c>
      <c r="C39" s="247">
        <v>42664</v>
      </c>
      <c r="D39" s="247">
        <v>69181</v>
      </c>
      <c r="E39" s="425">
        <f t="shared" si="8"/>
        <v>61.670111735881235</v>
      </c>
      <c r="F39" s="247">
        <v>0</v>
      </c>
      <c r="G39" s="247">
        <v>6484</v>
      </c>
      <c r="H39" s="425">
        <f t="shared" si="9"/>
        <v>0</v>
      </c>
      <c r="I39" s="247">
        <v>55079</v>
      </c>
      <c r="J39" s="247">
        <v>106784</v>
      </c>
      <c r="K39" s="425">
        <f t="shared" si="10"/>
        <v>51.579824692837882</v>
      </c>
      <c r="L39" s="247">
        <v>1907</v>
      </c>
      <c r="M39" s="247">
        <v>0</v>
      </c>
      <c r="N39" s="425" t="e">
        <f t="shared" si="11"/>
        <v>#DIV/0!</v>
      </c>
      <c r="O39" s="126">
        <v>21</v>
      </c>
      <c r="P39" s="126">
        <v>90</v>
      </c>
    </row>
    <row r="40" spans="1:16" ht="34.5" x14ac:dyDescent="0.25">
      <c r="A40" s="253">
        <v>4</v>
      </c>
      <c r="B40" s="544" t="s">
        <v>580</v>
      </c>
      <c r="C40" s="247">
        <v>30000</v>
      </c>
      <c r="D40" s="247">
        <v>24230</v>
      </c>
      <c r="E40" s="425">
        <f t="shared" si="8"/>
        <v>123.81345439537763</v>
      </c>
      <c r="F40" s="247">
        <v>2520</v>
      </c>
      <c r="G40" s="247">
        <v>0</v>
      </c>
      <c r="H40" s="425" t="e">
        <f t="shared" si="9"/>
        <v>#DIV/0!</v>
      </c>
      <c r="I40" s="247">
        <v>24231</v>
      </c>
      <c r="J40" s="247">
        <v>27909</v>
      </c>
      <c r="K40" s="425">
        <f t="shared" si="10"/>
        <v>86.821455444480279</v>
      </c>
      <c r="L40" s="247">
        <v>24231</v>
      </c>
      <c r="M40" s="247">
        <v>27909</v>
      </c>
      <c r="N40" s="425">
        <f t="shared" si="11"/>
        <v>86.821455444480279</v>
      </c>
      <c r="O40" s="126">
        <v>13</v>
      </c>
      <c r="P40" s="126">
        <v>60</v>
      </c>
    </row>
    <row r="41" spans="1:16" ht="34.5" x14ac:dyDescent="0.25">
      <c r="A41" s="253">
        <v>5</v>
      </c>
      <c r="B41" s="544" t="s">
        <v>581</v>
      </c>
      <c r="C41" s="247">
        <v>53916</v>
      </c>
      <c r="D41" s="247">
        <v>41612</v>
      </c>
      <c r="E41" s="425">
        <f t="shared" si="8"/>
        <v>129.56839373257714</v>
      </c>
      <c r="F41" s="247">
        <v>8833</v>
      </c>
      <c r="G41" s="247">
        <v>2470</v>
      </c>
      <c r="H41" s="425">
        <f t="shared" si="9"/>
        <v>357.61133603238864</v>
      </c>
      <c r="I41" s="247">
        <v>54072</v>
      </c>
      <c r="J41" s="247">
        <v>55942</v>
      </c>
      <c r="K41" s="425">
        <f t="shared" si="10"/>
        <v>96.65725215401666</v>
      </c>
      <c r="L41" s="247">
        <v>5380</v>
      </c>
      <c r="M41" s="247">
        <v>10049</v>
      </c>
      <c r="N41" s="425">
        <f t="shared" si="11"/>
        <v>53.537665439347201</v>
      </c>
      <c r="O41" s="126">
        <v>50</v>
      </c>
      <c r="P41" s="126">
        <v>65</v>
      </c>
    </row>
    <row r="42" spans="1:16" ht="17.25" x14ac:dyDescent="0.25">
      <c r="A42" s="253">
        <v>6</v>
      </c>
      <c r="B42" s="544" t="s">
        <v>582</v>
      </c>
      <c r="C42" s="247">
        <v>145381</v>
      </c>
      <c r="D42" s="247">
        <v>137312</v>
      </c>
      <c r="E42" s="425">
        <f t="shared" si="8"/>
        <v>105.87639827546028</v>
      </c>
      <c r="F42" s="247">
        <v>17565</v>
      </c>
      <c r="G42" s="247">
        <v>9414</v>
      </c>
      <c r="H42" s="425">
        <f t="shared" si="9"/>
        <v>186.58381134480561</v>
      </c>
      <c r="I42" s="247">
        <v>159729</v>
      </c>
      <c r="J42" s="247">
        <v>130901</v>
      </c>
      <c r="K42" s="425">
        <f t="shared" si="10"/>
        <v>122.02275001718857</v>
      </c>
      <c r="L42" s="282">
        <v>46310</v>
      </c>
      <c r="M42" s="247">
        <v>586</v>
      </c>
      <c r="N42" s="425">
        <f t="shared" si="11"/>
        <v>7902.7303754266213</v>
      </c>
      <c r="O42" s="126">
        <v>64</v>
      </c>
      <c r="P42" s="126">
        <v>85</v>
      </c>
    </row>
    <row r="43" spans="1:16" ht="17.25" x14ac:dyDescent="0.25">
      <c r="A43" s="253">
        <v>7</v>
      </c>
      <c r="B43" s="544" t="s">
        <v>583</v>
      </c>
      <c r="C43" s="247">
        <v>0</v>
      </c>
      <c r="D43" s="247">
        <v>0</v>
      </c>
      <c r="E43" s="425" t="e">
        <f t="shared" si="8"/>
        <v>#DIV/0!</v>
      </c>
      <c r="F43" s="247">
        <v>0</v>
      </c>
      <c r="G43" s="247">
        <v>0</v>
      </c>
      <c r="H43" s="425" t="e">
        <f t="shared" si="9"/>
        <v>#DIV/0!</v>
      </c>
      <c r="I43" s="247">
        <v>0</v>
      </c>
      <c r="J43" s="247">
        <v>0</v>
      </c>
      <c r="K43" s="425" t="e">
        <f t="shared" si="10"/>
        <v>#DIV/0!</v>
      </c>
      <c r="L43" s="247">
        <v>0</v>
      </c>
      <c r="M43" s="247">
        <v>0</v>
      </c>
      <c r="N43" s="425" t="e">
        <f t="shared" si="11"/>
        <v>#DIV/0!</v>
      </c>
      <c r="O43" s="126">
        <v>0</v>
      </c>
      <c r="P43" s="126">
        <v>0</v>
      </c>
    </row>
    <row r="44" spans="1:16" ht="51.75" x14ac:dyDescent="0.25">
      <c r="A44" s="253">
        <v>8</v>
      </c>
      <c r="B44" s="544" t="s">
        <v>584</v>
      </c>
      <c r="C44" s="247">
        <v>112465</v>
      </c>
      <c r="D44" s="247">
        <v>139329</v>
      </c>
      <c r="E44" s="425">
        <f t="shared" si="8"/>
        <v>80.719017577101681</v>
      </c>
      <c r="F44" s="247">
        <v>21512</v>
      </c>
      <c r="G44" s="247">
        <v>12416</v>
      </c>
      <c r="H44" s="425">
        <f t="shared" si="9"/>
        <v>173.26030927835052</v>
      </c>
      <c r="I44" s="247">
        <v>112701</v>
      </c>
      <c r="J44" s="247">
        <v>139091</v>
      </c>
      <c r="K44" s="425">
        <f t="shared" si="10"/>
        <v>81.026809786398829</v>
      </c>
      <c r="L44" s="247">
        <v>0</v>
      </c>
      <c r="M44" s="247">
        <v>0</v>
      </c>
      <c r="N44" s="425" t="e">
        <f t="shared" si="11"/>
        <v>#DIV/0!</v>
      </c>
      <c r="O44" s="126">
        <v>37</v>
      </c>
      <c r="P44" s="126">
        <v>97</v>
      </c>
    </row>
    <row r="45" spans="1:16" ht="17.25" x14ac:dyDescent="0.25">
      <c r="A45" s="253">
        <v>9</v>
      </c>
      <c r="B45" s="544" t="s">
        <v>585</v>
      </c>
      <c r="C45" s="247">
        <v>133454</v>
      </c>
      <c r="D45" s="247">
        <v>290211</v>
      </c>
      <c r="E45" s="425">
        <f t="shared" si="8"/>
        <v>45.985162519683954</v>
      </c>
      <c r="F45" s="247">
        <v>9940</v>
      </c>
      <c r="G45" s="247">
        <v>19617</v>
      </c>
      <c r="H45" s="425">
        <f t="shared" si="9"/>
        <v>50.670336952643112</v>
      </c>
      <c r="I45" s="247">
        <v>142093</v>
      </c>
      <c r="J45" s="247">
        <v>271061</v>
      </c>
      <c r="K45" s="425">
        <f t="shared" si="10"/>
        <v>52.42104175812824</v>
      </c>
      <c r="L45" s="247">
        <v>0</v>
      </c>
      <c r="M45" s="247">
        <v>0</v>
      </c>
      <c r="N45" s="425" t="e">
        <f t="shared" si="11"/>
        <v>#DIV/0!</v>
      </c>
      <c r="O45" s="126">
        <v>42</v>
      </c>
      <c r="P45" s="126">
        <v>135</v>
      </c>
    </row>
    <row r="46" spans="1:16" ht="17.25" x14ac:dyDescent="0.25">
      <c r="A46" s="253">
        <v>10</v>
      </c>
      <c r="B46" s="544" t="s">
        <v>381</v>
      </c>
      <c r="C46" s="247">
        <v>715882</v>
      </c>
      <c r="D46" s="247">
        <v>786219</v>
      </c>
      <c r="E46" s="425">
        <f t="shared" si="8"/>
        <v>91.053764917917263</v>
      </c>
      <c r="F46" s="247">
        <v>79344</v>
      </c>
      <c r="G46" s="247">
        <v>90326</v>
      </c>
      <c r="H46" s="425">
        <f t="shared" si="9"/>
        <v>87.841817416912065</v>
      </c>
      <c r="I46" s="247">
        <v>632745</v>
      </c>
      <c r="J46" s="247">
        <v>804203</v>
      </c>
      <c r="K46" s="425">
        <f t="shared" si="10"/>
        <v>78.679761204571491</v>
      </c>
      <c r="L46" s="247">
        <v>630766</v>
      </c>
      <c r="M46" s="247">
        <v>801544</v>
      </c>
      <c r="N46" s="425">
        <f t="shared" si="11"/>
        <v>78.693870829299456</v>
      </c>
      <c r="O46" s="126">
        <v>92</v>
      </c>
      <c r="P46" s="126">
        <v>84</v>
      </c>
    </row>
    <row r="47" spans="1:16" ht="17.25" x14ac:dyDescent="0.25">
      <c r="A47" s="253">
        <v>11</v>
      </c>
      <c r="B47" s="544" t="s">
        <v>586</v>
      </c>
      <c r="C47" s="247">
        <v>0</v>
      </c>
      <c r="D47" s="247">
        <v>0</v>
      </c>
      <c r="E47" s="425" t="e">
        <f t="shared" si="8"/>
        <v>#DIV/0!</v>
      </c>
      <c r="F47" s="247">
        <v>0</v>
      </c>
      <c r="G47" s="247">
        <v>0</v>
      </c>
      <c r="H47" s="425" t="e">
        <f>F47/G47*100</f>
        <v>#DIV/0!</v>
      </c>
      <c r="I47" s="247">
        <v>0</v>
      </c>
      <c r="J47" s="247">
        <v>0</v>
      </c>
      <c r="K47" s="425" t="e">
        <f t="shared" si="10"/>
        <v>#DIV/0!</v>
      </c>
      <c r="L47" s="247">
        <v>0</v>
      </c>
      <c r="M47" s="247">
        <v>0</v>
      </c>
      <c r="N47" s="425" t="e">
        <f t="shared" si="11"/>
        <v>#DIV/0!</v>
      </c>
      <c r="O47" s="126">
        <v>0</v>
      </c>
      <c r="P47" s="126">
        <v>0</v>
      </c>
    </row>
    <row r="48" spans="1:16" ht="17.25" x14ac:dyDescent="0.25">
      <c r="A48" s="253">
        <v>12</v>
      </c>
      <c r="B48" s="544" t="s">
        <v>587</v>
      </c>
      <c r="C48" s="247">
        <v>42143</v>
      </c>
      <c r="D48" s="247">
        <v>81984</v>
      </c>
      <c r="E48" s="425">
        <f t="shared" si="8"/>
        <v>51.403932474629201</v>
      </c>
      <c r="F48" s="247">
        <v>106</v>
      </c>
      <c r="G48" s="247">
        <v>14222</v>
      </c>
      <c r="H48" s="425">
        <f>F48/G48*100</f>
        <v>0.74532414568977634</v>
      </c>
      <c r="I48" s="247">
        <v>42392</v>
      </c>
      <c r="J48" s="247">
        <v>94921</v>
      </c>
      <c r="K48" s="425">
        <f t="shared" si="10"/>
        <v>44.660296457053761</v>
      </c>
      <c r="L48" s="247">
        <v>21307</v>
      </c>
      <c r="M48" s="247">
        <v>85852</v>
      </c>
      <c r="N48" s="425">
        <f t="shared" si="11"/>
        <v>24.818291944276197</v>
      </c>
      <c r="O48" s="126">
        <v>22</v>
      </c>
      <c r="P48" s="126">
        <v>121</v>
      </c>
    </row>
    <row r="49" spans="1:16" ht="34.5" x14ac:dyDescent="0.25">
      <c r="A49" s="253">
        <v>13</v>
      </c>
      <c r="B49" s="544" t="s">
        <v>588</v>
      </c>
      <c r="C49" s="247">
        <v>235643</v>
      </c>
      <c r="D49" s="247">
        <v>305000</v>
      </c>
      <c r="E49" s="425">
        <f t="shared" si="8"/>
        <v>77.259999999999991</v>
      </c>
      <c r="F49" s="247">
        <v>28623</v>
      </c>
      <c r="G49" s="247">
        <v>12665</v>
      </c>
      <c r="H49" s="425">
        <f>F49/G49*100</f>
        <v>226.000789577576</v>
      </c>
      <c r="I49" s="247">
        <v>242604</v>
      </c>
      <c r="J49" s="247">
        <v>310601</v>
      </c>
      <c r="K49" s="425">
        <f t="shared" si="10"/>
        <v>78.107926246212983</v>
      </c>
      <c r="L49" s="247">
        <v>0</v>
      </c>
      <c r="M49" s="247">
        <v>0</v>
      </c>
      <c r="N49" s="425" t="e">
        <f t="shared" si="11"/>
        <v>#DIV/0!</v>
      </c>
      <c r="O49" s="126">
        <v>44</v>
      </c>
      <c r="P49" s="126">
        <v>150</v>
      </c>
    </row>
    <row r="50" spans="1:16" ht="17.25" x14ac:dyDescent="0.25">
      <c r="A50" s="253">
        <v>14</v>
      </c>
      <c r="B50" s="544" t="s">
        <v>589</v>
      </c>
      <c r="C50" s="247">
        <v>19728</v>
      </c>
      <c r="D50" s="247">
        <v>21497</v>
      </c>
      <c r="E50" s="425">
        <f t="shared" si="8"/>
        <v>91.770944782992984</v>
      </c>
      <c r="F50" s="247">
        <v>1696</v>
      </c>
      <c r="G50" s="247">
        <v>2106</v>
      </c>
      <c r="H50" s="425">
        <f t="shared" si="9"/>
        <v>80.5318138651472</v>
      </c>
      <c r="I50" s="247">
        <v>16601</v>
      </c>
      <c r="J50" s="247">
        <v>20719</v>
      </c>
      <c r="K50" s="425">
        <f t="shared" si="10"/>
        <v>80.12452338433323</v>
      </c>
      <c r="L50" s="247">
        <v>761</v>
      </c>
      <c r="M50" s="247">
        <v>1576</v>
      </c>
      <c r="N50" s="425">
        <f t="shared" si="11"/>
        <v>48.286802030456855</v>
      </c>
      <c r="O50" s="126">
        <v>15</v>
      </c>
      <c r="P50" s="126">
        <v>80</v>
      </c>
    </row>
    <row r="51" spans="1:16" ht="17.25" x14ac:dyDescent="0.25">
      <c r="A51" s="253">
        <v>15</v>
      </c>
      <c r="B51" s="544" t="s">
        <v>760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16</v>
      </c>
      <c r="B52" s="544" t="s">
        <v>591</v>
      </c>
      <c r="C52" s="247">
        <v>0</v>
      </c>
      <c r="D52" s="247">
        <v>0</v>
      </c>
      <c r="E52" s="425" t="e">
        <f t="shared" si="8"/>
        <v>#DIV/0!</v>
      </c>
      <c r="F52" s="247">
        <v>0</v>
      </c>
      <c r="G52" s="247">
        <v>0</v>
      </c>
      <c r="H52" s="425" t="e">
        <f t="shared" si="9"/>
        <v>#DIV/0!</v>
      </c>
      <c r="I52" s="247">
        <v>0</v>
      </c>
      <c r="J52" s="247">
        <v>0</v>
      </c>
      <c r="K52" s="425" t="e">
        <f t="shared" si="10"/>
        <v>#DIV/0!</v>
      </c>
      <c r="L52" s="247">
        <v>0</v>
      </c>
      <c r="M52" s="247">
        <v>0</v>
      </c>
      <c r="N52" s="425" t="e">
        <f t="shared" si="11"/>
        <v>#DIV/0!</v>
      </c>
      <c r="O52" s="126">
        <v>0</v>
      </c>
      <c r="P52" s="126">
        <v>0</v>
      </c>
    </row>
    <row r="53" spans="1:16" ht="17.25" x14ac:dyDescent="0.25">
      <c r="A53" s="253">
        <v>17</v>
      </c>
      <c r="B53" s="544" t="s">
        <v>761</v>
      </c>
      <c r="C53" s="247">
        <v>15866</v>
      </c>
      <c r="D53" s="247">
        <v>21763</v>
      </c>
      <c r="E53" s="425">
        <f t="shared" si="8"/>
        <v>72.903551900013781</v>
      </c>
      <c r="F53" s="247">
        <v>751</v>
      </c>
      <c r="G53" s="247">
        <v>4342</v>
      </c>
      <c r="H53" s="425">
        <f t="shared" si="9"/>
        <v>17.296176877015203</v>
      </c>
      <c r="I53" s="247">
        <v>15866</v>
      </c>
      <c r="J53" s="247">
        <v>21763</v>
      </c>
      <c r="K53" s="425">
        <f t="shared" si="10"/>
        <v>72.903551900013781</v>
      </c>
      <c r="L53" s="247">
        <v>0</v>
      </c>
      <c r="M53" s="247">
        <v>0</v>
      </c>
      <c r="N53" s="425" t="e">
        <f t="shared" si="11"/>
        <v>#DIV/0!</v>
      </c>
      <c r="O53" s="126">
        <v>4</v>
      </c>
      <c r="P53" s="126">
        <v>66</v>
      </c>
    </row>
    <row r="54" spans="1:16" s="668" customFormat="1" ht="17.25" x14ac:dyDescent="0.25">
      <c r="A54" s="664">
        <v>18</v>
      </c>
      <c r="B54" s="665" t="s">
        <v>593</v>
      </c>
      <c r="C54" s="666">
        <v>0</v>
      </c>
      <c r="D54" s="666">
        <v>0</v>
      </c>
      <c r="E54" s="667" t="e">
        <f t="shared" si="8"/>
        <v>#DIV/0!</v>
      </c>
      <c r="F54" s="666">
        <v>0</v>
      </c>
      <c r="G54" s="666">
        <v>0</v>
      </c>
      <c r="H54" s="667" t="e">
        <f t="shared" si="9"/>
        <v>#DIV/0!</v>
      </c>
      <c r="I54" s="666">
        <v>0</v>
      </c>
      <c r="J54" s="666">
        <v>0</v>
      </c>
      <c r="K54" s="667" t="e">
        <f t="shared" si="10"/>
        <v>#DIV/0!</v>
      </c>
      <c r="L54" s="666">
        <v>0</v>
      </c>
      <c r="M54" s="666">
        <v>0</v>
      </c>
      <c r="N54" s="667" t="e">
        <f t="shared" si="11"/>
        <v>#DIV/0!</v>
      </c>
      <c r="P54" s="668">
        <v>87</v>
      </c>
    </row>
    <row r="55" spans="1:16" s="561" customFormat="1" x14ac:dyDescent="0.25"/>
    <row r="56" spans="1:16" ht="17.25" x14ac:dyDescent="0.25">
      <c r="A56" s="1033" t="s">
        <v>739</v>
      </c>
      <c r="B56" s="1034"/>
      <c r="C56" s="450">
        <f>SUM(C57:C68)</f>
        <v>2217713</v>
      </c>
      <c r="D56" s="450">
        <f>SUM(D57:D68)</f>
        <v>2295357</v>
      </c>
      <c r="E56" s="453">
        <f>C56/D56*100</f>
        <v>96.617345362834627</v>
      </c>
      <c r="F56" s="450">
        <f>SUM(F57:F68)</f>
        <v>234220</v>
      </c>
      <c r="G56" s="450">
        <f>SUM(G57:G68)</f>
        <v>416855</v>
      </c>
      <c r="H56" s="453">
        <f>F56/G56*100</f>
        <v>56.187403293711249</v>
      </c>
      <c r="I56" s="450">
        <f>SUM(I57:I68)</f>
        <v>2294417</v>
      </c>
      <c r="J56" s="450">
        <f>SUM(J57:J68)</f>
        <v>2385656</v>
      </c>
      <c r="K56" s="453">
        <f>I56/J56*100</f>
        <v>96.175517341980566</v>
      </c>
      <c r="L56" s="450">
        <f>SUM(L57:L68)</f>
        <v>1253450</v>
      </c>
      <c r="M56" s="450">
        <f>SUM(M57:M68)</f>
        <v>1387693</v>
      </c>
      <c r="N56" s="453">
        <f>L56/M56*100</f>
        <v>90.326174449247773</v>
      </c>
    </row>
    <row r="57" spans="1:16" ht="17.25" x14ac:dyDescent="0.25">
      <c r="A57" s="253">
        <v>1</v>
      </c>
      <c r="B57" s="544" t="s">
        <v>594</v>
      </c>
      <c r="C57" s="247">
        <v>352520</v>
      </c>
      <c r="D57" s="247">
        <v>479083</v>
      </c>
      <c r="E57" s="425">
        <f t="shared" ref="E57:E65" si="12">C57/D57*100</f>
        <v>73.582239403193185</v>
      </c>
      <c r="F57" s="247">
        <v>9539</v>
      </c>
      <c r="G57" s="247">
        <v>25851</v>
      </c>
      <c r="H57" s="425">
        <f t="shared" ref="H57:H68" si="13">F57/G57*100</f>
        <v>36.899926501876138</v>
      </c>
      <c r="I57" s="247">
        <v>378621</v>
      </c>
      <c r="J57" s="247">
        <v>495891</v>
      </c>
      <c r="K57" s="425">
        <f t="shared" ref="K57:K68" si="14">I57/J57*100</f>
        <v>76.351657924826227</v>
      </c>
      <c r="L57" s="247">
        <v>373678</v>
      </c>
      <c r="M57" s="247">
        <v>491509</v>
      </c>
      <c r="N57" s="247">
        <f t="shared" ref="N57:N68" si="15">L57/M57*100</f>
        <v>76.026685167514742</v>
      </c>
      <c r="O57" s="126">
        <v>138</v>
      </c>
      <c r="P57" s="126">
        <v>94</v>
      </c>
    </row>
    <row r="58" spans="1:16" ht="17.25" x14ac:dyDescent="0.25">
      <c r="A58" s="253">
        <v>2</v>
      </c>
      <c r="B58" s="544" t="s">
        <v>595</v>
      </c>
      <c r="C58" s="247">
        <v>78782</v>
      </c>
      <c r="D58" s="247">
        <v>108649</v>
      </c>
      <c r="E58" s="425">
        <f t="shared" si="12"/>
        <v>72.510561533009962</v>
      </c>
      <c r="F58" s="247">
        <v>6601</v>
      </c>
      <c r="G58" s="247">
        <v>4562</v>
      </c>
      <c r="H58" s="425">
        <f t="shared" si="13"/>
        <v>144.69530907496713</v>
      </c>
      <c r="I58" s="247">
        <v>76795</v>
      </c>
      <c r="J58" s="247">
        <v>88862</v>
      </c>
      <c r="K58" s="425">
        <f t="shared" si="14"/>
        <v>86.420517206454946</v>
      </c>
      <c r="L58" s="247">
        <v>10625</v>
      </c>
      <c r="M58" s="247">
        <v>10530</v>
      </c>
      <c r="N58" s="247">
        <f t="shared" si="15"/>
        <v>100.90218423551758</v>
      </c>
      <c r="O58" s="126">
        <v>97</v>
      </c>
      <c r="P58" s="126">
        <v>105</v>
      </c>
    </row>
    <row r="59" spans="1:16" ht="17.25" x14ac:dyDescent="0.25">
      <c r="A59" s="253">
        <v>3</v>
      </c>
      <c r="B59" s="544" t="s">
        <v>596</v>
      </c>
      <c r="C59" s="247">
        <v>232285</v>
      </c>
      <c r="D59" s="247">
        <v>337663</v>
      </c>
      <c r="E59" s="425">
        <f t="shared" si="12"/>
        <v>68.791961215768382</v>
      </c>
      <c r="F59" s="247">
        <v>21480</v>
      </c>
      <c r="G59" s="247">
        <v>30824</v>
      </c>
      <c r="H59" s="425">
        <f t="shared" si="13"/>
        <v>69.685958992992468</v>
      </c>
      <c r="I59" s="247">
        <v>232285</v>
      </c>
      <c r="J59" s="247">
        <v>337663</v>
      </c>
      <c r="K59" s="425">
        <f t="shared" si="14"/>
        <v>68.791961215768382</v>
      </c>
      <c r="L59" s="247">
        <v>0</v>
      </c>
      <c r="M59" s="247">
        <v>0</v>
      </c>
      <c r="N59" s="247" t="e">
        <f t="shared" si="15"/>
        <v>#DIV/0!</v>
      </c>
      <c r="O59" s="126">
        <v>91</v>
      </c>
      <c r="P59" s="126">
        <v>130</v>
      </c>
    </row>
    <row r="60" spans="1:16" ht="17.25" x14ac:dyDescent="0.25">
      <c r="A60" s="253">
        <v>4</v>
      </c>
      <c r="B60" s="544" t="s">
        <v>597</v>
      </c>
      <c r="C60" s="247">
        <v>399102</v>
      </c>
      <c r="D60" s="247">
        <v>341838</v>
      </c>
      <c r="E60" s="425">
        <f t="shared" si="12"/>
        <v>116.75179470977481</v>
      </c>
      <c r="F60" s="247">
        <v>42341</v>
      </c>
      <c r="G60" s="247">
        <v>14461</v>
      </c>
      <c r="H60" s="425">
        <f t="shared" si="13"/>
        <v>292.79441255791443</v>
      </c>
      <c r="I60" s="247">
        <v>397681</v>
      </c>
      <c r="J60" s="247">
        <v>343776</v>
      </c>
      <c r="K60" s="425">
        <f t="shared" si="14"/>
        <v>115.6802685469608</v>
      </c>
      <c r="L60" s="247">
        <v>135759</v>
      </c>
      <c r="M60" s="247">
        <v>118520</v>
      </c>
      <c r="N60" s="247">
        <f t="shared" si="15"/>
        <v>114.54522443469457</v>
      </c>
      <c r="O60" s="126">
        <v>69</v>
      </c>
      <c r="P60" s="126">
        <v>71</v>
      </c>
    </row>
    <row r="61" spans="1:16" ht="17.25" x14ac:dyDescent="0.25">
      <c r="A61" s="253">
        <v>5</v>
      </c>
      <c r="B61" s="544" t="s">
        <v>598</v>
      </c>
      <c r="C61" s="247">
        <v>0</v>
      </c>
      <c r="D61" s="247">
        <v>0</v>
      </c>
      <c r="E61" s="425" t="e">
        <f t="shared" si="12"/>
        <v>#DIV/0!</v>
      </c>
      <c r="F61" s="247">
        <v>0</v>
      </c>
      <c r="G61" s="247">
        <v>0</v>
      </c>
      <c r="H61" s="425" t="e">
        <f t="shared" si="13"/>
        <v>#DIV/0!</v>
      </c>
      <c r="I61" s="247">
        <v>0</v>
      </c>
      <c r="J61" s="247">
        <v>0</v>
      </c>
      <c r="K61" s="425" t="e">
        <f t="shared" si="14"/>
        <v>#DIV/0!</v>
      </c>
      <c r="L61" s="247">
        <v>0</v>
      </c>
      <c r="M61" s="247">
        <v>0</v>
      </c>
      <c r="N61" s="247" t="e">
        <f t="shared" si="15"/>
        <v>#DIV/0!</v>
      </c>
      <c r="O61" s="126">
        <v>35</v>
      </c>
    </row>
    <row r="62" spans="1:16" ht="17.25" x14ac:dyDescent="0.25">
      <c r="A62" s="253">
        <v>6</v>
      </c>
      <c r="B62" s="544" t="s">
        <v>599</v>
      </c>
      <c r="C62" s="247">
        <v>71492</v>
      </c>
      <c r="D62" s="247">
        <v>58014</v>
      </c>
      <c r="E62" s="425">
        <f t="shared" si="12"/>
        <v>123.23232323232322</v>
      </c>
      <c r="F62" s="247">
        <v>3541</v>
      </c>
      <c r="G62" s="247">
        <v>6056</v>
      </c>
      <c r="H62" s="425">
        <f t="shared" si="13"/>
        <v>58.470937912813739</v>
      </c>
      <c r="I62" s="247">
        <v>63999</v>
      </c>
      <c r="J62" s="247">
        <v>55710</v>
      </c>
      <c r="K62" s="425">
        <f t="shared" si="14"/>
        <v>114.87883683360258</v>
      </c>
      <c r="L62" s="247">
        <v>63999</v>
      </c>
      <c r="M62" s="247">
        <v>55710</v>
      </c>
      <c r="N62" s="247">
        <f t="shared" si="15"/>
        <v>114.87883683360258</v>
      </c>
      <c r="O62" s="126">
        <v>34</v>
      </c>
      <c r="P62" s="126">
        <v>71</v>
      </c>
    </row>
    <row r="63" spans="1:16" ht="17.25" x14ac:dyDescent="0.25">
      <c r="A63" s="253">
        <v>7</v>
      </c>
      <c r="B63" s="544" t="s">
        <v>600</v>
      </c>
      <c r="C63" s="247">
        <v>87767</v>
      </c>
      <c r="D63" s="247">
        <v>54048</v>
      </c>
      <c r="E63" s="425">
        <f t="shared" si="12"/>
        <v>162.38713735938427</v>
      </c>
      <c r="F63" s="247">
        <v>4427</v>
      </c>
      <c r="G63" s="247">
        <v>5488</v>
      </c>
      <c r="H63" s="425">
        <f t="shared" si="13"/>
        <v>80.666909620991262</v>
      </c>
      <c r="I63" s="247">
        <v>91527</v>
      </c>
      <c r="J63" s="247">
        <v>84121</v>
      </c>
      <c r="K63" s="425">
        <f t="shared" si="14"/>
        <v>108.80398473627275</v>
      </c>
      <c r="L63" s="247">
        <v>90989</v>
      </c>
      <c r="M63" s="247">
        <v>84069</v>
      </c>
      <c r="N63" s="247">
        <f t="shared" si="15"/>
        <v>108.231333785343</v>
      </c>
      <c r="O63" s="126">
        <v>36</v>
      </c>
      <c r="P63" s="126">
        <v>92</v>
      </c>
    </row>
    <row r="64" spans="1:16" ht="17.25" x14ac:dyDescent="0.25">
      <c r="A64" s="253">
        <v>8</v>
      </c>
      <c r="B64" s="544" t="s">
        <v>601</v>
      </c>
      <c r="C64" s="247">
        <v>211600</v>
      </c>
      <c r="D64" s="247">
        <v>288100</v>
      </c>
      <c r="E64" s="425">
        <f t="shared" si="12"/>
        <v>73.446719888927461</v>
      </c>
      <c r="F64" s="247">
        <v>0</v>
      </c>
      <c r="G64" s="247">
        <v>61200</v>
      </c>
      <c r="H64" s="425">
        <f t="shared" si="13"/>
        <v>0</v>
      </c>
      <c r="I64" s="247">
        <v>253016</v>
      </c>
      <c r="J64" s="247">
        <v>354453</v>
      </c>
      <c r="K64" s="425">
        <f t="shared" si="14"/>
        <v>71.382101435169119</v>
      </c>
      <c r="L64" s="247">
        <v>253016</v>
      </c>
      <c r="M64" s="247">
        <v>354453</v>
      </c>
      <c r="N64" s="247">
        <f t="shared" si="15"/>
        <v>71.382101435169119</v>
      </c>
      <c r="O64" s="126">
        <v>35</v>
      </c>
      <c r="P64" s="126">
        <v>90</v>
      </c>
    </row>
    <row r="65" spans="1:16" ht="17.25" x14ac:dyDescent="0.25">
      <c r="A65" s="253">
        <v>9</v>
      </c>
      <c r="B65" s="544" t="s">
        <v>602</v>
      </c>
      <c r="C65" s="247">
        <v>0</v>
      </c>
      <c r="D65" s="247">
        <v>0</v>
      </c>
      <c r="E65" s="425" t="e">
        <f t="shared" si="12"/>
        <v>#DIV/0!</v>
      </c>
      <c r="F65" s="247">
        <v>0</v>
      </c>
      <c r="G65" s="247">
        <v>0</v>
      </c>
      <c r="H65" s="425" t="e">
        <f t="shared" si="13"/>
        <v>#DIV/0!</v>
      </c>
      <c r="I65" s="247">
        <v>0</v>
      </c>
      <c r="J65" s="247">
        <v>0</v>
      </c>
      <c r="K65" s="425" t="e">
        <f t="shared" si="14"/>
        <v>#DIV/0!</v>
      </c>
      <c r="L65" s="247">
        <v>0</v>
      </c>
      <c r="M65" s="247">
        <v>0</v>
      </c>
      <c r="N65" s="247" t="e">
        <f t="shared" si="15"/>
        <v>#DIV/0!</v>
      </c>
      <c r="O65" s="126">
        <v>0</v>
      </c>
      <c r="P65" s="126">
        <v>0</v>
      </c>
    </row>
    <row r="66" spans="1:16" ht="17.25" x14ac:dyDescent="0.25">
      <c r="A66" s="253">
        <v>10</v>
      </c>
      <c r="B66" s="544" t="s">
        <v>625</v>
      </c>
      <c r="C66" s="247">
        <v>447990</v>
      </c>
      <c r="D66" s="247">
        <v>319466</v>
      </c>
      <c r="E66" s="425">
        <f>C66/D66*100</f>
        <v>140.2308852898274</v>
      </c>
      <c r="F66" s="247">
        <v>138033</v>
      </c>
      <c r="G66" s="247">
        <v>62781</v>
      </c>
      <c r="H66" s="425">
        <f t="shared" si="13"/>
        <v>219.86429015147894</v>
      </c>
      <c r="I66" s="247">
        <v>466357</v>
      </c>
      <c r="J66" s="247">
        <v>316684</v>
      </c>
      <c r="K66" s="425">
        <f t="shared" si="14"/>
        <v>147.26257089085649</v>
      </c>
      <c r="L66" s="247">
        <v>28090</v>
      </c>
      <c r="M66" s="247">
        <v>18568</v>
      </c>
      <c r="N66" s="247">
        <f t="shared" si="15"/>
        <v>151.28177509694098</v>
      </c>
      <c r="O66" s="126">
        <v>162</v>
      </c>
      <c r="P66" s="126">
        <v>82</v>
      </c>
    </row>
    <row r="67" spans="1:16" ht="17.25" x14ac:dyDescent="0.25">
      <c r="A67" s="253">
        <v>11</v>
      </c>
      <c r="B67" s="544" t="s">
        <v>605</v>
      </c>
      <c r="C67" s="247">
        <v>93475</v>
      </c>
      <c r="D67" s="247">
        <v>196177</v>
      </c>
      <c r="E67" s="425">
        <f>C67/D67*100</f>
        <v>47.648297200997057</v>
      </c>
      <c r="F67" s="247">
        <v>6485</v>
      </c>
      <c r="G67" s="247">
        <v>115583</v>
      </c>
      <c r="H67" s="425">
        <f t="shared" si="13"/>
        <v>5.6106866926797192</v>
      </c>
      <c r="I67" s="247">
        <v>91436</v>
      </c>
      <c r="J67" s="247">
        <v>196177</v>
      </c>
      <c r="K67" s="425">
        <f t="shared" si="14"/>
        <v>46.60892969104431</v>
      </c>
      <c r="L67" s="247">
        <v>91346</v>
      </c>
      <c r="M67" s="247">
        <v>196177</v>
      </c>
      <c r="N67" s="247">
        <f t="shared" si="15"/>
        <v>46.563052753380873</v>
      </c>
      <c r="O67" s="126">
        <v>69</v>
      </c>
      <c r="P67" s="126">
        <v>144</v>
      </c>
    </row>
    <row r="68" spans="1:16" s="668" customFormat="1" ht="34.5" x14ac:dyDescent="0.25">
      <c r="A68" s="664">
        <v>12</v>
      </c>
      <c r="B68" s="665" t="s">
        <v>603</v>
      </c>
      <c r="C68" s="666">
        <v>242700</v>
      </c>
      <c r="D68" s="666">
        <v>112319</v>
      </c>
      <c r="E68" s="667">
        <f>C68/D68*100</f>
        <v>216.08098362699099</v>
      </c>
      <c r="F68" s="666">
        <v>1773</v>
      </c>
      <c r="G68" s="666">
        <v>90049</v>
      </c>
      <c r="H68" s="667">
        <f t="shared" si="13"/>
        <v>1.9689280280736041</v>
      </c>
      <c r="I68" s="666">
        <v>242700</v>
      </c>
      <c r="J68" s="666">
        <v>112319</v>
      </c>
      <c r="K68" s="667">
        <f t="shared" si="14"/>
        <v>216.08098362699099</v>
      </c>
      <c r="L68" s="666">
        <v>205948</v>
      </c>
      <c r="M68" s="666">
        <v>58157</v>
      </c>
      <c r="N68" s="666">
        <f t="shared" si="15"/>
        <v>354.12418109599872</v>
      </c>
      <c r="O68" s="668">
        <v>60</v>
      </c>
      <c r="P68" s="668">
        <v>90</v>
      </c>
    </row>
    <row r="70" spans="1:16" ht="17.25" x14ac:dyDescent="0.25">
      <c r="A70" s="1033" t="s">
        <v>356</v>
      </c>
      <c r="B70" s="1034"/>
      <c r="C70" s="450">
        <f>SUM(C71:C78)</f>
        <v>1354505</v>
      </c>
      <c r="D70" s="450">
        <f>SUM(D71:D78)</f>
        <v>1167630</v>
      </c>
      <c r="E70" s="453">
        <f>C70/D70*100</f>
        <v>116.00464188141792</v>
      </c>
      <c r="F70" s="450">
        <f>SUM(F71:F78)</f>
        <v>90187</v>
      </c>
      <c r="G70" s="450">
        <f>SUM(G71:G78)</f>
        <v>158021</v>
      </c>
      <c r="H70" s="453">
        <f>F70/G70*100</f>
        <v>57.072794122300195</v>
      </c>
      <c r="I70" s="450">
        <f>SUM(I71:I78)</f>
        <v>1425304</v>
      </c>
      <c r="J70" s="450">
        <f>SUM(J71:J78)</f>
        <v>1845487</v>
      </c>
      <c r="K70" s="453">
        <f>I70/J70*100</f>
        <v>77.231863459347053</v>
      </c>
      <c r="L70" s="450">
        <f>SUM(L71:L78)</f>
        <v>687214</v>
      </c>
      <c r="M70" s="450">
        <f>SUM(M71:M78)</f>
        <v>901355</v>
      </c>
      <c r="N70" s="453">
        <f>L70/M70*100</f>
        <v>76.242324056559298</v>
      </c>
    </row>
    <row r="71" spans="1:16" ht="17.25" x14ac:dyDescent="0.25">
      <c r="A71" s="253">
        <v>1</v>
      </c>
      <c r="B71" s="544" t="s">
        <v>606</v>
      </c>
      <c r="C71" s="247">
        <v>13971</v>
      </c>
      <c r="D71" s="247">
        <v>13225</v>
      </c>
      <c r="E71" s="425">
        <f t="shared" ref="E71:E78" si="16">C71/D71*100</f>
        <v>105.64083175803403</v>
      </c>
      <c r="F71" s="247">
        <v>3236</v>
      </c>
      <c r="G71" s="247">
        <v>3340</v>
      </c>
      <c r="H71" s="425">
        <f t="shared" ref="H71:H78" si="17">F71/G71*100</f>
        <v>96.88622754491017</v>
      </c>
      <c r="I71" s="247">
        <v>80283</v>
      </c>
      <c r="J71" s="247">
        <v>112520</v>
      </c>
      <c r="K71" s="425">
        <f t="shared" ref="K71:K78" si="18">I71/J71*100</f>
        <v>71.349982225382163</v>
      </c>
      <c r="L71" s="247">
        <v>1653</v>
      </c>
      <c r="M71" s="247">
        <v>14671</v>
      </c>
      <c r="N71" s="247">
        <f t="shared" ref="N71:N78" si="19">L71/M71*100</f>
        <v>11.267125621975325</v>
      </c>
      <c r="O71" s="126">
        <v>129</v>
      </c>
      <c r="P71" s="126">
        <v>55</v>
      </c>
    </row>
    <row r="72" spans="1:16" s="668" customFormat="1" ht="17.25" x14ac:dyDescent="0.25">
      <c r="A72" s="664">
        <v>2</v>
      </c>
      <c r="B72" s="665" t="s">
        <v>607</v>
      </c>
      <c r="C72" s="666">
        <v>44488</v>
      </c>
      <c r="D72" s="666">
        <v>57927</v>
      </c>
      <c r="E72" s="667">
        <f t="shared" si="16"/>
        <v>76.800110483884893</v>
      </c>
      <c r="F72" s="666">
        <v>0</v>
      </c>
      <c r="G72" s="666">
        <v>39504</v>
      </c>
      <c r="H72" s="667">
        <f t="shared" si="17"/>
        <v>0</v>
      </c>
      <c r="I72" s="666">
        <v>44670</v>
      </c>
      <c r="J72" s="666">
        <v>573858</v>
      </c>
      <c r="K72" s="667">
        <f t="shared" si="18"/>
        <v>7.7841556622021484</v>
      </c>
      <c r="L72" s="666">
        <v>44670</v>
      </c>
      <c r="M72" s="666">
        <v>573858</v>
      </c>
      <c r="N72" s="666">
        <f t="shared" si="19"/>
        <v>7.7841556622021484</v>
      </c>
      <c r="O72" s="668">
        <v>4</v>
      </c>
      <c r="P72" s="668">
        <v>113</v>
      </c>
    </row>
    <row r="73" spans="1:16" s="668" customFormat="1" ht="17.25" x14ac:dyDescent="0.25">
      <c r="A73" s="664">
        <v>3</v>
      </c>
      <c r="B73" s="665" t="s">
        <v>608</v>
      </c>
      <c r="C73" s="666">
        <v>1323</v>
      </c>
      <c r="D73" s="666">
        <v>22681</v>
      </c>
      <c r="E73" s="667">
        <f t="shared" si="16"/>
        <v>5.8330761430272036</v>
      </c>
      <c r="F73" s="666">
        <v>0</v>
      </c>
      <c r="G73" s="666">
        <v>110</v>
      </c>
      <c r="H73" s="667">
        <f t="shared" si="17"/>
        <v>0</v>
      </c>
      <c r="I73" s="666">
        <v>10273</v>
      </c>
      <c r="J73" s="666">
        <v>26079</v>
      </c>
      <c r="K73" s="667">
        <f t="shared" si="18"/>
        <v>39.391847846926645</v>
      </c>
      <c r="L73" s="666">
        <v>0</v>
      </c>
      <c r="M73" s="666">
        <v>1659</v>
      </c>
      <c r="N73" s="666">
        <f t="shared" si="19"/>
        <v>0</v>
      </c>
      <c r="O73" s="668">
        <v>32</v>
      </c>
      <c r="P73" s="668">
        <v>45</v>
      </c>
    </row>
    <row r="74" spans="1:16" s="668" customFormat="1" ht="17.25" x14ac:dyDescent="0.25">
      <c r="A74" s="664">
        <v>4</v>
      </c>
      <c r="B74" s="665" t="s">
        <v>609</v>
      </c>
      <c r="C74" s="666">
        <v>10105</v>
      </c>
      <c r="D74" s="666">
        <v>58271</v>
      </c>
      <c r="E74" s="667">
        <f t="shared" si="16"/>
        <v>17.34138765423624</v>
      </c>
      <c r="F74" s="666">
        <v>0</v>
      </c>
      <c r="G74" s="666">
        <v>3544</v>
      </c>
      <c r="H74" s="667">
        <f t="shared" si="17"/>
        <v>0</v>
      </c>
      <c r="I74" s="666">
        <v>2073</v>
      </c>
      <c r="J74" s="666">
        <v>71484</v>
      </c>
      <c r="K74" s="667">
        <f t="shared" si="18"/>
        <v>2.8999496390800736</v>
      </c>
      <c r="L74" s="666">
        <v>0</v>
      </c>
      <c r="M74" s="666">
        <v>53436</v>
      </c>
      <c r="N74" s="666">
        <f t="shared" si="19"/>
        <v>0</v>
      </c>
      <c r="O74" s="668">
        <v>37</v>
      </c>
      <c r="P74" s="668">
        <v>65</v>
      </c>
    </row>
    <row r="75" spans="1:16" s="668" customFormat="1" ht="17.25" x14ac:dyDescent="0.25">
      <c r="A75" s="664">
        <v>5</v>
      </c>
      <c r="B75" s="665" t="s">
        <v>610</v>
      </c>
      <c r="C75" s="666">
        <v>76139</v>
      </c>
      <c r="D75" s="666">
        <v>61160</v>
      </c>
      <c r="E75" s="667">
        <f t="shared" si="16"/>
        <v>124.49149771092216</v>
      </c>
      <c r="F75" s="666">
        <v>219</v>
      </c>
      <c r="G75" s="666">
        <v>625</v>
      </c>
      <c r="H75" s="667">
        <f t="shared" si="17"/>
        <v>35.04</v>
      </c>
      <c r="I75" s="666">
        <v>76139</v>
      </c>
      <c r="J75" s="666">
        <v>61160</v>
      </c>
      <c r="K75" s="667">
        <f t="shared" si="18"/>
        <v>124.49149771092216</v>
      </c>
      <c r="L75" s="666">
        <v>56925</v>
      </c>
      <c r="M75" s="666">
        <v>47792</v>
      </c>
      <c r="N75" s="666">
        <f t="shared" si="19"/>
        <v>119.10989286909943</v>
      </c>
      <c r="O75" s="668">
        <v>66</v>
      </c>
      <c r="P75" s="668">
        <v>120</v>
      </c>
    </row>
    <row r="76" spans="1:16" s="668" customFormat="1" ht="17.25" x14ac:dyDescent="0.25">
      <c r="A76" s="793">
        <v>6</v>
      </c>
      <c r="B76" s="665" t="s">
        <v>611</v>
      </c>
      <c r="C76" s="666">
        <v>209</v>
      </c>
      <c r="D76" s="666">
        <v>36143</v>
      </c>
      <c r="E76" s="667">
        <f t="shared" si="16"/>
        <v>0.57825858395816621</v>
      </c>
      <c r="F76" s="666">
        <v>0</v>
      </c>
      <c r="G76" s="666">
        <v>0</v>
      </c>
      <c r="H76" s="667" t="e">
        <f t="shared" si="17"/>
        <v>#DIV/0!</v>
      </c>
      <c r="I76" s="666">
        <v>944</v>
      </c>
      <c r="J76" s="666">
        <v>55663</v>
      </c>
      <c r="K76" s="667">
        <f t="shared" si="18"/>
        <v>1.6959200905448863</v>
      </c>
      <c r="L76" s="666">
        <v>53</v>
      </c>
      <c r="M76" s="666">
        <v>33961</v>
      </c>
      <c r="N76" s="666">
        <f t="shared" si="19"/>
        <v>0.1560613645063455</v>
      </c>
      <c r="O76" s="668">
        <v>4</v>
      </c>
      <c r="P76" s="668">
        <v>95</v>
      </c>
    </row>
    <row r="77" spans="1:16" s="668" customFormat="1" ht="17.25" x14ac:dyDescent="0.25">
      <c r="A77" s="664">
        <v>7</v>
      </c>
      <c r="B77" s="665" t="s">
        <v>612</v>
      </c>
      <c r="C77" s="666">
        <v>1076954</v>
      </c>
      <c r="D77" s="666">
        <v>786481</v>
      </c>
      <c r="E77" s="667">
        <f t="shared" si="16"/>
        <v>136.93325077147443</v>
      </c>
      <c r="F77" s="666">
        <v>73811</v>
      </c>
      <c r="G77" s="666">
        <v>103003</v>
      </c>
      <c r="H77" s="667">
        <f t="shared" si="17"/>
        <v>71.659077890935222</v>
      </c>
      <c r="I77" s="666">
        <v>1079606</v>
      </c>
      <c r="J77" s="666">
        <v>812981</v>
      </c>
      <c r="K77" s="667">
        <f t="shared" si="18"/>
        <v>132.79596940149895</v>
      </c>
      <c r="L77" s="666">
        <v>583913</v>
      </c>
      <c r="M77" s="666">
        <v>174933</v>
      </c>
      <c r="N77" s="666">
        <f t="shared" si="19"/>
        <v>333.79236622021</v>
      </c>
      <c r="O77" s="668">
        <v>132</v>
      </c>
      <c r="P77" s="668">
        <v>251</v>
      </c>
    </row>
    <row r="78" spans="1:16" ht="34.5" x14ac:dyDescent="0.25">
      <c r="A78" s="253">
        <v>8</v>
      </c>
      <c r="B78" s="544" t="s">
        <v>613</v>
      </c>
      <c r="C78" s="247">
        <v>131316</v>
      </c>
      <c r="D78" s="247">
        <v>131742</v>
      </c>
      <c r="E78" s="425">
        <f t="shared" si="16"/>
        <v>99.676640706836082</v>
      </c>
      <c r="F78" s="247">
        <v>12921</v>
      </c>
      <c r="G78" s="247">
        <v>7895</v>
      </c>
      <c r="H78" s="425">
        <f t="shared" si="17"/>
        <v>163.66054464851172</v>
      </c>
      <c r="I78" s="247">
        <v>131316</v>
      </c>
      <c r="J78" s="247">
        <v>131742</v>
      </c>
      <c r="K78" s="425">
        <f t="shared" si="18"/>
        <v>99.676640706836082</v>
      </c>
      <c r="L78" s="247">
        <v>0</v>
      </c>
      <c r="M78" s="247">
        <v>1045</v>
      </c>
      <c r="N78" s="247">
        <f t="shared" si="19"/>
        <v>0</v>
      </c>
      <c r="O78" s="126">
        <v>28</v>
      </c>
      <c r="P78" s="126">
        <v>40</v>
      </c>
    </row>
    <row r="79" spans="1:16" s="127" customFormat="1" x14ac:dyDescent="0.25">
      <c r="C79" s="445"/>
      <c r="D79" s="445"/>
      <c r="E79" s="445"/>
      <c r="F79" s="445"/>
      <c r="G79" s="445"/>
      <c r="H79" s="445"/>
      <c r="I79" s="445"/>
      <c r="J79" s="445"/>
      <c r="K79" s="445"/>
      <c r="L79" s="445"/>
      <c r="M79" s="445"/>
      <c r="N79" s="445"/>
    </row>
    <row r="80" spans="1:16" ht="17.25" x14ac:dyDescent="0.25">
      <c r="A80" s="1033" t="s">
        <v>731</v>
      </c>
      <c r="B80" s="1034"/>
      <c r="C80" s="450">
        <f>SUM(C81:C94)</f>
        <v>7700223</v>
      </c>
      <c r="D80" s="450">
        <f>SUM(D81:D94)</f>
        <v>6968557</v>
      </c>
      <c r="E80" s="453">
        <f>C80/D80*100</f>
        <v>110.49953383462314</v>
      </c>
      <c r="F80" s="450">
        <f>SUM(F81:F94)</f>
        <v>825039</v>
      </c>
      <c r="G80" s="450">
        <f>SUM(G81:G94)</f>
        <v>493623</v>
      </c>
      <c r="H80" s="453">
        <f>F80/G80*100</f>
        <v>167.13949714660782</v>
      </c>
      <c r="I80" s="450">
        <f>SUM(I81:I94)</f>
        <v>9799748</v>
      </c>
      <c r="J80" s="450">
        <f>SUM(J81:J94)</f>
        <v>10721637</v>
      </c>
      <c r="K80" s="453">
        <f>I80/J80*100</f>
        <v>91.401602199365641</v>
      </c>
      <c r="L80" s="450">
        <f>SUM(L81:L94)</f>
        <v>3356958</v>
      </c>
      <c r="M80" s="450">
        <f>SUM(M81:M94)</f>
        <v>3400194</v>
      </c>
      <c r="N80" s="453">
        <f>L80/M80*100</f>
        <v>98.728425495721723</v>
      </c>
    </row>
    <row r="81" spans="1:16" ht="17.25" x14ac:dyDescent="0.25">
      <c r="A81" s="260">
        <v>1</v>
      </c>
      <c r="B81" s="544" t="s">
        <v>614</v>
      </c>
      <c r="C81" s="247">
        <v>2249</v>
      </c>
      <c r="D81" s="247">
        <v>3443</v>
      </c>
      <c r="E81" s="425">
        <f>C81/D81*100</f>
        <v>65.320941039790881</v>
      </c>
      <c r="F81" s="247">
        <v>109</v>
      </c>
      <c r="G81" s="247">
        <v>66</v>
      </c>
      <c r="H81" s="425">
        <f t="shared" ref="H81:H94" si="20">F81/G81*100</f>
        <v>165.15151515151516</v>
      </c>
      <c r="I81" s="247">
        <v>2249</v>
      </c>
      <c r="J81" s="247">
        <v>3443</v>
      </c>
      <c r="K81" s="425">
        <f t="shared" ref="K81:K94" si="21">I81/J81*100</f>
        <v>65.320941039790881</v>
      </c>
      <c r="L81" s="247">
        <v>2188</v>
      </c>
      <c r="M81" s="247">
        <v>2473</v>
      </c>
      <c r="N81" s="247">
        <f t="shared" ref="N81:N94" si="22">L81/M81*100</f>
        <v>88.475535786494135</v>
      </c>
      <c r="O81" s="126">
        <v>2136</v>
      </c>
      <c r="P81" s="126">
        <v>113</v>
      </c>
    </row>
    <row r="82" spans="1:16" s="668" customFormat="1" ht="17.25" x14ac:dyDescent="0.25">
      <c r="A82" s="794">
        <v>2</v>
      </c>
      <c r="B82" s="665" t="s">
        <v>615</v>
      </c>
      <c r="C82" s="666">
        <v>17923</v>
      </c>
      <c r="D82" s="666">
        <v>326739</v>
      </c>
      <c r="E82" s="667">
        <f t="shared" ref="E82:E94" si="23">C82/D82*100</f>
        <v>5.4854180247843081</v>
      </c>
      <c r="F82" s="666">
        <v>10323</v>
      </c>
      <c r="G82" s="666">
        <v>2585</v>
      </c>
      <c r="H82" s="667">
        <f t="shared" si="20"/>
        <v>399.34235976789171</v>
      </c>
      <c r="I82" s="666">
        <v>19951</v>
      </c>
      <c r="J82" s="666">
        <v>377665</v>
      </c>
      <c r="K82" s="667">
        <f t="shared" si="21"/>
        <v>5.2827241073438103</v>
      </c>
      <c r="L82" s="666">
        <v>0</v>
      </c>
      <c r="M82" s="666">
        <v>361588</v>
      </c>
      <c r="N82" s="666">
        <f t="shared" si="22"/>
        <v>0</v>
      </c>
      <c r="O82" s="668">
        <v>373</v>
      </c>
      <c r="P82" s="668">
        <v>140</v>
      </c>
    </row>
    <row r="83" spans="1:16" s="668" customFormat="1" ht="17.25" x14ac:dyDescent="0.25">
      <c r="A83" s="795">
        <v>3</v>
      </c>
      <c r="B83" s="665" t="s">
        <v>616</v>
      </c>
      <c r="C83" s="666">
        <v>1529548</v>
      </c>
      <c r="D83" s="666">
        <v>1333946</v>
      </c>
      <c r="E83" s="667">
        <f t="shared" si="23"/>
        <v>114.66341216211151</v>
      </c>
      <c r="F83" s="666">
        <v>90657</v>
      </c>
      <c r="G83" s="666">
        <v>31946</v>
      </c>
      <c r="H83" s="667">
        <f t="shared" si="20"/>
        <v>283.78200713704376</v>
      </c>
      <c r="I83" s="666">
        <v>1728708</v>
      </c>
      <c r="J83" s="666">
        <v>1497599</v>
      </c>
      <c r="K83" s="667">
        <f t="shared" si="21"/>
        <v>115.43196810361118</v>
      </c>
      <c r="L83" s="666">
        <v>258873</v>
      </c>
      <c r="M83" s="666">
        <v>344902</v>
      </c>
      <c r="N83" s="666">
        <f t="shared" si="22"/>
        <v>75.056972705290207</v>
      </c>
      <c r="O83" s="668">
        <v>32</v>
      </c>
      <c r="P83" s="668">
        <v>365</v>
      </c>
    </row>
    <row r="84" spans="1:16" s="668" customFormat="1" ht="17.25" x14ac:dyDescent="0.25">
      <c r="A84" s="794">
        <v>4</v>
      </c>
      <c r="B84" s="665" t="s">
        <v>604</v>
      </c>
      <c r="C84" s="666">
        <v>71944</v>
      </c>
      <c r="D84" s="666">
        <v>86662</v>
      </c>
      <c r="E84" s="667">
        <f>C84/D84*100</f>
        <v>83.016777826498341</v>
      </c>
      <c r="F84" s="666">
        <v>9552</v>
      </c>
      <c r="G84" s="666">
        <v>16032</v>
      </c>
      <c r="H84" s="667">
        <f>F84/G84*100</f>
        <v>59.580838323353291</v>
      </c>
      <c r="I84" s="666">
        <v>71944</v>
      </c>
      <c r="J84" s="666">
        <v>86662</v>
      </c>
      <c r="K84" s="667">
        <f>I84/J84*100</f>
        <v>83.016777826498341</v>
      </c>
      <c r="L84" s="666">
        <v>71944</v>
      </c>
      <c r="M84" s="666">
        <v>86662</v>
      </c>
      <c r="N84" s="666">
        <f>L84/M84*100</f>
        <v>83.016777826498341</v>
      </c>
      <c r="O84" s="668">
        <v>44</v>
      </c>
      <c r="P84" s="668">
        <v>76</v>
      </c>
    </row>
    <row r="85" spans="1:16" s="668" customFormat="1" ht="17.25" x14ac:dyDescent="0.25">
      <c r="A85" s="795">
        <v>5</v>
      </c>
      <c r="B85" s="665" t="s">
        <v>775</v>
      </c>
      <c r="C85" s="666">
        <v>303965</v>
      </c>
      <c r="D85" s="666">
        <v>361167</v>
      </c>
      <c r="E85" s="667">
        <f t="shared" si="23"/>
        <v>84.16189740480165</v>
      </c>
      <c r="F85" s="666">
        <v>46700</v>
      </c>
      <c r="G85" s="666">
        <v>15706</v>
      </c>
      <c r="H85" s="667">
        <f t="shared" si="20"/>
        <v>297.33859671463136</v>
      </c>
      <c r="I85" s="666">
        <v>289930</v>
      </c>
      <c r="J85" s="666">
        <v>363849</v>
      </c>
      <c r="K85" s="667">
        <f t="shared" si="21"/>
        <v>79.684154690544702</v>
      </c>
      <c r="L85" s="666">
        <v>152468</v>
      </c>
      <c r="M85" s="666">
        <v>202747</v>
      </c>
      <c r="N85" s="666">
        <f t="shared" si="22"/>
        <v>75.201112716834288</v>
      </c>
      <c r="O85" s="668">
        <v>80</v>
      </c>
      <c r="P85" s="668">
        <v>72</v>
      </c>
    </row>
    <row r="86" spans="1:16" s="668" customFormat="1" ht="17.25" x14ac:dyDescent="0.25">
      <c r="A86" s="794">
        <v>6</v>
      </c>
      <c r="B86" s="665" t="s">
        <v>619</v>
      </c>
      <c r="C86" s="666">
        <v>0</v>
      </c>
      <c r="D86" s="666">
        <v>0</v>
      </c>
      <c r="E86" s="667" t="e">
        <f t="shared" si="23"/>
        <v>#DIV/0!</v>
      </c>
      <c r="F86" s="666">
        <v>0</v>
      </c>
      <c r="G86" s="666">
        <v>0</v>
      </c>
      <c r="H86" s="667" t="e">
        <f t="shared" si="20"/>
        <v>#DIV/0!</v>
      </c>
      <c r="I86" s="666">
        <v>0</v>
      </c>
      <c r="J86" s="666">
        <v>0</v>
      </c>
      <c r="K86" s="667" t="e">
        <f t="shared" si="21"/>
        <v>#DIV/0!</v>
      </c>
      <c r="L86" s="666">
        <v>0</v>
      </c>
      <c r="M86" s="666">
        <v>0</v>
      </c>
      <c r="N86" s="666" t="e">
        <f t="shared" si="22"/>
        <v>#DIV/0!</v>
      </c>
    </row>
    <row r="87" spans="1:16" s="668" customFormat="1" ht="17.25" x14ac:dyDescent="0.25">
      <c r="A87" s="795">
        <v>7</v>
      </c>
      <c r="B87" s="665" t="s">
        <v>620</v>
      </c>
      <c r="C87" s="666">
        <v>812506</v>
      </c>
      <c r="D87" s="666">
        <v>728269</v>
      </c>
      <c r="E87" s="667">
        <f t="shared" si="23"/>
        <v>111.56674250860603</v>
      </c>
      <c r="F87" s="666">
        <v>65755</v>
      </c>
      <c r="G87" s="666">
        <v>65710</v>
      </c>
      <c r="H87" s="667">
        <f t="shared" si="20"/>
        <v>100.06848272713438</v>
      </c>
      <c r="I87" s="666">
        <v>1008060</v>
      </c>
      <c r="J87" s="666">
        <v>1057837</v>
      </c>
      <c r="K87" s="667">
        <f t="shared" si="21"/>
        <v>95.294454627697846</v>
      </c>
      <c r="L87" s="666">
        <v>193431</v>
      </c>
      <c r="M87" s="666">
        <v>311272</v>
      </c>
      <c r="N87" s="666">
        <f t="shared" si="22"/>
        <v>62.142113649798247</v>
      </c>
      <c r="O87" s="668">
        <v>69</v>
      </c>
      <c r="P87" s="668">
        <v>70</v>
      </c>
    </row>
    <row r="88" spans="1:16" s="668" customFormat="1" ht="17.25" x14ac:dyDescent="0.25">
      <c r="A88" s="794">
        <v>8</v>
      </c>
      <c r="B88" s="665" t="s">
        <v>621</v>
      </c>
      <c r="C88" s="666">
        <v>2141649</v>
      </c>
      <c r="D88" s="666">
        <v>1679134</v>
      </c>
      <c r="E88" s="667">
        <f t="shared" si="23"/>
        <v>127.54485347804285</v>
      </c>
      <c r="F88" s="666">
        <v>314891</v>
      </c>
      <c r="G88" s="666">
        <v>173605</v>
      </c>
      <c r="H88" s="667">
        <f t="shared" si="20"/>
        <v>181.38360070274473</v>
      </c>
      <c r="I88" s="666">
        <v>2036691</v>
      </c>
      <c r="J88" s="666">
        <v>1661370</v>
      </c>
      <c r="K88" s="667">
        <f t="shared" si="21"/>
        <v>122.59105437079036</v>
      </c>
      <c r="L88" s="666">
        <v>1338533</v>
      </c>
      <c r="M88" s="666">
        <v>1058344</v>
      </c>
      <c r="N88" s="666">
        <f t="shared" si="22"/>
        <v>126.4742843536695</v>
      </c>
      <c r="O88" s="668">
        <v>109</v>
      </c>
      <c r="P88" s="668">
        <v>252</v>
      </c>
    </row>
    <row r="89" spans="1:16" s="668" customFormat="1" ht="17.25" x14ac:dyDescent="0.25">
      <c r="A89" s="795">
        <v>9</v>
      </c>
      <c r="B89" s="665" t="s">
        <v>622</v>
      </c>
      <c r="C89" s="666">
        <v>926818</v>
      </c>
      <c r="D89" s="666">
        <v>1054219</v>
      </c>
      <c r="E89" s="667">
        <f t="shared" si="23"/>
        <v>87.915129588823575</v>
      </c>
      <c r="F89" s="666">
        <v>100887</v>
      </c>
      <c r="G89" s="666">
        <v>105434</v>
      </c>
      <c r="H89" s="667">
        <f t="shared" si="20"/>
        <v>95.687349431872065</v>
      </c>
      <c r="I89" s="666">
        <v>953840</v>
      </c>
      <c r="J89" s="666">
        <v>897667</v>
      </c>
      <c r="K89" s="667">
        <f t="shared" si="21"/>
        <v>106.257665704543</v>
      </c>
      <c r="L89" s="666">
        <v>365524</v>
      </c>
      <c r="M89" s="666">
        <v>266974</v>
      </c>
      <c r="N89" s="666">
        <f t="shared" si="22"/>
        <v>136.91370695273696</v>
      </c>
      <c r="O89" s="668">
        <v>82</v>
      </c>
      <c r="P89" s="668">
        <v>180</v>
      </c>
    </row>
    <row r="90" spans="1:16" s="668" customFormat="1" ht="17.25" x14ac:dyDescent="0.25">
      <c r="A90" s="794">
        <v>10</v>
      </c>
      <c r="B90" s="665" t="s">
        <v>623</v>
      </c>
      <c r="C90" s="666"/>
      <c r="D90" s="666"/>
      <c r="E90" s="667" t="e">
        <f t="shared" si="23"/>
        <v>#DIV/0!</v>
      </c>
      <c r="F90" s="666"/>
      <c r="G90" s="666"/>
      <c r="H90" s="667" t="e">
        <f t="shared" si="20"/>
        <v>#DIV/0!</v>
      </c>
      <c r="I90" s="666"/>
      <c r="J90" s="666"/>
      <c r="K90" s="667" t="e">
        <f t="shared" si="21"/>
        <v>#DIV/0!</v>
      </c>
      <c r="L90" s="666"/>
      <c r="M90" s="666"/>
      <c r="N90" s="666" t="e">
        <f t="shared" si="22"/>
        <v>#DIV/0!</v>
      </c>
      <c r="O90" s="668">
        <v>18</v>
      </c>
      <c r="P90" s="668">
        <v>142</v>
      </c>
    </row>
    <row r="91" spans="1:16" s="668" customFormat="1" ht="17.25" x14ac:dyDescent="0.25">
      <c r="A91" s="795">
        <v>11</v>
      </c>
      <c r="B91" s="665" t="s">
        <v>624</v>
      </c>
      <c r="C91" s="666">
        <v>433739</v>
      </c>
      <c r="D91" s="666">
        <v>340910</v>
      </c>
      <c r="E91" s="667">
        <f t="shared" si="23"/>
        <v>127.22976738728697</v>
      </c>
      <c r="F91" s="666">
        <v>50301</v>
      </c>
      <c r="G91" s="666">
        <v>30519</v>
      </c>
      <c r="H91" s="667">
        <f t="shared" si="20"/>
        <v>164.81863757003833</v>
      </c>
      <c r="I91" s="666">
        <v>2267039</v>
      </c>
      <c r="J91" s="666">
        <v>3710993</v>
      </c>
      <c r="K91" s="667">
        <f t="shared" si="21"/>
        <v>61.089821511385225</v>
      </c>
      <c r="L91" s="666">
        <v>30614</v>
      </c>
      <c r="M91" s="666">
        <v>11953</v>
      </c>
      <c r="N91" s="666">
        <f t="shared" si="22"/>
        <v>256.11980256002676</v>
      </c>
      <c r="O91" s="668">
        <v>59</v>
      </c>
      <c r="P91" s="668">
        <v>250</v>
      </c>
    </row>
    <row r="92" spans="1:16" s="668" customFormat="1" ht="34.5" x14ac:dyDescent="0.25">
      <c r="A92" s="795">
        <v>12</v>
      </c>
      <c r="B92" s="665" t="s">
        <v>762</v>
      </c>
      <c r="C92" s="666">
        <v>45446</v>
      </c>
      <c r="D92" s="666">
        <v>8363</v>
      </c>
      <c r="E92" s="667">
        <f t="shared" si="23"/>
        <v>543.41743393519073</v>
      </c>
      <c r="F92" s="666">
        <v>2302</v>
      </c>
      <c r="G92" s="666">
        <v>905</v>
      </c>
      <c r="H92" s="667">
        <f t="shared" si="20"/>
        <v>254.36464088397793</v>
      </c>
      <c r="I92" s="666">
        <v>27943</v>
      </c>
      <c r="J92" s="666">
        <v>11834</v>
      </c>
      <c r="K92" s="667">
        <f t="shared" si="21"/>
        <v>236.12472536758494</v>
      </c>
      <c r="L92" s="666">
        <v>15623</v>
      </c>
      <c r="M92" s="666">
        <v>9653</v>
      </c>
      <c r="N92" s="666">
        <f t="shared" si="22"/>
        <v>161.84605822024241</v>
      </c>
      <c r="O92" s="668">
        <v>16</v>
      </c>
    </row>
    <row r="93" spans="1:16" s="668" customFormat="1" ht="17.25" x14ac:dyDescent="0.25">
      <c r="A93" s="794">
        <v>13</v>
      </c>
      <c r="B93" s="665" t="s">
        <v>626</v>
      </c>
      <c r="C93" s="666">
        <v>188207</v>
      </c>
      <c r="D93" s="666">
        <v>0</v>
      </c>
      <c r="E93" s="667" t="e">
        <f t="shared" si="23"/>
        <v>#DIV/0!</v>
      </c>
      <c r="F93" s="666">
        <v>14695</v>
      </c>
      <c r="G93" s="666">
        <v>0</v>
      </c>
      <c r="H93" s="667" t="e">
        <f t="shared" si="20"/>
        <v>#DIV/0!</v>
      </c>
      <c r="I93" s="666">
        <v>193267</v>
      </c>
      <c r="J93" s="666">
        <v>0</v>
      </c>
      <c r="K93" s="667" t="e">
        <f t="shared" si="21"/>
        <v>#DIV/0!</v>
      </c>
      <c r="L93" s="666">
        <v>0</v>
      </c>
      <c r="M93" s="666">
        <v>0</v>
      </c>
      <c r="N93" s="666" t="e">
        <f t="shared" si="22"/>
        <v>#DIV/0!</v>
      </c>
      <c r="O93" s="668">
        <v>29</v>
      </c>
    </row>
    <row r="94" spans="1:16" ht="17.25" x14ac:dyDescent="0.25">
      <c r="A94" s="598">
        <v>14</v>
      </c>
      <c r="B94" s="544" t="s">
        <v>617</v>
      </c>
      <c r="C94" s="247">
        <v>1226229</v>
      </c>
      <c r="D94" s="247">
        <v>1045705</v>
      </c>
      <c r="E94" s="425">
        <f t="shared" si="23"/>
        <v>117.26337733873319</v>
      </c>
      <c r="F94" s="247">
        <v>118867</v>
      </c>
      <c r="G94" s="247">
        <v>51115</v>
      </c>
      <c r="H94" s="425">
        <f t="shared" si="20"/>
        <v>232.54817568228506</v>
      </c>
      <c r="I94" s="247">
        <v>1200126</v>
      </c>
      <c r="J94" s="247">
        <v>1052718</v>
      </c>
      <c r="K94" s="425">
        <f t="shared" si="21"/>
        <v>114.00261038568733</v>
      </c>
      <c r="L94" s="247">
        <v>927760</v>
      </c>
      <c r="M94" s="247">
        <v>743626</v>
      </c>
      <c r="N94" s="247">
        <f t="shared" si="22"/>
        <v>124.76164093240418</v>
      </c>
      <c r="O94" s="126">
        <v>180</v>
      </c>
      <c r="P94" s="126">
        <v>40</v>
      </c>
    </row>
    <row r="95" spans="1:16" x14ac:dyDescent="0.25">
      <c r="A95" s="538"/>
      <c r="B95" s="537"/>
    </row>
    <row r="96" spans="1:16" ht="17.25" x14ac:dyDescent="0.25">
      <c r="A96" s="1033" t="s">
        <v>738</v>
      </c>
      <c r="B96" s="1034"/>
      <c r="C96" s="450">
        <f>SUM(C97:C124)</f>
        <v>4828136</v>
      </c>
      <c r="D96" s="450">
        <f>SUM(D97:D124)</f>
        <v>2806907</v>
      </c>
      <c r="E96" s="453">
        <f>C96/D96*100</f>
        <v>172.00911893411504</v>
      </c>
      <c r="F96" s="450">
        <f>SUM(F97:F124)</f>
        <v>568796</v>
      </c>
      <c r="G96" s="450">
        <f>SUM(G97:G124)</f>
        <v>331736</v>
      </c>
      <c r="H96" s="453">
        <f>F96/G96*100</f>
        <v>171.46043842091302</v>
      </c>
      <c r="I96" s="450">
        <f>SUM(I97:I124)</f>
        <v>5038027</v>
      </c>
      <c r="J96" s="450">
        <f>SUM(J97:J124)</f>
        <v>2958809</v>
      </c>
      <c r="K96" s="453">
        <f>I96/J96*100</f>
        <v>170.2721263859884</v>
      </c>
      <c r="L96" s="450">
        <f>SUM(L97:L124)</f>
        <v>2891173</v>
      </c>
      <c r="M96" s="450">
        <f>SUM(M97:M124)</f>
        <v>1381760</v>
      </c>
      <c r="N96" s="453">
        <f>L96/M96*100</f>
        <v>209.23843503937007</v>
      </c>
    </row>
    <row r="97" spans="1:16" ht="17.25" x14ac:dyDescent="0.25">
      <c r="A97" s="265">
        <v>1</v>
      </c>
      <c r="B97" s="544" t="s">
        <v>627</v>
      </c>
      <c r="C97" s="247">
        <v>606754</v>
      </c>
      <c r="D97" s="247">
        <v>449421</v>
      </c>
      <c r="E97" s="425">
        <f t="shared" ref="E97:E124" si="24">C97/D97*100</f>
        <v>135.00793242861371</v>
      </c>
      <c r="F97" s="247">
        <v>59664</v>
      </c>
      <c r="G97" s="247">
        <v>68432</v>
      </c>
      <c r="H97" s="425">
        <f t="shared" ref="H97:H124" si="25">F97/G97*100</f>
        <v>87.187280804302077</v>
      </c>
      <c r="I97" s="247">
        <v>597077</v>
      </c>
      <c r="J97" s="247">
        <v>466110</v>
      </c>
      <c r="K97" s="425">
        <f t="shared" ref="K97:K124" si="26">I97/J97*100</f>
        <v>128.09787389242882</v>
      </c>
      <c r="L97" s="247">
        <v>589151</v>
      </c>
      <c r="M97" s="247">
        <v>466090</v>
      </c>
      <c r="N97" s="425">
        <f t="shared" ref="N97:N124" si="27">L97/M97*100</f>
        <v>126.40284065309275</v>
      </c>
      <c r="O97" s="126">
        <v>320</v>
      </c>
      <c r="P97" s="126">
        <v>126</v>
      </c>
    </row>
    <row r="98" spans="1:16" ht="17.25" x14ac:dyDescent="0.25">
      <c r="A98" s="265">
        <v>2</v>
      </c>
      <c r="B98" s="544" t="s">
        <v>628</v>
      </c>
      <c r="C98" s="247">
        <v>0</v>
      </c>
      <c r="D98" s="247">
        <v>0</v>
      </c>
      <c r="E98" s="425" t="e">
        <f t="shared" si="24"/>
        <v>#DIV/0!</v>
      </c>
      <c r="F98" s="247">
        <v>0</v>
      </c>
      <c r="G98" s="247">
        <v>0</v>
      </c>
      <c r="H98" s="425" t="e">
        <f t="shared" si="25"/>
        <v>#DIV/0!</v>
      </c>
      <c r="I98" s="247">
        <v>0</v>
      </c>
      <c r="J98" s="247">
        <v>0</v>
      </c>
      <c r="K98" s="425" t="e">
        <f t="shared" si="26"/>
        <v>#DIV/0!</v>
      </c>
      <c r="L98" s="247">
        <v>0</v>
      </c>
      <c r="M98" s="247">
        <v>0</v>
      </c>
      <c r="N98" s="425" t="e">
        <f t="shared" si="27"/>
        <v>#DIV/0!</v>
      </c>
    </row>
    <row r="99" spans="1:16" ht="17.25" x14ac:dyDescent="0.25">
      <c r="A99" s="265">
        <v>3</v>
      </c>
      <c r="B99" s="544" t="s">
        <v>629</v>
      </c>
      <c r="C99" s="247">
        <v>0</v>
      </c>
      <c r="D99" s="247">
        <v>0</v>
      </c>
      <c r="E99" s="425" t="e">
        <f t="shared" si="24"/>
        <v>#DIV/0!</v>
      </c>
      <c r="F99" s="247">
        <v>0</v>
      </c>
      <c r="G99" s="247">
        <v>0</v>
      </c>
      <c r="H99" s="425" t="e">
        <f t="shared" si="25"/>
        <v>#DIV/0!</v>
      </c>
      <c r="I99" s="247">
        <v>0</v>
      </c>
      <c r="J99" s="247">
        <v>0</v>
      </c>
      <c r="K99" s="425" t="e">
        <f t="shared" si="26"/>
        <v>#DIV/0!</v>
      </c>
      <c r="L99" s="247">
        <v>0</v>
      </c>
      <c r="M99" s="247">
        <v>0</v>
      </c>
      <c r="N99" s="425" t="e">
        <f t="shared" si="27"/>
        <v>#DIV/0!</v>
      </c>
      <c r="O99" s="562"/>
    </row>
    <row r="100" spans="1:16" ht="17.25" x14ac:dyDescent="0.25">
      <c r="A100" s="265">
        <v>4</v>
      </c>
      <c r="B100" s="544" t="s">
        <v>630</v>
      </c>
      <c r="C100" s="247">
        <v>69544</v>
      </c>
      <c r="D100" s="247">
        <v>33919</v>
      </c>
      <c r="E100" s="425">
        <f t="shared" si="24"/>
        <v>205.02962941124446</v>
      </c>
      <c r="F100" s="247">
        <v>7161</v>
      </c>
      <c r="G100" s="247">
        <v>2844</v>
      </c>
      <c r="H100" s="425">
        <f t="shared" si="25"/>
        <v>251.79324894514767</v>
      </c>
      <c r="I100" s="247">
        <v>53422</v>
      </c>
      <c r="J100" s="247">
        <v>24641</v>
      </c>
      <c r="K100" s="425">
        <f t="shared" si="26"/>
        <v>216.80126618237895</v>
      </c>
      <c r="L100" s="247">
        <v>0</v>
      </c>
      <c r="M100" s="247">
        <v>0</v>
      </c>
      <c r="N100" s="425" t="e">
        <f t="shared" si="27"/>
        <v>#DIV/0!</v>
      </c>
      <c r="O100" s="126">
        <v>19</v>
      </c>
      <c r="P100" s="126">
        <v>140</v>
      </c>
    </row>
    <row r="101" spans="1:16" ht="17.25" x14ac:dyDescent="0.25">
      <c r="A101" s="265">
        <v>5</v>
      </c>
      <c r="B101" s="544" t="s">
        <v>631</v>
      </c>
      <c r="C101" s="247">
        <v>360610</v>
      </c>
      <c r="D101" s="247">
        <v>526149</v>
      </c>
      <c r="E101" s="425">
        <f t="shared" si="24"/>
        <v>68.537619571642253</v>
      </c>
      <c r="F101" s="247">
        <v>10968</v>
      </c>
      <c r="G101" s="247">
        <v>46940</v>
      </c>
      <c r="H101" s="425">
        <f t="shared" si="25"/>
        <v>23.365999147848317</v>
      </c>
      <c r="I101" s="247">
        <v>470394</v>
      </c>
      <c r="J101" s="247">
        <v>566866</v>
      </c>
      <c r="K101" s="425">
        <f t="shared" si="26"/>
        <v>82.981515913813837</v>
      </c>
      <c r="L101" s="247">
        <v>470394</v>
      </c>
      <c r="M101" s="247">
        <v>566866</v>
      </c>
      <c r="N101" s="425">
        <f t="shared" si="27"/>
        <v>82.981515913813837</v>
      </c>
      <c r="O101" s="126">
        <v>359</v>
      </c>
      <c r="P101" s="126">
        <v>52</v>
      </c>
    </row>
    <row r="102" spans="1:16" ht="17.25" x14ac:dyDescent="0.25">
      <c r="A102" s="265">
        <v>6</v>
      </c>
      <c r="B102" s="544" t="s">
        <v>632</v>
      </c>
      <c r="C102" s="247">
        <v>0</v>
      </c>
      <c r="D102" s="247">
        <v>0</v>
      </c>
      <c r="E102" s="425" t="e">
        <f t="shared" si="24"/>
        <v>#DIV/0!</v>
      </c>
      <c r="F102" s="247">
        <v>0</v>
      </c>
      <c r="G102" s="247">
        <v>0</v>
      </c>
      <c r="H102" s="425" t="e">
        <f t="shared" si="25"/>
        <v>#DIV/0!</v>
      </c>
      <c r="I102" s="247">
        <v>0</v>
      </c>
      <c r="J102" s="247">
        <v>0</v>
      </c>
      <c r="K102" s="425" t="e">
        <f t="shared" si="26"/>
        <v>#DIV/0!</v>
      </c>
      <c r="L102" s="247">
        <v>0</v>
      </c>
      <c r="M102" s="247">
        <v>0</v>
      </c>
      <c r="N102" s="425" t="e">
        <f t="shared" si="27"/>
        <v>#DIV/0!</v>
      </c>
    </row>
    <row r="103" spans="1:16" ht="17.25" x14ac:dyDescent="0.25">
      <c r="A103" s="265">
        <v>7</v>
      </c>
      <c r="B103" s="544" t="s">
        <v>633</v>
      </c>
      <c r="C103" s="247">
        <v>0</v>
      </c>
      <c r="D103" s="247">
        <v>0</v>
      </c>
      <c r="E103" s="425" t="e">
        <f t="shared" si="24"/>
        <v>#DIV/0!</v>
      </c>
      <c r="F103" s="247">
        <v>0</v>
      </c>
      <c r="G103" s="247">
        <v>0</v>
      </c>
      <c r="H103" s="425" t="e">
        <f t="shared" si="25"/>
        <v>#DIV/0!</v>
      </c>
      <c r="I103" s="247">
        <v>0</v>
      </c>
      <c r="J103" s="247">
        <v>0</v>
      </c>
      <c r="K103" s="425" t="e">
        <f t="shared" si="26"/>
        <v>#DIV/0!</v>
      </c>
      <c r="L103" s="247">
        <v>0</v>
      </c>
      <c r="M103" s="247">
        <v>0</v>
      </c>
      <c r="N103" s="425" t="e">
        <f t="shared" si="27"/>
        <v>#DIV/0!</v>
      </c>
    </row>
    <row r="104" spans="1:16" s="797" customFormat="1" ht="17.25" x14ac:dyDescent="0.25">
      <c r="A104" s="796">
        <v>8</v>
      </c>
      <c r="B104" s="665" t="s">
        <v>634</v>
      </c>
      <c r="C104" s="666"/>
      <c r="D104" s="666"/>
      <c r="E104" s="667" t="e">
        <f t="shared" si="24"/>
        <v>#DIV/0!</v>
      </c>
      <c r="F104" s="666"/>
      <c r="G104" s="666"/>
      <c r="H104" s="667" t="e">
        <f t="shared" si="25"/>
        <v>#DIV/0!</v>
      </c>
      <c r="I104" s="666"/>
      <c r="J104" s="666"/>
      <c r="K104" s="667" t="e">
        <f t="shared" si="26"/>
        <v>#DIV/0!</v>
      </c>
      <c r="L104" s="666"/>
      <c r="M104" s="666"/>
      <c r="N104" s="667" t="e">
        <f t="shared" si="27"/>
        <v>#DIV/0!</v>
      </c>
      <c r="O104" s="797">
        <v>94</v>
      </c>
      <c r="P104" s="797">
        <v>98</v>
      </c>
    </row>
    <row r="105" spans="1:16" s="797" customFormat="1" ht="17.25" x14ac:dyDescent="0.25">
      <c r="A105" s="796">
        <v>9</v>
      </c>
      <c r="B105" s="665" t="s">
        <v>635</v>
      </c>
      <c r="C105" s="666">
        <v>0</v>
      </c>
      <c r="D105" s="666">
        <v>0</v>
      </c>
      <c r="E105" s="667" t="e">
        <f t="shared" si="24"/>
        <v>#DIV/0!</v>
      </c>
      <c r="F105" s="666">
        <v>0</v>
      </c>
      <c r="G105" s="666">
        <v>0</v>
      </c>
      <c r="H105" s="667" t="e">
        <f t="shared" si="25"/>
        <v>#DIV/0!</v>
      </c>
      <c r="I105" s="666">
        <v>0</v>
      </c>
      <c r="J105" s="666">
        <v>0</v>
      </c>
      <c r="K105" s="667" t="e">
        <f t="shared" si="26"/>
        <v>#DIV/0!</v>
      </c>
      <c r="L105" s="666">
        <v>0</v>
      </c>
      <c r="M105" s="666">
        <v>0</v>
      </c>
      <c r="N105" s="667" t="e">
        <f t="shared" si="27"/>
        <v>#DIV/0!</v>
      </c>
    </row>
    <row r="106" spans="1:16" s="797" customFormat="1" ht="17.25" x14ac:dyDescent="0.25">
      <c r="A106" s="796">
        <v>10</v>
      </c>
      <c r="B106" s="665" t="s">
        <v>636</v>
      </c>
      <c r="C106" s="247">
        <v>60558</v>
      </c>
      <c r="D106" s="247">
        <v>131674</v>
      </c>
      <c r="E106" s="667">
        <f t="shared" si="24"/>
        <v>45.990856205477165</v>
      </c>
      <c r="F106" s="666">
        <v>0</v>
      </c>
      <c r="G106" s="666">
        <v>0</v>
      </c>
      <c r="H106" s="667" t="e">
        <f t="shared" si="25"/>
        <v>#DIV/0!</v>
      </c>
      <c r="I106" s="247">
        <v>60558</v>
      </c>
      <c r="J106" s="247">
        <v>131674</v>
      </c>
      <c r="K106" s="667">
        <f t="shared" si="26"/>
        <v>45.990856205477165</v>
      </c>
      <c r="L106" s="247">
        <v>60558</v>
      </c>
      <c r="M106" s="247">
        <v>131674</v>
      </c>
      <c r="N106" s="667">
        <f t="shared" si="27"/>
        <v>45.990856205477165</v>
      </c>
      <c r="O106" s="797">
        <v>80</v>
      </c>
      <c r="P106" s="797">
        <v>69</v>
      </c>
    </row>
    <row r="107" spans="1:16" ht="17.25" x14ac:dyDescent="0.25">
      <c r="A107" s="265">
        <v>11</v>
      </c>
      <c r="B107" s="544" t="s">
        <v>637</v>
      </c>
      <c r="C107" s="247">
        <v>0</v>
      </c>
      <c r="D107" s="247">
        <v>0</v>
      </c>
      <c r="E107" s="425" t="e">
        <f t="shared" si="24"/>
        <v>#DIV/0!</v>
      </c>
      <c r="F107" s="247">
        <v>0</v>
      </c>
      <c r="G107" s="247">
        <v>0</v>
      </c>
      <c r="H107" s="425" t="e">
        <f t="shared" si="25"/>
        <v>#DIV/0!</v>
      </c>
      <c r="I107" s="247">
        <v>0</v>
      </c>
      <c r="J107" s="247">
        <v>0</v>
      </c>
      <c r="K107" s="425" t="e">
        <f t="shared" si="26"/>
        <v>#DIV/0!</v>
      </c>
      <c r="L107" s="247">
        <v>0</v>
      </c>
      <c r="M107" s="247">
        <v>0</v>
      </c>
      <c r="N107" s="425" t="e">
        <f t="shared" si="27"/>
        <v>#DIV/0!</v>
      </c>
    </row>
    <row r="108" spans="1:16" ht="17.25" x14ac:dyDescent="0.25">
      <c r="A108" s="265">
        <v>12</v>
      </c>
      <c r="B108" s="544" t="s">
        <v>638</v>
      </c>
      <c r="C108" s="247">
        <v>0</v>
      </c>
      <c r="D108" s="247">
        <v>0</v>
      </c>
      <c r="E108" s="425" t="e">
        <f t="shared" si="24"/>
        <v>#DIV/0!</v>
      </c>
      <c r="F108" s="247">
        <v>0</v>
      </c>
      <c r="G108" s="247">
        <v>0</v>
      </c>
      <c r="H108" s="425" t="e">
        <f t="shared" si="25"/>
        <v>#DIV/0!</v>
      </c>
      <c r="I108" s="247">
        <v>0</v>
      </c>
      <c r="J108" s="247">
        <v>0</v>
      </c>
      <c r="K108" s="425" t="e">
        <f t="shared" si="26"/>
        <v>#DIV/0!</v>
      </c>
      <c r="L108" s="247">
        <v>0</v>
      </c>
      <c r="M108" s="247">
        <v>0</v>
      </c>
      <c r="N108" s="425" t="e">
        <f t="shared" si="27"/>
        <v>#DIV/0!</v>
      </c>
      <c r="O108" s="126">
        <v>8</v>
      </c>
      <c r="P108" s="126">
        <v>58</v>
      </c>
    </row>
    <row r="109" spans="1:16" ht="17.25" x14ac:dyDescent="0.25">
      <c r="A109" s="265">
        <v>13</v>
      </c>
      <c r="B109" s="544" t="s">
        <v>639</v>
      </c>
      <c r="C109" s="247">
        <v>61587</v>
      </c>
      <c r="D109" s="247">
        <v>45413</v>
      </c>
      <c r="E109" s="425">
        <f t="shared" si="24"/>
        <v>135.61535243212296</v>
      </c>
      <c r="F109" s="247">
        <v>1041</v>
      </c>
      <c r="G109" s="247">
        <v>7516</v>
      </c>
      <c r="H109" s="425">
        <f t="shared" si="25"/>
        <v>13.850452368280999</v>
      </c>
      <c r="I109" s="247">
        <v>64608</v>
      </c>
      <c r="J109" s="247">
        <v>41118</v>
      </c>
      <c r="K109" s="425">
        <f t="shared" si="26"/>
        <v>157.12826499343353</v>
      </c>
      <c r="L109" s="247">
        <v>36093</v>
      </c>
      <c r="M109" s="247">
        <v>28156</v>
      </c>
      <c r="N109" s="425">
        <f t="shared" si="27"/>
        <v>128.18937349055264</v>
      </c>
      <c r="O109" s="126">
        <v>61</v>
      </c>
      <c r="P109" s="126">
        <v>65</v>
      </c>
    </row>
    <row r="110" spans="1:16" ht="17.25" x14ac:dyDescent="0.25">
      <c r="A110" s="265">
        <v>14</v>
      </c>
      <c r="B110" s="544" t="s">
        <v>640</v>
      </c>
      <c r="C110" s="247">
        <v>0</v>
      </c>
      <c r="D110" s="247">
        <v>0</v>
      </c>
      <c r="E110" s="425" t="e">
        <f t="shared" si="24"/>
        <v>#DIV/0!</v>
      </c>
      <c r="F110" s="247">
        <v>0</v>
      </c>
      <c r="G110" s="247">
        <v>0</v>
      </c>
      <c r="H110" s="425" t="e">
        <f>F110/G110*100</f>
        <v>#DIV/0!</v>
      </c>
      <c r="I110" s="247">
        <v>0</v>
      </c>
      <c r="J110" s="247">
        <v>0</v>
      </c>
      <c r="K110" s="425" t="e">
        <f t="shared" si="26"/>
        <v>#DIV/0!</v>
      </c>
      <c r="L110" s="247">
        <v>0</v>
      </c>
      <c r="M110" s="247">
        <v>0</v>
      </c>
      <c r="N110" s="425" t="e">
        <f t="shared" si="27"/>
        <v>#DIV/0!</v>
      </c>
    </row>
    <row r="111" spans="1:16" ht="17.25" x14ac:dyDescent="0.25">
      <c r="A111" s="265">
        <v>15</v>
      </c>
      <c r="B111" s="544" t="s">
        <v>641</v>
      </c>
      <c r="C111" s="247">
        <v>112204</v>
      </c>
      <c r="D111" s="247">
        <v>121086</v>
      </c>
      <c r="E111" s="425">
        <f t="shared" si="24"/>
        <v>92.664717638703081</v>
      </c>
      <c r="F111" s="247">
        <v>12819</v>
      </c>
      <c r="G111" s="247">
        <v>15105</v>
      </c>
      <c r="H111" s="425">
        <f t="shared" si="25"/>
        <v>84.865938430983121</v>
      </c>
      <c r="I111" s="247">
        <v>112204</v>
      </c>
      <c r="J111" s="247">
        <v>121086</v>
      </c>
      <c r="K111" s="425">
        <f t="shared" si="26"/>
        <v>92.664717638703081</v>
      </c>
      <c r="L111" s="247">
        <v>112204</v>
      </c>
      <c r="M111" s="247">
        <v>121086</v>
      </c>
      <c r="N111" s="425">
        <f t="shared" si="27"/>
        <v>92.664717638703081</v>
      </c>
      <c r="O111" s="126">
        <v>54</v>
      </c>
      <c r="P111" s="126">
        <v>70</v>
      </c>
    </row>
    <row r="112" spans="1:16" ht="17.25" x14ac:dyDescent="0.25">
      <c r="A112" s="265">
        <v>16</v>
      </c>
      <c r="B112" s="544" t="s">
        <v>642</v>
      </c>
      <c r="C112" s="247">
        <v>170771</v>
      </c>
      <c r="D112" s="247">
        <v>239620</v>
      </c>
      <c r="E112" s="425">
        <f t="shared" si="24"/>
        <v>71.267423420415653</v>
      </c>
      <c r="F112" s="247">
        <v>8992</v>
      </c>
      <c r="G112" s="247">
        <v>32661</v>
      </c>
      <c r="H112" s="425">
        <f t="shared" si="25"/>
        <v>27.531306451119068</v>
      </c>
      <c r="I112" s="247">
        <v>166422</v>
      </c>
      <c r="J112" s="247">
        <v>240333</v>
      </c>
      <c r="K112" s="425">
        <f t="shared" si="26"/>
        <v>69.246420591429398</v>
      </c>
      <c r="L112" s="247">
        <v>0</v>
      </c>
      <c r="M112" s="247">
        <v>0</v>
      </c>
      <c r="N112" s="425" t="e">
        <f t="shared" si="27"/>
        <v>#DIV/0!</v>
      </c>
      <c r="O112" s="126">
        <v>37</v>
      </c>
      <c r="P112" s="126">
        <v>76</v>
      </c>
    </row>
    <row r="113" spans="1:16" ht="34.5" x14ac:dyDescent="0.25">
      <c r="A113" s="265">
        <v>17</v>
      </c>
      <c r="B113" s="544" t="s">
        <v>643</v>
      </c>
      <c r="C113" s="247">
        <v>870917</v>
      </c>
      <c r="D113" s="247">
        <v>746524</v>
      </c>
      <c r="E113" s="425">
        <f t="shared" si="24"/>
        <v>116.66296060140063</v>
      </c>
      <c r="F113" s="247">
        <v>102543</v>
      </c>
      <c r="G113" s="247">
        <v>101395</v>
      </c>
      <c r="H113" s="425">
        <f t="shared" si="25"/>
        <v>101.13220573006558</v>
      </c>
      <c r="I113" s="247">
        <v>954302</v>
      </c>
      <c r="J113" s="247">
        <v>718778</v>
      </c>
      <c r="K113" s="425">
        <f t="shared" si="26"/>
        <v>132.76728002248259</v>
      </c>
      <c r="L113" s="247">
        <v>0</v>
      </c>
      <c r="M113" s="247">
        <v>0</v>
      </c>
      <c r="N113" s="425" t="e">
        <f t="shared" si="27"/>
        <v>#DIV/0!</v>
      </c>
      <c r="O113" s="126">
        <v>181</v>
      </c>
      <c r="P113" s="126">
        <v>120</v>
      </c>
    </row>
    <row r="114" spans="1:16" ht="34.5" x14ac:dyDescent="0.25">
      <c r="A114" s="265">
        <v>18</v>
      </c>
      <c r="B114" s="544" t="s">
        <v>644</v>
      </c>
      <c r="C114" s="247">
        <v>1769837</v>
      </c>
      <c r="D114" s="247">
        <v>0</v>
      </c>
      <c r="E114" s="425" t="e">
        <f t="shared" si="24"/>
        <v>#DIV/0!</v>
      </c>
      <c r="F114" s="247">
        <v>187126</v>
      </c>
      <c r="G114" s="247">
        <v>0</v>
      </c>
      <c r="H114" s="425" t="e">
        <f t="shared" si="25"/>
        <v>#DIV/0!</v>
      </c>
      <c r="I114" s="247">
        <v>1769837</v>
      </c>
      <c r="J114" s="247">
        <v>0</v>
      </c>
      <c r="K114" s="425" t="e">
        <f t="shared" si="26"/>
        <v>#DIV/0!</v>
      </c>
      <c r="L114" s="247">
        <v>1559184</v>
      </c>
      <c r="M114" s="247">
        <v>0</v>
      </c>
      <c r="N114" s="425" t="e">
        <f t="shared" si="27"/>
        <v>#DIV/0!</v>
      </c>
      <c r="O114" s="126">
        <v>765</v>
      </c>
      <c r="P114" s="126">
        <v>77</v>
      </c>
    </row>
    <row r="115" spans="1:16" ht="17.25" x14ac:dyDescent="0.25">
      <c r="A115" s="265">
        <v>19</v>
      </c>
      <c r="B115" s="665" t="s">
        <v>645</v>
      </c>
      <c r="C115" s="247">
        <v>106576</v>
      </c>
      <c r="D115" s="247">
        <v>0</v>
      </c>
      <c r="E115" s="425" t="e">
        <f t="shared" si="24"/>
        <v>#DIV/0!</v>
      </c>
      <c r="F115" s="247">
        <v>97634</v>
      </c>
      <c r="G115" s="247">
        <v>0</v>
      </c>
      <c r="H115" s="425" t="e">
        <f t="shared" si="25"/>
        <v>#DIV/0!</v>
      </c>
      <c r="I115" s="247">
        <v>6231</v>
      </c>
      <c r="J115" s="247">
        <v>0</v>
      </c>
      <c r="K115" s="425" t="e">
        <f t="shared" si="26"/>
        <v>#DIV/0!</v>
      </c>
      <c r="L115" s="247">
        <v>0</v>
      </c>
      <c r="M115" s="247">
        <v>0</v>
      </c>
      <c r="N115" s="425" t="e">
        <f t="shared" si="27"/>
        <v>#DIV/0!</v>
      </c>
      <c r="O115" s="126">
        <v>28</v>
      </c>
      <c r="P115" s="126">
        <v>67</v>
      </c>
    </row>
    <row r="116" spans="1:16" ht="34.5" x14ac:dyDescent="0.25">
      <c r="A116" s="265">
        <v>20</v>
      </c>
      <c r="B116" s="544" t="s">
        <v>646</v>
      </c>
      <c r="C116" s="247">
        <v>0</v>
      </c>
      <c r="D116" s="247">
        <v>0</v>
      </c>
      <c r="E116" s="425" t="e">
        <f t="shared" si="24"/>
        <v>#DIV/0!</v>
      </c>
      <c r="F116" s="247">
        <v>0</v>
      </c>
      <c r="G116" s="247">
        <v>0</v>
      </c>
      <c r="H116" s="425" t="e">
        <f t="shared" si="25"/>
        <v>#DIV/0!</v>
      </c>
      <c r="I116" s="247">
        <v>0</v>
      </c>
      <c r="J116" s="247">
        <v>0</v>
      </c>
      <c r="K116" s="425" t="e">
        <f t="shared" si="26"/>
        <v>#DIV/0!</v>
      </c>
      <c r="L116" s="247">
        <v>0</v>
      </c>
      <c r="M116" s="247">
        <v>0</v>
      </c>
      <c r="N116" s="425" t="e">
        <f t="shared" si="27"/>
        <v>#DIV/0!</v>
      </c>
    </row>
    <row r="117" spans="1:16" ht="17.25" x14ac:dyDescent="0.25">
      <c r="A117" s="265">
        <v>21</v>
      </c>
      <c r="B117" s="544" t="s">
        <v>647</v>
      </c>
      <c r="C117" s="247">
        <v>68200</v>
      </c>
      <c r="D117" s="247">
        <v>90604</v>
      </c>
      <c r="E117" s="425">
        <f t="shared" si="24"/>
        <v>75.272614895589598</v>
      </c>
      <c r="F117" s="247">
        <v>2623</v>
      </c>
      <c r="G117" s="247">
        <v>7429</v>
      </c>
      <c r="H117" s="425">
        <f t="shared" si="25"/>
        <v>35.307578408937943</v>
      </c>
      <c r="I117" s="247">
        <v>68600</v>
      </c>
      <c r="J117" s="247">
        <v>90604</v>
      </c>
      <c r="K117" s="425">
        <f t="shared" si="26"/>
        <v>75.714096507880441</v>
      </c>
      <c r="L117" s="247">
        <v>63589</v>
      </c>
      <c r="M117" s="247">
        <v>67888</v>
      </c>
      <c r="N117" s="425">
        <f t="shared" si="27"/>
        <v>93.667511194909252</v>
      </c>
      <c r="O117" s="126">
        <v>16</v>
      </c>
      <c r="P117" s="126">
        <v>70</v>
      </c>
    </row>
    <row r="118" spans="1:16" ht="17.25" x14ac:dyDescent="0.25">
      <c r="A118" s="265">
        <v>22</v>
      </c>
      <c r="B118" s="544" t="s">
        <v>648</v>
      </c>
      <c r="C118" s="247">
        <v>28840</v>
      </c>
      <c r="D118" s="247">
        <v>33290</v>
      </c>
      <c r="E118" s="425">
        <f t="shared" si="24"/>
        <v>86.632622409131869</v>
      </c>
      <c r="F118" s="247">
        <v>1260</v>
      </c>
      <c r="G118" s="247">
        <v>2400</v>
      </c>
      <c r="H118" s="425">
        <f t="shared" si="25"/>
        <v>52.5</v>
      </c>
      <c r="I118" s="247">
        <v>42845</v>
      </c>
      <c r="J118" s="247">
        <v>51264</v>
      </c>
      <c r="K118" s="425">
        <f t="shared" si="26"/>
        <v>83.577169163545577</v>
      </c>
      <c r="L118" s="247">
        <v>0</v>
      </c>
      <c r="M118" s="247">
        <v>0</v>
      </c>
      <c r="N118" s="425" t="e">
        <f t="shared" si="27"/>
        <v>#DIV/0!</v>
      </c>
      <c r="O118" s="126">
        <v>13</v>
      </c>
      <c r="P118" s="126">
        <v>95</v>
      </c>
    </row>
    <row r="119" spans="1:16" ht="17.25" x14ac:dyDescent="0.25">
      <c r="A119" s="265">
        <v>23</v>
      </c>
      <c r="B119" s="665" t="s">
        <v>649</v>
      </c>
      <c r="C119" s="247">
        <v>169737</v>
      </c>
      <c r="D119" s="247">
        <v>140857</v>
      </c>
      <c r="E119" s="425">
        <f t="shared" si="24"/>
        <v>120.50306339053083</v>
      </c>
      <c r="F119" s="247">
        <v>15323</v>
      </c>
      <c r="G119" s="247">
        <v>8746</v>
      </c>
      <c r="H119" s="425">
        <f t="shared" si="25"/>
        <v>175.20009147038647</v>
      </c>
      <c r="I119" s="247">
        <v>171330</v>
      </c>
      <c r="J119" s="247">
        <v>142110</v>
      </c>
      <c r="K119" s="425">
        <f t="shared" si="26"/>
        <v>120.56153683766098</v>
      </c>
      <c r="L119" s="247">
        <v>0</v>
      </c>
      <c r="M119" s="247">
        <v>0</v>
      </c>
      <c r="N119" s="425" t="e">
        <f t="shared" si="27"/>
        <v>#DIV/0!</v>
      </c>
      <c r="O119" s="126">
        <v>31</v>
      </c>
      <c r="P119" s="126">
        <v>76</v>
      </c>
    </row>
    <row r="120" spans="1:16" ht="17.25" x14ac:dyDescent="0.25">
      <c r="A120" s="265">
        <v>24</v>
      </c>
      <c r="B120" s="544" t="s">
        <v>650</v>
      </c>
      <c r="C120" s="247">
        <v>67054</v>
      </c>
      <c r="D120" s="247">
        <v>47951</v>
      </c>
      <c r="E120" s="425">
        <f t="shared" si="24"/>
        <v>139.83858522241454</v>
      </c>
      <c r="F120" s="247">
        <v>10010</v>
      </c>
      <c r="G120" s="247">
        <v>6160</v>
      </c>
      <c r="H120" s="425">
        <f t="shared" si="25"/>
        <v>162.5</v>
      </c>
      <c r="I120" s="247">
        <v>197516</v>
      </c>
      <c r="J120" s="247">
        <v>139969</v>
      </c>
      <c r="K120" s="425">
        <f t="shared" si="26"/>
        <v>141.11410383727824</v>
      </c>
      <c r="L120" s="247">
        <v>0</v>
      </c>
      <c r="M120" s="247">
        <v>0</v>
      </c>
      <c r="N120" s="425" t="e">
        <f t="shared" si="27"/>
        <v>#DIV/0!</v>
      </c>
      <c r="O120" s="126">
        <v>48</v>
      </c>
      <c r="P120" s="126">
        <v>70</v>
      </c>
    </row>
    <row r="121" spans="1:16" ht="34.5" x14ac:dyDescent="0.25">
      <c r="A121" s="265">
        <v>25</v>
      </c>
      <c r="B121" s="544" t="s">
        <v>651</v>
      </c>
      <c r="C121" s="247">
        <v>67160</v>
      </c>
      <c r="D121" s="247">
        <v>39091</v>
      </c>
      <c r="E121" s="425">
        <f t="shared" si="24"/>
        <v>171.80425161801949</v>
      </c>
      <c r="F121" s="247">
        <v>23140</v>
      </c>
      <c r="G121" s="247">
        <v>3458</v>
      </c>
      <c r="H121" s="425">
        <f t="shared" si="25"/>
        <v>669.17293233082705</v>
      </c>
      <c r="I121" s="247">
        <v>67043</v>
      </c>
      <c r="J121" s="247">
        <v>39516</v>
      </c>
      <c r="K121" s="425">
        <f t="shared" si="26"/>
        <v>169.66039072780646</v>
      </c>
      <c r="L121" s="247">
        <v>0</v>
      </c>
      <c r="M121" s="247">
        <v>0</v>
      </c>
      <c r="N121" s="425" t="e">
        <f t="shared" si="27"/>
        <v>#DIV/0!</v>
      </c>
      <c r="O121" s="126">
        <v>23</v>
      </c>
      <c r="P121" s="126">
        <v>69</v>
      </c>
    </row>
    <row r="122" spans="1:16" s="668" customFormat="1" ht="17.25" x14ac:dyDescent="0.25">
      <c r="A122" s="796">
        <v>26</v>
      </c>
      <c r="B122" s="665" t="s">
        <v>228</v>
      </c>
      <c r="C122" s="666">
        <v>42193</v>
      </c>
      <c r="D122" s="666">
        <v>24334</v>
      </c>
      <c r="E122" s="667">
        <f t="shared" si="24"/>
        <v>173.39113996876799</v>
      </c>
      <c r="F122" s="666">
        <v>1252</v>
      </c>
      <c r="G122" s="666">
        <v>1987</v>
      </c>
      <c r="H122" s="667">
        <f t="shared" si="25"/>
        <v>63.00956215400101</v>
      </c>
      <c r="I122" s="666">
        <v>31577</v>
      </c>
      <c r="J122" s="666">
        <v>30855</v>
      </c>
      <c r="K122" s="667">
        <f t="shared" si="26"/>
        <v>102.33997731323934</v>
      </c>
      <c r="L122" s="666">
        <v>0</v>
      </c>
      <c r="M122" s="666">
        <v>0</v>
      </c>
      <c r="N122" s="667" t="e">
        <f t="shared" si="27"/>
        <v>#DIV/0!</v>
      </c>
      <c r="O122" s="668">
        <v>15</v>
      </c>
      <c r="P122" s="668">
        <v>65</v>
      </c>
    </row>
    <row r="123" spans="1:16" s="668" customFormat="1" ht="34.5" x14ac:dyDescent="0.25">
      <c r="A123" s="796">
        <v>27</v>
      </c>
      <c r="B123" s="665" t="s">
        <v>784</v>
      </c>
      <c r="C123" s="666">
        <v>99635</v>
      </c>
      <c r="D123" s="666">
        <v>44708</v>
      </c>
      <c r="E123" s="667">
        <f t="shared" si="24"/>
        <v>222.85720676389013</v>
      </c>
      <c r="F123" s="666">
        <v>17468</v>
      </c>
      <c r="G123" s="666">
        <v>13329</v>
      </c>
      <c r="H123" s="667">
        <f t="shared" si="25"/>
        <v>131.05259209243002</v>
      </c>
      <c r="I123" s="666">
        <v>108102</v>
      </c>
      <c r="J123" s="666">
        <v>61619</v>
      </c>
      <c r="K123" s="667">
        <f t="shared" si="26"/>
        <v>175.43614794138171</v>
      </c>
      <c r="L123" s="666">
        <v>0</v>
      </c>
      <c r="M123" s="666">
        <v>0</v>
      </c>
      <c r="N123" s="667" t="e">
        <f t="shared" si="27"/>
        <v>#DIV/0!</v>
      </c>
      <c r="O123" s="668">
        <v>38</v>
      </c>
    </row>
    <row r="124" spans="1:16" s="563" customFormat="1" ht="17.25" x14ac:dyDescent="0.25">
      <c r="A124" s="265">
        <v>28</v>
      </c>
      <c r="B124" s="544" t="s">
        <v>238</v>
      </c>
      <c r="C124" s="247">
        <v>95959</v>
      </c>
      <c r="D124" s="247">
        <v>92266</v>
      </c>
      <c r="E124" s="425">
        <f t="shared" si="24"/>
        <v>104.00255782194958</v>
      </c>
      <c r="F124" s="247">
        <v>9772</v>
      </c>
      <c r="G124" s="247">
        <v>13334</v>
      </c>
      <c r="H124" s="425">
        <f t="shared" si="25"/>
        <v>73.286335683215839</v>
      </c>
      <c r="I124" s="247">
        <v>95959</v>
      </c>
      <c r="J124" s="247">
        <v>92266</v>
      </c>
      <c r="K124" s="425">
        <f t="shared" si="26"/>
        <v>104.00255782194958</v>
      </c>
      <c r="L124" s="247">
        <v>0</v>
      </c>
      <c r="M124" s="247">
        <v>0</v>
      </c>
      <c r="N124" s="425" t="e">
        <f t="shared" si="27"/>
        <v>#DIV/0!</v>
      </c>
      <c r="O124" s="646">
        <v>37</v>
      </c>
      <c r="P124" s="646">
        <v>75</v>
      </c>
    </row>
    <row r="126" spans="1:16" ht="17.25" x14ac:dyDescent="0.25">
      <c r="A126" s="353"/>
      <c r="B126" s="747" t="s">
        <v>360</v>
      </c>
      <c r="C126" s="463">
        <f>SUM(C127:C132)</f>
        <v>169725</v>
      </c>
      <c r="D126" s="454">
        <f>SUM(D127:D132)</f>
        <v>168046</v>
      </c>
      <c r="E126" s="453">
        <f>C126/D126*100</f>
        <v>100.99913119026934</v>
      </c>
      <c r="F126" s="454">
        <f>SUM(F127:F132)</f>
        <v>23348</v>
      </c>
      <c r="G126" s="454">
        <f>SUM(G127:G132)</f>
        <v>18765</v>
      </c>
      <c r="H126" s="453">
        <f>F126/G126*100</f>
        <v>124.42312816413536</v>
      </c>
      <c r="I126" s="454">
        <f>SUM(I127:I132)</f>
        <v>175410</v>
      </c>
      <c r="J126" s="454">
        <f>SUM(J127:J132)</f>
        <v>176298</v>
      </c>
      <c r="K126" s="453">
        <f>I126/J126*100</f>
        <v>99.496307388626079</v>
      </c>
      <c r="L126" s="454">
        <f>SUM(L127:L132)</f>
        <v>55146</v>
      </c>
      <c r="M126" s="454">
        <f>SUM(M127:M132)</f>
        <v>54250</v>
      </c>
      <c r="N126" s="453">
        <f>L126/M126*100</f>
        <v>101.6516129032258</v>
      </c>
    </row>
    <row r="127" spans="1:16" ht="17.25" x14ac:dyDescent="0.25">
      <c r="A127" s="252">
        <v>1</v>
      </c>
      <c r="B127" s="544" t="s">
        <v>652</v>
      </c>
      <c r="C127" s="247">
        <v>118729</v>
      </c>
      <c r="D127" s="247">
        <v>110434</v>
      </c>
      <c r="E127" s="425">
        <f t="shared" ref="E127:E132" si="28">C127/D127*100</f>
        <v>107.51127370193963</v>
      </c>
      <c r="F127" s="247">
        <v>12865</v>
      </c>
      <c r="G127" s="247">
        <v>3763</v>
      </c>
      <c r="H127" s="425">
        <f t="shared" ref="H127:H132" si="29">F127/G127*100</f>
        <v>341.88147754451234</v>
      </c>
      <c r="I127" s="247">
        <v>118808</v>
      </c>
      <c r="J127" s="247">
        <v>111028</v>
      </c>
      <c r="K127" s="425">
        <f t="shared" ref="K127:K132" si="30">I127/J127*100</f>
        <v>107.0072414165796</v>
      </c>
      <c r="L127" s="247">
        <v>44880</v>
      </c>
      <c r="M127" s="247">
        <v>54250</v>
      </c>
      <c r="N127" s="808">
        <f t="shared" ref="N127:N132" si="31">L127/M127*100</f>
        <v>82.728110599078349</v>
      </c>
      <c r="O127" s="126">
        <v>71</v>
      </c>
      <c r="P127" s="126">
        <v>80</v>
      </c>
    </row>
    <row r="128" spans="1:16" ht="17.25" x14ac:dyDescent="0.25">
      <c r="A128" s="252">
        <v>2</v>
      </c>
      <c r="B128" s="544" t="s">
        <v>653</v>
      </c>
      <c r="C128" s="247">
        <v>0</v>
      </c>
      <c r="D128" s="247">
        <v>0</v>
      </c>
      <c r="E128" s="425" t="e">
        <f t="shared" si="28"/>
        <v>#DIV/0!</v>
      </c>
      <c r="F128" s="247">
        <v>0</v>
      </c>
      <c r="G128" s="247">
        <v>0</v>
      </c>
      <c r="H128" s="425" t="e">
        <f t="shared" si="29"/>
        <v>#DIV/0!</v>
      </c>
      <c r="I128" s="247">
        <v>0</v>
      </c>
      <c r="J128" s="247">
        <v>0</v>
      </c>
      <c r="K128" s="425" t="e">
        <f t="shared" si="30"/>
        <v>#DIV/0!</v>
      </c>
      <c r="L128" s="247">
        <v>0</v>
      </c>
      <c r="M128" s="247">
        <v>0</v>
      </c>
      <c r="N128" s="808" t="e">
        <f t="shared" si="31"/>
        <v>#DIV/0!</v>
      </c>
    </row>
    <row r="129" spans="1:16" ht="17.25" x14ac:dyDescent="0.25">
      <c r="A129" s="252">
        <v>3</v>
      </c>
      <c r="B129" s="544" t="s">
        <v>654</v>
      </c>
      <c r="C129" s="247">
        <v>0</v>
      </c>
      <c r="D129" s="247">
        <v>0</v>
      </c>
      <c r="E129" s="425" t="e">
        <f t="shared" si="28"/>
        <v>#DIV/0!</v>
      </c>
      <c r="F129" s="247">
        <v>0</v>
      </c>
      <c r="G129" s="247">
        <v>0</v>
      </c>
      <c r="H129" s="425" t="e">
        <f t="shared" si="29"/>
        <v>#DIV/0!</v>
      </c>
      <c r="I129" s="247">
        <v>0</v>
      </c>
      <c r="J129" s="247">
        <v>0</v>
      </c>
      <c r="K129" s="425" t="e">
        <f t="shared" si="30"/>
        <v>#DIV/0!</v>
      </c>
      <c r="L129" s="247">
        <v>0</v>
      </c>
      <c r="M129" s="247">
        <v>0</v>
      </c>
      <c r="N129" s="808" t="e">
        <f t="shared" si="31"/>
        <v>#DIV/0!</v>
      </c>
    </row>
    <row r="130" spans="1:16" s="668" customFormat="1" ht="17.25" x14ac:dyDescent="0.25">
      <c r="A130" s="793">
        <v>4</v>
      </c>
      <c r="B130" s="665" t="s">
        <v>796</v>
      </c>
      <c r="C130" s="666">
        <v>6424</v>
      </c>
      <c r="D130" s="666">
        <v>4195</v>
      </c>
      <c r="E130" s="667">
        <f t="shared" si="28"/>
        <v>153.13468414779499</v>
      </c>
      <c r="F130" s="666">
        <v>0</v>
      </c>
      <c r="G130" s="666">
        <v>2700</v>
      </c>
      <c r="H130" s="667">
        <f t="shared" si="29"/>
        <v>0</v>
      </c>
      <c r="I130" s="666">
        <v>12030</v>
      </c>
      <c r="J130" s="666">
        <v>11853</v>
      </c>
      <c r="K130" s="667">
        <f t="shared" si="30"/>
        <v>101.49329283725639</v>
      </c>
      <c r="L130" s="666">
        <v>0</v>
      </c>
      <c r="M130" s="666">
        <v>0</v>
      </c>
      <c r="N130" s="808" t="e">
        <f t="shared" si="31"/>
        <v>#DIV/0!</v>
      </c>
      <c r="O130" s="668">
        <v>8</v>
      </c>
      <c r="P130" s="668">
        <v>70</v>
      </c>
    </row>
    <row r="131" spans="1:16" ht="17.25" x14ac:dyDescent="0.25">
      <c r="A131" s="252">
        <v>5</v>
      </c>
      <c r="B131" s="544" t="s">
        <v>656</v>
      </c>
      <c r="C131" s="247">
        <v>0</v>
      </c>
      <c r="D131" s="247">
        <v>0</v>
      </c>
      <c r="E131" s="425" t="e">
        <f t="shared" si="28"/>
        <v>#DIV/0!</v>
      </c>
      <c r="F131" s="247">
        <v>0</v>
      </c>
      <c r="G131" s="247">
        <v>0</v>
      </c>
      <c r="H131" s="425" t="e">
        <f t="shared" si="29"/>
        <v>#DIV/0!</v>
      </c>
      <c r="I131" s="247">
        <v>0</v>
      </c>
      <c r="J131" s="247">
        <v>0</v>
      </c>
      <c r="K131" s="425" t="e">
        <f t="shared" si="30"/>
        <v>#DIV/0!</v>
      </c>
      <c r="L131" s="247">
        <v>0</v>
      </c>
      <c r="M131" s="247">
        <v>0</v>
      </c>
      <c r="N131" s="808" t="e">
        <f t="shared" si="31"/>
        <v>#DIV/0!</v>
      </c>
    </row>
    <row r="132" spans="1:16" ht="17.25" x14ac:dyDescent="0.25">
      <c r="A132" s="252">
        <v>6</v>
      </c>
      <c r="B132" s="544" t="s">
        <v>657</v>
      </c>
      <c r="C132" s="247">
        <v>44572</v>
      </c>
      <c r="D132" s="247">
        <v>53417</v>
      </c>
      <c r="E132" s="425">
        <f t="shared" si="28"/>
        <v>83.441600988449366</v>
      </c>
      <c r="F132" s="247">
        <v>10483</v>
      </c>
      <c r="G132" s="247">
        <v>12302</v>
      </c>
      <c r="H132" s="425">
        <f t="shared" si="29"/>
        <v>85.213786376198996</v>
      </c>
      <c r="I132" s="247">
        <v>44572</v>
      </c>
      <c r="J132" s="247">
        <v>53417</v>
      </c>
      <c r="K132" s="425">
        <f t="shared" si="30"/>
        <v>83.441600988449366</v>
      </c>
      <c r="L132" s="247">
        <v>10266</v>
      </c>
      <c r="M132" s="247">
        <v>0</v>
      </c>
      <c r="N132" s="808" t="e">
        <f t="shared" si="31"/>
        <v>#DIV/0!</v>
      </c>
      <c r="O132" s="126">
        <v>21</v>
      </c>
      <c r="P132" s="126">
        <v>100</v>
      </c>
    </row>
    <row r="133" spans="1:16" ht="12.75" customHeight="1" x14ac:dyDescent="0.25">
      <c r="A133" s="564"/>
      <c r="B133" s="565"/>
      <c r="C133" s="445"/>
      <c r="D133" s="445"/>
      <c r="E133" s="439"/>
      <c r="F133" s="445"/>
      <c r="G133" s="445"/>
      <c r="H133" s="439"/>
      <c r="I133" s="445"/>
      <c r="J133" s="445"/>
      <c r="K133" s="439"/>
      <c r="L133" s="445"/>
      <c r="M133" s="445"/>
      <c r="N133" s="439"/>
    </row>
    <row r="134" spans="1:16" s="599" customFormat="1" x14ac:dyDescent="0.25">
      <c r="A134" s="1043" t="s">
        <v>737</v>
      </c>
      <c r="B134" s="1044" t="s">
        <v>78</v>
      </c>
      <c r="C134" s="345">
        <f>C135+C145</f>
        <v>346429808</v>
      </c>
      <c r="D134" s="345">
        <f>D135+D145</f>
        <v>336709300</v>
      </c>
      <c r="E134" s="467">
        <f>C134/D134*100</f>
        <v>102.88691402346177</v>
      </c>
      <c r="F134" s="345">
        <f>F135+F145</f>
        <v>30068819</v>
      </c>
      <c r="G134" s="345">
        <f>G135+G145</f>
        <v>25255880</v>
      </c>
      <c r="H134" s="467">
        <f>F134/G134*100</f>
        <v>119.05670679461575</v>
      </c>
      <c r="I134" s="345">
        <f>I135+I145</f>
        <v>335226335</v>
      </c>
      <c r="J134" s="345">
        <f>J135+J145</f>
        <v>319832828</v>
      </c>
      <c r="K134" s="467">
        <f>I134/J134*100</f>
        <v>104.81298530118366</v>
      </c>
      <c r="L134" s="345">
        <f>L135+L145</f>
        <v>269321415</v>
      </c>
      <c r="M134" s="345">
        <f>M135+M145</f>
        <v>261987176</v>
      </c>
      <c r="N134" s="467">
        <f>L134/M134*100</f>
        <v>102.79946488678516</v>
      </c>
    </row>
    <row r="135" spans="1:16" x14ac:dyDescent="0.25">
      <c r="A135" s="1033" t="s">
        <v>365</v>
      </c>
      <c r="B135" s="1034" t="s">
        <v>135</v>
      </c>
      <c r="C135" s="254">
        <f>SUM(C136:C143)</f>
        <v>177564292</v>
      </c>
      <c r="D135" s="254">
        <f>SUM(D136:D143)</f>
        <v>177862309</v>
      </c>
      <c r="E135" s="451">
        <f>C135/D135*100</f>
        <v>99.832445107861503</v>
      </c>
      <c r="F135" s="254">
        <f>SUM(F136:F143)</f>
        <v>14981264</v>
      </c>
      <c r="G135" s="254">
        <f>SUM(G136:G143)</f>
        <v>13187847</v>
      </c>
      <c r="H135" s="451">
        <f>F135/G135*100</f>
        <v>113.59901278806161</v>
      </c>
      <c r="I135" s="254">
        <f>SUM(I136:I143)</f>
        <v>166381616</v>
      </c>
      <c r="J135" s="254">
        <f>SUM(J136:J143)</f>
        <v>165304563</v>
      </c>
      <c r="K135" s="451">
        <f>I135/J135*100</f>
        <v>100.65155672684003</v>
      </c>
      <c r="L135" s="254">
        <f>SUM(L136:L143)</f>
        <v>115796071</v>
      </c>
      <c r="M135" s="254">
        <f>SUM(M136:M143)</f>
        <v>116220111</v>
      </c>
      <c r="N135" s="451">
        <f>L135/M135*100</f>
        <v>99.635140599719435</v>
      </c>
    </row>
    <row r="136" spans="1:16" ht="17.25" x14ac:dyDescent="0.25">
      <c r="A136" s="272">
        <v>1</v>
      </c>
      <c r="B136" s="544" t="s">
        <v>658</v>
      </c>
      <c r="C136" s="247">
        <v>121994651</v>
      </c>
      <c r="D136" s="247">
        <v>121415423</v>
      </c>
      <c r="E136" s="425">
        <f t="shared" ref="E136:E143" si="32">C136/D136*100</f>
        <v>100.47706295105523</v>
      </c>
      <c r="F136" s="247">
        <v>10270711</v>
      </c>
      <c r="G136" s="247">
        <v>8404522</v>
      </c>
      <c r="H136" s="425">
        <f t="shared" ref="H136:H143" si="33">F136/G136*100</f>
        <v>122.20458224750914</v>
      </c>
      <c r="I136" s="247">
        <v>117804072</v>
      </c>
      <c r="J136" s="247">
        <v>116177766</v>
      </c>
      <c r="K136" s="425">
        <f t="shared" ref="K136:K143" si="34">I136/J136*100</f>
        <v>101.399842720336</v>
      </c>
      <c r="L136" s="247">
        <v>67306513</v>
      </c>
      <c r="M136" s="247">
        <v>67128341</v>
      </c>
      <c r="N136" s="425">
        <f t="shared" ref="N136:N143" si="35">L136/M136*100</f>
        <v>100.26541993641702</v>
      </c>
      <c r="O136" s="126">
        <v>3032</v>
      </c>
      <c r="P136" s="126">
        <v>145</v>
      </c>
    </row>
    <row r="137" spans="1:16" ht="17.25" x14ac:dyDescent="0.25">
      <c r="A137" s="272">
        <v>2</v>
      </c>
      <c r="B137" s="544" t="s">
        <v>659</v>
      </c>
      <c r="C137" s="247">
        <v>27078699</v>
      </c>
      <c r="D137" s="247">
        <v>26541057</v>
      </c>
      <c r="E137" s="425">
        <f t="shared" si="32"/>
        <v>102.02569927791497</v>
      </c>
      <c r="F137" s="247">
        <v>2229910</v>
      </c>
      <c r="G137" s="247">
        <v>2639060</v>
      </c>
      <c r="H137" s="425">
        <f t="shared" si="33"/>
        <v>84.496373708820556</v>
      </c>
      <c r="I137" s="247">
        <v>21363721</v>
      </c>
      <c r="J137" s="247">
        <v>20764290</v>
      </c>
      <c r="K137" s="425">
        <f t="shared" si="34"/>
        <v>102.88683600546899</v>
      </c>
      <c r="L137" s="247">
        <v>21363721</v>
      </c>
      <c r="M137" s="247">
        <v>20764290</v>
      </c>
      <c r="N137" s="425">
        <f t="shared" si="35"/>
        <v>102.88683600546899</v>
      </c>
      <c r="O137" s="126">
        <v>1012</v>
      </c>
      <c r="P137" s="126">
        <v>120</v>
      </c>
    </row>
    <row r="138" spans="1:16" ht="34.5" x14ac:dyDescent="0.25">
      <c r="A138" s="272">
        <v>3</v>
      </c>
      <c r="B138" s="544" t="s">
        <v>660</v>
      </c>
      <c r="C138" s="247">
        <v>17708342</v>
      </c>
      <c r="D138" s="247">
        <v>21340047</v>
      </c>
      <c r="E138" s="425">
        <f t="shared" si="32"/>
        <v>82.98173851257215</v>
      </c>
      <c r="F138" s="247">
        <v>1362856</v>
      </c>
      <c r="G138" s="247">
        <v>1432626</v>
      </c>
      <c r="H138" s="425">
        <f t="shared" si="33"/>
        <v>95.129922254656833</v>
      </c>
      <c r="I138" s="247">
        <v>17820325</v>
      </c>
      <c r="J138" s="247">
        <v>19365663</v>
      </c>
      <c r="K138" s="425">
        <f t="shared" si="34"/>
        <v>92.020216400543575</v>
      </c>
      <c r="L138" s="247">
        <v>17820325</v>
      </c>
      <c r="M138" s="247">
        <v>19365663</v>
      </c>
      <c r="N138" s="425">
        <f t="shared" si="35"/>
        <v>92.020216400543575</v>
      </c>
      <c r="O138" s="126">
        <v>1060</v>
      </c>
      <c r="P138" s="126">
        <v>306</v>
      </c>
    </row>
    <row r="139" spans="1:16" ht="17.25" x14ac:dyDescent="0.25">
      <c r="A139" s="272">
        <v>4</v>
      </c>
      <c r="B139" s="544" t="s">
        <v>661</v>
      </c>
      <c r="C139" s="247">
        <v>6605250</v>
      </c>
      <c r="D139" s="247">
        <v>4967308</v>
      </c>
      <c r="E139" s="425">
        <f t="shared" si="32"/>
        <v>132.97444007901262</v>
      </c>
      <c r="F139" s="247">
        <v>625889</v>
      </c>
      <c r="G139" s="247">
        <v>467298</v>
      </c>
      <c r="H139" s="425">
        <f t="shared" si="33"/>
        <v>133.93787262089717</v>
      </c>
      <c r="I139" s="247">
        <v>5872216</v>
      </c>
      <c r="J139" s="247">
        <v>4860259</v>
      </c>
      <c r="K139" s="425">
        <f t="shared" si="34"/>
        <v>120.82105089461281</v>
      </c>
      <c r="L139" s="247">
        <v>5872216</v>
      </c>
      <c r="M139" s="247">
        <v>4860259</v>
      </c>
      <c r="N139" s="425">
        <f t="shared" si="35"/>
        <v>120.82105089461281</v>
      </c>
      <c r="O139" s="126">
        <v>694</v>
      </c>
      <c r="P139" s="126">
        <v>286</v>
      </c>
    </row>
    <row r="140" spans="1:16" ht="17.25" x14ac:dyDescent="0.25">
      <c r="A140" s="272">
        <v>5</v>
      </c>
      <c r="B140" s="544" t="s">
        <v>662</v>
      </c>
      <c r="C140" s="247">
        <v>4089364</v>
      </c>
      <c r="D140" s="247">
        <v>3563447</v>
      </c>
      <c r="E140" s="425">
        <f t="shared" si="32"/>
        <v>114.75865924202044</v>
      </c>
      <c r="F140" s="247">
        <v>483615</v>
      </c>
      <c r="G140" s="247">
        <v>243086</v>
      </c>
      <c r="H140" s="425">
        <f t="shared" si="33"/>
        <v>198.94810889973095</v>
      </c>
      <c r="I140" s="247">
        <v>3433296</v>
      </c>
      <c r="J140" s="247">
        <v>4101558</v>
      </c>
      <c r="K140" s="425">
        <f t="shared" si="34"/>
        <v>83.707118124381026</v>
      </c>
      <c r="L140" s="247">
        <v>3433296</v>
      </c>
      <c r="M140" s="247">
        <v>4101558</v>
      </c>
      <c r="N140" s="425">
        <f t="shared" si="35"/>
        <v>83.707118124381026</v>
      </c>
      <c r="O140" s="126">
        <v>402</v>
      </c>
      <c r="P140" s="126">
        <v>189</v>
      </c>
    </row>
    <row r="141" spans="1:16" s="668" customFormat="1" ht="17.25" x14ac:dyDescent="0.25">
      <c r="A141" s="748">
        <v>6</v>
      </c>
      <c r="B141" s="807" t="s">
        <v>798</v>
      </c>
      <c r="C141" s="666"/>
      <c r="D141" s="666"/>
      <c r="E141" s="667" t="e">
        <f t="shared" si="32"/>
        <v>#DIV/0!</v>
      </c>
      <c r="F141" s="666"/>
      <c r="G141" s="666"/>
      <c r="H141" s="667" t="e">
        <f t="shared" si="33"/>
        <v>#DIV/0!</v>
      </c>
      <c r="I141" s="666"/>
      <c r="J141" s="666"/>
      <c r="K141" s="667" t="e">
        <f t="shared" si="34"/>
        <v>#DIV/0!</v>
      </c>
      <c r="L141" s="666"/>
      <c r="M141" s="666"/>
      <c r="N141" s="667" t="e">
        <f t="shared" si="35"/>
        <v>#DIV/0!</v>
      </c>
      <c r="O141" s="668">
        <v>287</v>
      </c>
    </row>
    <row r="142" spans="1:16" s="668" customFormat="1" ht="17.25" x14ac:dyDescent="0.25">
      <c r="A142" s="748">
        <v>7</v>
      </c>
      <c r="B142" s="665" t="s">
        <v>664</v>
      </c>
      <c r="C142" s="666">
        <v>0</v>
      </c>
      <c r="D142" s="666">
        <v>0</v>
      </c>
      <c r="E142" s="667" t="e">
        <f t="shared" si="32"/>
        <v>#DIV/0!</v>
      </c>
      <c r="F142" s="666">
        <v>0</v>
      </c>
      <c r="G142" s="666">
        <v>0</v>
      </c>
      <c r="H142" s="667" t="e">
        <f t="shared" si="33"/>
        <v>#DIV/0!</v>
      </c>
      <c r="I142" s="666">
        <v>0</v>
      </c>
      <c r="J142" s="666">
        <v>0</v>
      </c>
      <c r="K142" s="667" t="e">
        <f t="shared" si="34"/>
        <v>#DIV/0!</v>
      </c>
      <c r="L142" s="666">
        <v>0</v>
      </c>
      <c r="M142" s="666">
        <v>0</v>
      </c>
      <c r="N142" s="667" t="e">
        <f t="shared" si="35"/>
        <v>#DIV/0!</v>
      </c>
    </row>
    <row r="143" spans="1:16" s="668" customFormat="1" ht="17.25" x14ac:dyDescent="0.25">
      <c r="A143" s="748">
        <v>8</v>
      </c>
      <c r="B143" s="665" t="s">
        <v>665</v>
      </c>
      <c r="C143" s="666">
        <v>87986</v>
      </c>
      <c r="D143" s="666">
        <v>35027</v>
      </c>
      <c r="E143" s="667">
        <f t="shared" si="32"/>
        <v>251.1947925885745</v>
      </c>
      <c r="F143" s="666">
        <v>8283</v>
      </c>
      <c r="G143" s="666">
        <v>1255</v>
      </c>
      <c r="H143" s="667">
        <f t="shared" si="33"/>
        <v>660</v>
      </c>
      <c r="I143" s="666">
        <v>87986</v>
      </c>
      <c r="J143" s="666">
        <v>35027</v>
      </c>
      <c r="K143" s="667">
        <f t="shared" si="34"/>
        <v>251.1947925885745</v>
      </c>
      <c r="L143" s="666">
        <v>0</v>
      </c>
      <c r="M143" s="666">
        <v>0</v>
      </c>
      <c r="N143" s="667" t="e">
        <f t="shared" si="35"/>
        <v>#DIV/0!</v>
      </c>
      <c r="O143" s="668">
        <v>28</v>
      </c>
      <c r="P143" s="668">
        <v>95</v>
      </c>
    </row>
    <row r="144" spans="1:16" ht="9.75" customHeight="1" x14ac:dyDescent="0.25">
      <c r="B144" s="566"/>
    </row>
    <row r="145" spans="1:16" ht="17.25" x14ac:dyDescent="0.25">
      <c r="A145" s="492"/>
      <c r="B145" s="495" t="s">
        <v>15</v>
      </c>
      <c r="C145" s="254">
        <f>SUM(C146:C153)</f>
        <v>168865516</v>
      </c>
      <c r="D145" s="254">
        <f>SUM(D146:D153)</f>
        <v>158846991</v>
      </c>
      <c r="E145" s="451">
        <f>C145/D145*100</f>
        <v>106.30702850392677</v>
      </c>
      <c r="F145" s="254">
        <f>SUM(F146:F153)</f>
        <v>15087555</v>
      </c>
      <c r="G145" s="254">
        <f>SUM(G146:G153)</f>
        <v>12068033</v>
      </c>
      <c r="H145" s="451">
        <f>F145/G145*100</f>
        <v>125.02082982371692</v>
      </c>
      <c r="I145" s="254">
        <f>SUM(I146:I153)</f>
        <v>168844719</v>
      </c>
      <c r="J145" s="254">
        <f>SUM(J146:J153)</f>
        <v>154528265</v>
      </c>
      <c r="K145" s="451">
        <f>I145/J145*100</f>
        <v>109.26461835315371</v>
      </c>
      <c r="L145" s="254">
        <f>SUM(L146:L153)</f>
        <v>153525344</v>
      </c>
      <c r="M145" s="254">
        <f>SUM(M146:M153)</f>
        <v>145767065</v>
      </c>
      <c r="N145" s="451">
        <f>L145/M145*100</f>
        <v>105.32238129374423</v>
      </c>
    </row>
    <row r="146" spans="1:16" ht="17.25" x14ac:dyDescent="0.25">
      <c r="A146" s="272">
        <v>1</v>
      </c>
      <c r="B146" s="544" t="s">
        <v>666</v>
      </c>
      <c r="C146" s="247">
        <v>21595845</v>
      </c>
      <c r="D146" s="247">
        <v>19665485</v>
      </c>
      <c r="E146" s="425">
        <f t="shared" ref="E146:E153" si="36">C146/D146*100</f>
        <v>109.81597962114841</v>
      </c>
      <c r="F146" s="247">
        <v>1674582</v>
      </c>
      <c r="G146" s="247">
        <v>1567807</v>
      </c>
      <c r="H146" s="425">
        <f t="shared" ref="H146:H153" si="37">F146/G146*100</f>
        <v>106.81046838035549</v>
      </c>
      <c r="I146" s="247">
        <v>21563998</v>
      </c>
      <c r="J146" s="247">
        <v>19268433</v>
      </c>
      <c r="K146" s="425">
        <f t="shared" ref="K146:K153" si="38">I146/J146*100</f>
        <v>111.91360501396248</v>
      </c>
      <c r="L146" s="247">
        <v>21563998</v>
      </c>
      <c r="M146" s="247">
        <v>19268413</v>
      </c>
      <c r="N146" s="425">
        <f t="shared" ref="N146:N153" si="39">L146/M146*100</f>
        <v>111.91372117672587</v>
      </c>
      <c r="O146" s="126">
        <v>516</v>
      </c>
      <c r="P146" s="126">
        <v>150</v>
      </c>
    </row>
    <row r="147" spans="1:16" ht="34.5" x14ac:dyDescent="0.25">
      <c r="A147" s="272">
        <v>2</v>
      </c>
      <c r="B147" s="544" t="s">
        <v>797</v>
      </c>
      <c r="C147" s="247">
        <v>29656670</v>
      </c>
      <c r="D147" s="247">
        <v>36797035</v>
      </c>
      <c r="E147" s="425">
        <f t="shared" si="36"/>
        <v>80.595270787442516</v>
      </c>
      <c r="F147" s="247">
        <v>2574560</v>
      </c>
      <c r="G147" s="247">
        <v>3078120</v>
      </c>
      <c r="H147" s="425">
        <f t="shared" si="37"/>
        <v>83.640663781788888</v>
      </c>
      <c r="I147" s="247">
        <v>29957182</v>
      </c>
      <c r="J147" s="247">
        <v>35228081</v>
      </c>
      <c r="K147" s="425">
        <f t="shared" si="38"/>
        <v>85.03779130063883</v>
      </c>
      <c r="L147" s="247">
        <v>29866209</v>
      </c>
      <c r="M147" s="247">
        <v>35107093</v>
      </c>
      <c r="N147" s="425">
        <f t="shared" si="39"/>
        <v>85.07172325546864</v>
      </c>
      <c r="O147" s="126">
        <v>658</v>
      </c>
      <c r="P147" s="126">
        <v>176</v>
      </c>
    </row>
    <row r="148" spans="1:16" ht="17.25" x14ac:dyDescent="0.25">
      <c r="A148" s="272">
        <v>3</v>
      </c>
      <c r="B148" s="544" t="s">
        <v>668</v>
      </c>
      <c r="C148" s="247">
        <v>31951451</v>
      </c>
      <c r="D148" s="247">
        <v>29119197</v>
      </c>
      <c r="E148" s="425">
        <f t="shared" si="36"/>
        <v>109.726415189265</v>
      </c>
      <c r="F148" s="247">
        <v>2644527</v>
      </c>
      <c r="G148" s="247">
        <v>2228752</v>
      </c>
      <c r="H148" s="425">
        <f t="shared" si="37"/>
        <v>118.65505897470871</v>
      </c>
      <c r="I148" s="247">
        <v>31413525</v>
      </c>
      <c r="J148" s="247">
        <v>28627305</v>
      </c>
      <c r="K148" s="425">
        <f t="shared" si="38"/>
        <v>109.73273593165686</v>
      </c>
      <c r="L148" s="247">
        <v>31413525</v>
      </c>
      <c r="M148" s="247">
        <v>28627306</v>
      </c>
      <c r="N148" s="425">
        <f t="shared" si="39"/>
        <v>109.73273209850763</v>
      </c>
      <c r="O148" s="126">
        <v>549</v>
      </c>
      <c r="P148" s="126">
        <v>180</v>
      </c>
    </row>
    <row r="149" spans="1:16" ht="17.25" x14ac:dyDescent="0.25">
      <c r="A149" s="272">
        <v>4</v>
      </c>
      <c r="B149" s="544" t="s">
        <v>669</v>
      </c>
      <c r="C149" s="247">
        <v>6066866</v>
      </c>
      <c r="D149" s="247">
        <v>5059425</v>
      </c>
      <c r="E149" s="425">
        <f t="shared" si="36"/>
        <v>119.91216393167208</v>
      </c>
      <c r="F149" s="247">
        <v>516335</v>
      </c>
      <c r="G149" s="247">
        <v>511060</v>
      </c>
      <c r="H149" s="425">
        <f t="shared" si="37"/>
        <v>101.03216843423472</v>
      </c>
      <c r="I149" s="247">
        <v>6153447</v>
      </c>
      <c r="J149" s="247">
        <v>5430820</v>
      </c>
      <c r="K149" s="425">
        <f t="shared" si="38"/>
        <v>113.30603849879024</v>
      </c>
      <c r="L149" s="247">
        <v>0</v>
      </c>
      <c r="M149" s="247">
        <v>0</v>
      </c>
      <c r="N149" s="425" t="e">
        <f t="shared" si="39"/>
        <v>#DIV/0!</v>
      </c>
      <c r="O149" s="126">
        <v>375</v>
      </c>
      <c r="P149" s="126">
        <v>60</v>
      </c>
    </row>
    <row r="150" spans="1:16" ht="34.5" x14ac:dyDescent="0.25">
      <c r="A150" s="272">
        <v>5</v>
      </c>
      <c r="B150" s="544" t="s">
        <v>670</v>
      </c>
      <c r="C150" s="247">
        <v>34627420</v>
      </c>
      <c r="D150" s="247">
        <v>31048877</v>
      </c>
      <c r="E150" s="425">
        <f t="shared" si="36"/>
        <v>111.52551507740523</v>
      </c>
      <c r="F150" s="247">
        <v>2711211</v>
      </c>
      <c r="G150" s="247">
        <v>1688522</v>
      </c>
      <c r="H150" s="425">
        <f t="shared" si="37"/>
        <v>160.56711135537469</v>
      </c>
      <c r="I150" s="247">
        <v>33740271</v>
      </c>
      <c r="J150" s="247">
        <v>30010997</v>
      </c>
      <c r="K150" s="425">
        <f t="shared" si="38"/>
        <v>112.4263582446128</v>
      </c>
      <c r="L150" s="247">
        <v>33740271</v>
      </c>
      <c r="M150" s="247">
        <v>30010997</v>
      </c>
      <c r="N150" s="425">
        <f t="shared" si="39"/>
        <v>112.4263582446128</v>
      </c>
      <c r="O150" s="126">
        <v>1019</v>
      </c>
      <c r="P150" s="126">
        <v>100</v>
      </c>
    </row>
    <row r="151" spans="1:16" ht="17.25" x14ac:dyDescent="0.25">
      <c r="A151" s="272">
        <v>6</v>
      </c>
      <c r="B151" s="544" t="s">
        <v>231</v>
      </c>
      <c r="C151" s="247">
        <v>35968155</v>
      </c>
      <c r="D151" s="247">
        <v>33713456</v>
      </c>
      <c r="E151" s="425">
        <f t="shared" si="36"/>
        <v>106.68783111408098</v>
      </c>
      <c r="F151" s="247">
        <v>3761799</v>
      </c>
      <c r="G151" s="247">
        <v>2692031</v>
      </c>
      <c r="H151" s="425">
        <f t="shared" si="37"/>
        <v>139.73832396432283</v>
      </c>
      <c r="I151" s="247">
        <v>36991258</v>
      </c>
      <c r="J151" s="247">
        <v>32841845</v>
      </c>
      <c r="K151" s="425">
        <f t="shared" si="38"/>
        <v>112.6345307335809</v>
      </c>
      <c r="L151" s="247">
        <v>36941341</v>
      </c>
      <c r="M151" s="247">
        <v>32753256</v>
      </c>
      <c r="N151" s="425">
        <f t="shared" si="39"/>
        <v>112.78677454235391</v>
      </c>
      <c r="O151" s="126">
        <v>638</v>
      </c>
      <c r="P151" s="126">
        <v>130</v>
      </c>
    </row>
    <row r="152" spans="1:16" ht="17.25" x14ac:dyDescent="0.25">
      <c r="A152" s="272">
        <v>7</v>
      </c>
      <c r="B152" s="544" t="s">
        <v>671</v>
      </c>
      <c r="C152" s="247">
        <v>3550157</v>
      </c>
      <c r="D152" s="247">
        <v>3443516</v>
      </c>
      <c r="E152" s="425">
        <f t="shared" si="36"/>
        <v>103.09686378689689</v>
      </c>
      <c r="F152" s="247">
        <v>389473</v>
      </c>
      <c r="G152" s="247">
        <v>301741</v>
      </c>
      <c r="H152" s="425">
        <f t="shared" si="37"/>
        <v>129.07526653653298</v>
      </c>
      <c r="I152" s="247">
        <v>3634573</v>
      </c>
      <c r="J152" s="247">
        <v>3120784</v>
      </c>
      <c r="K152" s="425">
        <f t="shared" si="38"/>
        <v>116.46345918205169</v>
      </c>
      <c r="L152" s="247">
        <v>0</v>
      </c>
      <c r="M152" s="247">
        <v>0</v>
      </c>
      <c r="N152" s="425" t="e">
        <f t="shared" si="39"/>
        <v>#DIV/0!</v>
      </c>
      <c r="O152" s="126">
        <v>32</v>
      </c>
      <c r="P152" s="126">
        <v>130</v>
      </c>
    </row>
    <row r="153" spans="1:16" ht="17.25" x14ac:dyDescent="0.25">
      <c r="A153" s="272">
        <v>8</v>
      </c>
      <c r="B153" s="544" t="s">
        <v>672</v>
      </c>
      <c r="C153" s="247">
        <v>5448952</v>
      </c>
      <c r="D153" s="247">
        <v>0</v>
      </c>
      <c r="E153" s="425" t="e">
        <f t="shared" si="36"/>
        <v>#DIV/0!</v>
      </c>
      <c r="F153" s="247">
        <v>815068</v>
      </c>
      <c r="G153" s="247">
        <v>0</v>
      </c>
      <c r="H153" s="425" t="e">
        <f t="shared" si="37"/>
        <v>#DIV/0!</v>
      </c>
      <c r="I153" s="247">
        <v>5390465</v>
      </c>
      <c r="J153" s="247">
        <v>0</v>
      </c>
      <c r="K153" s="425" t="e">
        <f t="shared" si="38"/>
        <v>#DIV/0!</v>
      </c>
      <c r="L153" s="247">
        <v>0</v>
      </c>
      <c r="M153" s="247">
        <v>0</v>
      </c>
      <c r="N153" s="425" t="e">
        <f t="shared" si="39"/>
        <v>#DIV/0!</v>
      </c>
      <c r="O153" s="126">
        <v>405</v>
      </c>
      <c r="P153" s="126">
        <v>140</v>
      </c>
    </row>
    <row r="155" spans="1:16" ht="33" x14ac:dyDescent="0.25">
      <c r="A155" s="494"/>
      <c r="B155" s="493" t="s">
        <v>544</v>
      </c>
      <c r="C155" s="469">
        <f>SUM(C156:C158)</f>
        <v>14229033</v>
      </c>
      <c r="D155" s="469">
        <f>SUM(D156:D158)</f>
        <v>15147905</v>
      </c>
      <c r="E155" s="470">
        <f>C155/D155*100</f>
        <v>93.933999454049925</v>
      </c>
      <c r="F155" s="469">
        <f>SUM(F156:F158)</f>
        <v>1029523</v>
      </c>
      <c r="G155" s="469">
        <f>SUM(G156:G158)</f>
        <v>1383965</v>
      </c>
      <c r="H155" s="470">
        <f>F155/G155*100</f>
        <v>74.38938123435203</v>
      </c>
      <c r="I155" s="469">
        <f>SUM(I156:I158)</f>
        <v>14299103</v>
      </c>
      <c r="J155" s="469">
        <f>SUM(J156:J158)</f>
        <v>14626949</v>
      </c>
      <c r="K155" s="470">
        <f>I155/J155*100</f>
        <v>97.758616646574765</v>
      </c>
      <c r="L155" s="469">
        <f>SUM(L156:L158)</f>
        <v>5772623</v>
      </c>
      <c r="M155" s="469">
        <f>SUM(M156:M158)</f>
        <v>6644548</v>
      </c>
      <c r="N155" s="470">
        <f>L155/M155*100</f>
        <v>86.877587459673705</v>
      </c>
    </row>
    <row r="156" spans="1:16" ht="17.25" x14ac:dyDescent="0.25">
      <c r="A156" s="272">
        <v>1</v>
      </c>
      <c r="B156" s="567" t="s">
        <v>673</v>
      </c>
      <c r="C156" s="247">
        <v>2419483</v>
      </c>
      <c r="D156" s="247">
        <v>2098362</v>
      </c>
      <c r="E156" s="425">
        <f>C156/D156*100</f>
        <v>115.30341285250114</v>
      </c>
      <c r="F156" s="247">
        <v>154316</v>
      </c>
      <c r="G156" s="247">
        <v>128439</v>
      </c>
      <c r="H156" s="425">
        <f>F156/G156*100</f>
        <v>120.14730728205608</v>
      </c>
      <c r="I156" s="247">
        <v>2377699</v>
      </c>
      <c r="J156" s="247">
        <v>2184125</v>
      </c>
      <c r="K156" s="425">
        <f>I156/J156*100</f>
        <v>108.86277113260459</v>
      </c>
      <c r="L156" s="247">
        <v>31942</v>
      </c>
      <c r="M156" s="247">
        <v>25307</v>
      </c>
      <c r="N156" s="425">
        <f>L156/M156*100</f>
        <v>126.21804243885092</v>
      </c>
      <c r="O156" s="126">
        <v>128</v>
      </c>
      <c r="P156" s="126">
        <v>145</v>
      </c>
    </row>
    <row r="157" spans="1:16" ht="17.25" x14ac:dyDescent="0.25">
      <c r="A157" s="272">
        <v>2</v>
      </c>
      <c r="B157" s="550" t="s">
        <v>674</v>
      </c>
      <c r="C157" s="247">
        <v>10471476</v>
      </c>
      <c r="D157" s="247">
        <v>10293236</v>
      </c>
      <c r="E157" s="425">
        <f t="shared" ref="E157:E158" si="40">C157/D157*100</f>
        <v>101.73162259176803</v>
      </c>
      <c r="F157" s="247">
        <v>875207</v>
      </c>
      <c r="G157" s="247">
        <v>974159</v>
      </c>
      <c r="H157" s="425">
        <f t="shared" ref="H157:H158" si="41">F157/G157*100</f>
        <v>89.842315268862677</v>
      </c>
      <c r="I157" s="247">
        <v>10443458</v>
      </c>
      <c r="J157" s="247">
        <v>9931622</v>
      </c>
      <c r="K157" s="425">
        <f t="shared" ref="K157:K158" si="42">I157/J157*100</f>
        <v>105.15359928116474</v>
      </c>
      <c r="L157" s="247">
        <v>4262735</v>
      </c>
      <c r="M157" s="247">
        <v>4601169</v>
      </c>
      <c r="N157" s="425">
        <f t="shared" ref="N157:N158" si="43">L157/M157*100</f>
        <v>92.644608359310439</v>
      </c>
      <c r="O157" s="126">
        <v>698</v>
      </c>
      <c r="P157" s="126">
        <v>110</v>
      </c>
    </row>
    <row r="158" spans="1:16" s="668" customFormat="1" ht="34.5" x14ac:dyDescent="0.25">
      <c r="A158" s="748">
        <v>3</v>
      </c>
      <c r="B158" s="799" t="s">
        <v>675</v>
      </c>
      <c r="C158" s="666">
        <v>1338074</v>
      </c>
      <c r="D158" s="666">
        <v>2756307</v>
      </c>
      <c r="E158" s="667">
        <f t="shared" si="40"/>
        <v>48.545898551939246</v>
      </c>
      <c r="F158" s="666">
        <v>0</v>
      </c>
      <c r="G158" s="666">
        <v>281367</v>
      </c>
      <c r="H158" s="667">
        <f t="shared" si="41"/>
        <v>0</v>
      </c>
      <c r="I158" s="666">
        <v>1477946</v>
      </c>
      <c r="J158" s="666">
        <v>2511202</v>
      </c>
      <c r="K158" s="667">
        <f t="shared" si="42"/>
        <v>58.854126430291153</v>
      </c>
      <c r="L158" s="666">
        <v>1477946</v>
      </c>
      <c r="M158" s="666">
        <v>2018072</v>
      </c>
      <c r="N158" s="667">
        <f t="shared" si="43"/>
        <v>73.235543627779393</v>
      </c>
      <c r="O158" s="668">
        <v>129</v>
      </c>
      <c r="P158" s="668">
        <v>193</v>
      </c>
    </row>
    <row r="159" spans="1:16" x14ac:dyDescent="0.25">
      <c r="A159" s="568"/>
      <c r="B159" s="569"/>
      <c r="C159" s="570"/>
      <c r="D159" s="54"/>
      <c r="E159" s="43"/>
      <c r="F159" s="54"/>
      <c r="G159" s="54"/>
      <c r="H159" s="425"/>
      <c r="I159" s="54"/>
      <c r="J159" s="54"/>
      <c r="K159" s="43"/>
      <c r="L159" s="54"/>
      <c r="M159" s="571"/>
      <c r="N159" s="343"/>
    </row>
    <row r="160" spans="1:16" ht="17.25" x14ac:dyDescent="0.25">
      <c r="A160" s="1043" t="s">
        <v>735</v>
      </c>
      <c r="B160" s="1044"/>
      <c r="C160" s="345">
        <f>C161+C189+C195</f>
        <v>260080445</v>
      </c>
      <c r="D160" s="345">
        <f>D161+D189+D195</f>
        <v>209260967</v>
      </c>
      <c r="E160" s="467">
        <f>C160/D160*100</f>
        <v>124.28521607663218</v>
      </c>
      <c r="F160" s="345">
        <f>F161+F189+F195</f>
        <v>27331517</v>
      </c>
      <c r="G160" s="345">
        <f>G161+G189+G195</f>
        <v>20226463</v>
      </c>
      <c r="H160" s="467">
        <f>F160/G160*100</f>
        <v>135.12751586869143</v>
      </c>
      <c r="I160" s="345">
        <f>I161+I189+I195</f>
        <v>249894991</v>
      </c>
      <c r="J160" s="345">
        <f>J161+J189+J195</f>
        <v>193939215</v>
      </c>
      <c r="K160" s="467">
        <f>I160/J160*100</f>
        <v>128.85222362068444</v>
      </c>
      <c r="L160" s="345">
        <f>L161+L189+L195</f>
        <v>105415870</v>
      </c>
      <c r="M160" s="345">
        <f>M161+M189+M195</f>
        <v>89769221</v>
      </c>
      <c r="N160" s="467">
        <f>L160/M160*100</f>
        <v>117.42985939468049</v>
      </c>
    </row>
    <row r="161" spans="1:16" ht="17.25" x14ac:dyDescent="0.25">
      <c r="A161" s="1062" t="s">
        <v>736</v>
      </c>
      <c r="B161" s="1063" t="s">
        <v>119</v>
      </c>
      <c r="C161" s="254">
        <f>SUM(C162:C187)</f>
        <v>77422787</v>
      </c>
      <c r="D161" s="254">
        <f>SUM(D162:D187)</f>
        <v>76182726</v>
      </c>
      <c r="E161" s="451">
        <f>C161/D161*100</f>
        <v>101.62774563882107</v>
      </c>
      <c r="F161" s="254">
        <f>SUM(F162:F187)</f>
        <v>5431742</v>
      </c>
      <c r="G161" s="254">
        <f>SUM(G162:G187)</f>
        <v>7588583</v>
      </c>
      <c r="H161" s="451">
        <f>F161/G161*100</f>
        <v>71.577816306417148</v>
      </c>
      <c r="I161" s="254">
        <f>SUM(I162:I187)</f>
        <v>76691891</v>
      </c>
      <c r="J161" s="254">
        <f>SUM(J162:J187)</f>
        <v>72847753</v>
      </c>
      <c r="K161" s="451">
        <f>I161/J161*100</f>
        <v>105.27694793825692</v>
      </c>
      <c r="L161" s="254">
        <f>SUM(L162:L187)</f>
        <v>48361487</v>
      </c>
      <c r="M161" s="254">
        <f>SUM(M162:M187)</f>
        <v>53257659</v>
      </c>
      <c r="N161" s="451">
        <f>L161/M161*100</f>
        <v>90.806633089148733</v>
      </c>
    </row>
    <row r="162" spans="1:16" ht="34.5" x14ac:dyDescent="0.25">
      <c r="A162" s="7">
        <v>1</v>
      </c>
      <c r="B162" s="545" t="s">
        <v>676</v>
      </c>
      <c r="C162" s="247">
        <v>22352025</v>
      </c>
      <c r="D162" s="247">
        <v>27050981</v>
      </c>
      <c r="E162" s="425">
        <f t="shared" ref="E162:E187" si="44">C162/D162*100</f>
        <v>82.629258436135828</v>
      </c>
      <c r="F162" s="247">
        <v>1254881</v>
      </c>
      <c r="G162" s="247">
        <v>2338891</v>
      </c>
      <c r="H162" s="425">
        <f t="shared" ref="H162:H187" si="45">F162/G162*100</f>
        <v>53.652820930945481</v>
      </c>
      <c r="I162" s="247">
        <v>22192892</v>
      </c>
      <c r="J162" s="247">
        <v>26168122</v>
      </c>
      <c r="K162" s="425">
        <f t="shared" ref="K162:K187" si="46">I162/J162*100</f>
        <v>84.808883113583775</v>
      </c>
      <c r="L162" s="247">
        <v>18451389</v>
      </c>
      <c r="M162" s="247">
        <v>22845609</v>
      </c>
      <c r="N162" s="425">
        <f t="shared" ref="N162:N187" si="47">L162/M162*100</f>
        <v>80.765581692306824</v>
      </c>
      <c r="O162" s="126">
        <v>273</v>
      </c>
      <c r="P162" s="126">
        <v>190</v>
      </c>
    </row>
    <row r="163" spans="1:16" ht="17.25" x14ac:dyDescent="0.25">
      <c r="A163" s="7">
        <v>2</v>
      </c>
      <c r="B163" s="572" t="s">
        <v>677</v>
      </c>
      <c r="C163" s="247">
        <v>2635555</v>
      </c>
      <c r="D163" s="247">
        <v>4154827</v>
      </c>
      <c r="E163" s="425">
        <f t="shared" si="44"/>
        <v>63.43356775143706</v>
      </c>
      <c r="F163" s="247">
        <v>170806</v>
      </c>
      <c r="G163" s="247">
        <v>598880</v>
      </c>
      <c r="H163" s="425">
        <f t="shared" si="45"/>
        <v>28.520905690622495</v>
      </c>
      <c r="I163" s="247">
        <v>2565018</v>
      </c>
      <c r="J163" s="247">
        <v>4177512</v>
      </c>
      <c r="K163" s="425">
        <f t="shared" si="46"/>
        <v>61.400613570948451</v>
      </c>
      <c r="L163" s="247">
        <v>1820921</v>
      </c>
      <c r="M163" s="247">
        <v>3314678</v>
      </c>
      <c r="N163" s="425">
        <f t="shared" si="47"/>
        <v>54.935079666863572</v>
      </c>
      <c r="O163" s="126">
        <v>111</v>
      </c>
      <c r="P163" s="126">
        <v>152</v>
      </c>
    </row>
    <row r="164" spans="1:16" ht="17.25" x14ac:dyDescent="0.25">
      <c r="A164" s="7">
        <v>3</v>
      </c>
      <c r="B164" s="809" t="s">
        <v>678</v>
      </c>
      <c r="C164" s="247"/>
      <c r="D164" s="247"/>
      <c r="E164" s="425" t="e">
        <f t="shared" si="44"/>
        <v>#DIV/0!</v>
      </c>
      <c r="F164" s="247"/>
      <c r="G164" s="247"/>
      <c r="H164" s="425" t="e">
        <f t="shared" si="45"/>
        <v>#DIV/0!</v>
      </c>
      <c r="I164" s="247"/>
      <c r="J164" s="247"/>
      <c r="K164" s="425" t="e">
        <f t="shared" si="46"/>
        <v>#DIV/0!</v>
      </c>
      <c r="L164" s="247"/>
      <c r="M164" s="247"/>
      <c r="N164" s="425" t="e">
        <f t="shared" si="47"/>
        <v>#DIV/0!</v>
      </c>
      <c r="O164" s="126">
        <v>61</v>
      </c>
      <c r="P164" s="126">
        <v>146</v>
      </c>
    </row>
    <row r="165" spans="1:16" s="668" customFormat="1" ht="17.25" x14ac:dyDescent="0.2">
      <c r="A165" s="669">
        <v>4</v>
      </c>
      <c r="B165" s="800" t="s">
        <v>679</v>
      </c>
      <c r="C165" s="666">
        <v>1533000</v>
      </c>
      <c r="D165" s="801">
        <v>1811000</v>
      </c>
      <c r="E165" s="667">
        <f t="shared" si="44"/>
        <v>84.649364991717277</v>
      </c>
      <c r="F165" s="666">
        <v>162000</v>
      </c>
      <c r="G165" s="801">
        <v>233728</v>
      </c>
      <c r="H165" s="667">
        <f t="shared" si="45"/>
        <v>69.311336254107331</v>
      </c>
      <c r="I165" s="666">
        <v>1544831</v>
      </c>
      <c r="J165" s="801">
        <v>1534739</v>
      </c>
      <c r="K165" s="667">
        <f t="shared" si="46"/>
        <v>100.65757109189251</v>
      </c>
      <c r="L165" s="666">
        <v>330295</v>
      </c>
      <c r="M165" s="801">
        <v>352310</v>
      </c>
      <c r="N165" s="667">
        <f t="shared" si="47"/>
        <v>93.751241804092984</v>
      </c>
      <c r="O165" s="668">
        <v>163</v>
      </c>
      <c r="P165" s="668">
        <v>144</v>
      </c>
    </row>
    <row r="166" spans="1:16" s="668" customFormat="1" ht="52.5" customHeight="1" x14ac:dyDescent="0.25">
      <c r="A166" s="669">
        <v>5</v>
      </c>
      <c r="B166" s="810" t="s">
        <v>680</v>
      </c>
      <c r="C166" s="666"/>
      <c r="D166" s="666"/>
      <c r="E166" s="667" t="e">
        <f t="shared" si="44"/>
        <v>#DIV/0!</v>
      </c>
      <c r="F166" s="666"/>
      <c r="G166" s="666"/>
      <c r="H166" s="667" t="e">
        <f t="shared" si="45"/>
        <v>#DIV/0!</v>
      </c>
      <c r="I166" s="666"/>
      <c r="J166" s="666"/>
      <c r="K166" s="667" t="e">
        <f t="shared" si="46"/>
        <v>#DIV/0!</v>
      </c>
      <c r="L166" s="666"/>
      <c r="M166" s="666"/>
      <c r="N166" s="667" t="e">
        <f t="shared" si="47"/>
        <v>#DIV/0!</v>
      </c>
      <c r="O166" s="668">
        <v>281</v>
      </c>
      <c r="P166" s="668">
        <v>190</v>
      </c>
    </row>
    <row r="167" spans="1:16" s="668" customFormat="1" ht="34.5" x14ac:dyDescent="0.25">
      <c r="A167" s="669">
        <v>6</v>
      </c>
      <c r="B167" s="799" t="s">
        <v>681</v>
      </c>
      <c r="C167" s="666">
        <v>8907251</v>
      </c>
      <c r="D167" s="666">
        <v>8166722</v>
      </c>
      <c r="E167" s="667">
        <f t="shared" si="44"/>
        <v>109.06764060292488</v>
      </c>
      <c r="F167" s="666">
        <v>919017</v>
      </c>
      <c r="G167" s="666">
        <v>1117319</v>
      </c>
      <c r="H167" s="667">
        <f t="shared" si="45"/>
        <v>82.251979962750127</v>
      </c>
      <c r="I167" s="666">
        <v>8189164</v>
      </c>
      <c r="J167" s="666">
        <v>8166722</v>
      </c>
      <c r="K167" s="667">
        <f t="shared" si="46"/>
        <v>100.27479813810241</v>
      </c>
      <c r="L167" s="666">
        <v>6601692</v>
      </c>
      <c r="M167" s="666">
        <v>5095816</v>
      </c>
      <c r="N167" s="667">
        <f t="shared" si="47"/>
        <v>129.55122398453946</v>
      </c>
      <c r="O167" s="668">
        <v>270</v>
      </c>
      <c r="P167" s="668">
        <v>100</v>
      </c>
    </row>
    <row r="168" spans="1:16" s="668" customFormat="1" ht="17.25" x14ac:dyDescent="0.25">
      <c r="A168" s="669">
        <v>7</v>
      </c>
      <c r="B168" s="800" t="s">
        <v>233</v>
      </c>
      <c r="C168" s="666">
        <v>3305475</v>
      </c>
      <c r="D168" s="666">
        <v>1671515</v>
      </c>
      <c r="E168" s="667">
        <f t="shared" si="44"/>
        <v>197.7532358369503</v>
      </c>
      <c r="F168" s="666">
        <v>299722</v>
      </c>
      <c r="G168" s="666">
        <v>374561</v>
      </c>
      <c r="H168" s="667">
        <f t="shared" si="45"/>
        <v>80.019542878196077</v>
      </c>
      <c r="I168" s="666">
        <v>4575557</v>
      </c>
      <c r="J168" s="666">
        <v>3010337</v>
      </c>
      <c r="K168" s="667">
        <f t="shared" si="46"/>
        <v>151.99484310228391</v>
      </c>
      <c r="L168" s="666">
        <v>2208242</v>
      </c>
      <c r="M168" s="666">
        <v>2131821</v>
      </c>
      <c r="N168" s="667">
        <f t="shared" si="47"/>
        <v>103.58477564485949</v>
      </c>
      <c r="O168" s="668">
        <v>237</v>
      </c>
      <c r="P168" s="802">
        <v>93</v>
      </c>
    </row>
    <row r="169" spans="1:16" s="673" customFormat="1" ht="31.5" customHeight="1" x14ac:dyDescent="0.25">
      <c r="A169" s="669">
        <v>8</v>
      </c>
      <c r="B169" s="670" t="s">
        <v>682</v>
      </c>
      <c r="C169" s="666">
        <v>3141653</v>
      </c>
      <c r="D169" s="666">
        <v>2670248</v>
      </c>
      <c r="E169" s="667">
        <f t="shared" si="44"/>
        <v>117.65397820726764</v>
      </c>
      <c r="F169" s="666">
        <v>71834</v>
      </c>
      <c r="G169" s="666">
        <v>185083</v>
      </c>
      <c r="H169" s="667">
        <f t="shared" si="45"/>
        <v>38.811776338183407</v>
      </c>
      <c r="I169" s="666">
        <v>3105348</v>
      </c>
      <c r="J169" s="666">
        <v>2658746</v>
      </c>
      <c r="K169" s="667">
        <f t="shared" si="46"/>
        <v>116.79746767837169</v>
      </c>
      <c r="L169" s="666">
        <v>6589</v>
      </c>
      <c r="M169" s="666">
        <v>16014</v>
      </c>
      <c r="N169" s="667">
        <f t="shared" si="47"/>
        <v>41.145247908080428</v>
      </c>
      <c r="O169" s="671">
        <v>274</v>
      </c>
      <c r="P169" s="672">
        <v>85</v>
      </c>
    </row>
    <row r="170" spans="1:16" s="573" customFormat="1" ht="36.75" customHeight="1" x14ac:dyDescent="0.25">
      <c r="A170" s="7">
        <v>9</v>
      </c>
      <c r="B170" s="547" t="s">
        <v>683</v>
      </c>
      <c r="C170" s="247">
        <v>11684833</v>
      </c>
      <c r="D170" s="247">
        <v>12553528</v>
      </c>
      <c r="E170" s="425">
        <f t="shared" si="44"/>
        <v>93.080072789099617</v>
      </c>
      <c r="F170" s="247">
        <v>213801</v>
      </c>
      <c r="G170" s="247">
        <v>305450</v>
      </c>
      <c r="H170" s="425">
        <f t="shared" si="45"/>
        <v>69.99541659846129</v>
      </c>
      <c r="I170" s="247">
        <v>11640842</v>
      </c>
      <c r="J170" s="247">
        <v>12456199</v>
      </c>
      <c r="K170" s="425">
        <f t="shared" si="46"/>
        <v>93.454207017726674</v>
      </c>
      <c r="L170" s="247">
        <v>11657326</v>
      </c>
      <c r="M170" s="247">
        <v>12458136</v>
      </c>
      <c r="N170" s="425">
        <f t="shared" si="47"/>
        <v>93.571991829275262</v>
      </c>
      <c r="O170" s="584">
        <v>65</v>
      </c>
      <c r="P170" s="574">
        <v>235</v>
      </c>
    </row>
    <row r="171" spans="1:16" s="573" customFormat="1" ht="38.25" customHeight="1" x14ac:dyDescent="0.25">
      <c r="A171" s="7">
        <v>10</v>
      </c>
      <c r="B171" s="547" t="s">
        <v>539</v>
      </c>
      <c r="C171" s="247">
        <v>1406298</v>
      </c>
      <c r="D171" s="247">
        <v>1632993</v>
      </c>
      <c r="E171" s="425">
        <f t="shared" si="44"/>
        <v>86.117821693050729</v>
      </c>
      <c r="F171" s="247">
        <v>407727</v>
      </c>
      <c r="G171" s="247">
        <v>230809</v>
      </c>
      <c r="H171" s="425">
        <f t="shared" si="45"/>
        <v>176.65125710002641</v>
      </c>
      <c r="I171" s="247">
        <v>1384993</v>
      </c>
      <c r="J171" s="247">
        <v>1602090</v>
      </c>
      <c r="K171" s="425">
        <f t="shared" si="46"/>
        <v>86.449138313078549</v>
      </c>
      <c r="L171" s="247">
        <v>639318</v>
      </c>
      <c r="M171" s="247">
        <v>836515</v>
      </c>
      <c r="N171" s="425">
        <f t="shared" si="47"/>
        <v>76.426364141706955</v>
      </c>
      <c r="O171" s="584">
        <v>206</v>
      </c>
      <c r="P171" s="574"/>
    </row>
    <row r="172" spans="1:16" s="575" customFormat="1" ht="34.5" x14ac:dyDescent="0.25">
      <c r="A172" s="7">
        <v>11</v>
      </c>
      <c r="B172" s="803" t="s">
        <v>684</v>
      </c>
      <c r="C172" s="247">
        <v>97502</v>
      </c>
      <c r="D172" s="247">
        <v>93265</v>
      </c>
      <c r="E172" s="425">
        <f t="shared" si="44"/>
        <v>104.54296895941673</v>
      </c>
      <c r="F172" s="247">
        <v>17553</v>
      </c>
      <c r="G172" s="247">
        <v>26891</v>
      </c>
      <c r="H172" s="425">
        <f t="shared" si="45"/>
        <v>65.274627198691022</v>
      </c>
      <c r="I172" s="247">
        <v>97502</v>
      </c>
      <c r="J172" s="247">
        <v>93265</v>
      </c>
      <c r="K172" s="425">
        <f t="shared" si="46"/>
        <v>104.54296895941673</v>
      </c>
      <c r="L172" s="247">
        <v>57261</v>
      </c>
      <c r="M172" s="247">
        <v>57653</v>
      </c>
      <c r="N172" s="425">
        <f t="shared" si="47"/>
        <v>99.320070074410694</v>
      </c>
      <c r="O172" s="645">
        <v>9</v>
      </c>
      <c r="P172" s="574">
        <v>80</v>
      </c>
    </row>
    <row r="173" spans="1:16" s="673" customFormat="1" ht="17.25" x14ac:dyDescent="0.25">
      <c r="A173" s="669">
        <v>12</v>
      </c>
      <c r="B173" s="670" t="s">
        <v>301</v>
      </c>
      <c r="C173" s="666">
        <v>4854929</v>
      </c>
      <c r="D173" s="666">
        <v>4295207</v>
      </c>
      <c r="E173" s="667">
        <f t="shared" si="44"/>
        <v>113.03131606928373</v>
      </c>
      <c r="F173" s="666">
        <v>205282</v>
      </c>
      <c r="G173" s="666">
        <v>244686</v>
      </c>
      <c r="H173" s="667">
        <f t="shared" si="45"/>
        <v>83.896095403905406</v>
      </c>
      <c r="I173" s="666">
        <v>4749176</v>
      </c>
      <c r="J173" s="666">
        <v>804574</v>
      </c>
      <c r="K173" s="667">
        <f t="shared" si="46"/>
        <v>590.2721191587101</v>
      </c>
      <c r="L173" s="666">
        <v>756711</v>
      </c>
      <c r="M173" s="666">
        <v>1005358</v>
      </c>
      <c r="N173" s="667">
        <f t="shared" si="47"/>
        <v>75.267815046978299</v>
      </c>
      <c r="O173" s="671">
        <v>627</v>
      </c>
      <c r="P173" s="672"/>
    </row>
    <row r="174" spans="1:16" s="673" customFormat="1" ht="34.5" x14ac:dyDescent="0.25">
      <c r="A174" s="669">
        <v>13</v>
      </c>
      <c r="B174" s="811" t="s">
        <v>750</v>
      </c>
      <c r="C174" s="666"/>
      <c r="D174" s="666"/>
      <c r="E174" s="667" t="e">
        <f t="shared" si="44"/>
        <v>#DIV/0!</v>
      </c>
      <c r="F174" s="666"/>
      <c r="G174" s="666"/>
      <c r="H174" s="667" t="e">
        <f t="shared" si="45"/>
        <v>#DIV/0!</v>
      </c>
      <c r="I174" s="666"/>
      <c r="J174" s="666"/>
      <c r="K174" s="667" t="e">
        <f t="shared" si="46"/>
        <v>#DIV/0!</v>
      </c>
      <c r="L174" s="666"/>
      <c r="M174" s="666"/>
      <c r="N174" s="667" t="e">
        <f t="shared" si="47"/>
        <v>#DIV/0!</v>
      </c>
      <c r="O174" s="671">
        <v>45</v>
      </c>
      <c r="P174" s="672"/>
    </row>
    <row r="175" spans="1:16" s="673" customFormat="1" ht="17.25" x14ac:dyDescent="0.25">
      <c r="A175" s="669">
        <v>14</v>
      </c>
      <c r="B175" s="812" t="s">
        <v>237</v>
      </c>
      <c r="C175" s="666"/>
      <c r="D175" s="666"/>
      <c r="E175" s="667" t="e">
        <f t="shared" si="44"/>
        <v>#DIV/0!</v>
      </c>
      <c r="F175" s="666"/>
      <c r="G175" s="666"/>
      <c r="H175" s="667" t="e">
        <f t="shared" si="45"/>
        <v>#DIV/0!</v>
      </c>
      <c r="I175" s="666"/>
      <c r="J175" s="666"/>
      <c r="K175" s="667" t="e">
        <f t="shared" si="46"/>
        <v>#DIV/0!</v>
      </c>
      <c r="L175" s="666"/>
      <c r="M175" s="666"/>
      <c r="N175" s="667" t="e">
        <f t="shared" si="47"/>
        <v>#DIV/0!</v>
      </c>
      <c r="O175" s="671">
        <v>32</v>
      </c>
      <c r="P175" s="672">
        <v>110</v>
      </c>
    </row>
    <row r="176" spans="1:16" s="673" customFormat="1" ht="17.25" x14ac:dyDescent="0.25">
      <c r="A176" s="669">
        <v>15</v>
      </c>
      <c r="B176" s="670" t="s">
        <v>229</v>
      </c>
      <c r="C176" s="666">
        <v>7597882</v>
      </c>
      <c r="D176" s="666">
        <v>3945250</v>
      </c>
      <c r="E176" s="667">
        <f t="shared" si="44"/>
        <v>192.58303022622141</v>
      </c>
      <c r="F176" s="666">
        <v>673755</v>
      </c>
      <c r="G176" s="666">
        <v>544997</v>
      </c>
      <c r="H176" s="667">
        <f t="shared" si="45"/>
        <v>123.62545114927239</v>
      </c>
      <c r="I176" s="666">
        <v>7337048</v>
      </c>
      <c r="J176" s="666">
        <v>4330635</v>
      </c>
      <c r="K176" s="667">
        <f t="shared" si="46"/>
        <v>169.42199007766757</v>
      </c>
      <c r="L176" s="666">
        <v>2237766</v>
      </c>
      <c r="M176" s="666">
        <v>982979</v>
      </c>
      <c r="N176" s="667">
        <f t="shared" si="47"/>
        <v>227.65145542275062</v>
      </c>
      <c r="O176" s="671">
        <v>348</v>
      </c>
      <c r="P176" s="672">
        <v>115</v>
      </c>
    </row>
    <row r="177" spans="1:16" ht="34.5" x14ac:dyDescent="0.25">
      <c r="A177" s="7">
        <v>16</v>
      </c>
      <c r="B177" s="545" t="s">
        <v>230</v>
      </c>
      <c r="C177" s="247">
        <v>2761575</v>
      </c>
      <c r="D177" s="247">
        <v>1820935</v>
      </c>
      <c r="E177" s="425">
        <f t="shared" si="44"/>
        <v>151.65697842042687</v>
      </c>
      <c r="F177" s="247">
        <v>277113</v>
      </c>
      <c r="G177" s="247">
        <v>269089</v>
      </c>
      <c r="H177" s="425">
        <f t="shared" si="45"/>
        <v>102.98191304735609</v>
      </c>
      <c r="I177" s="247">
        <v>2537336</v>
      </c>
      <c r="J177" s="247">
        <v>1803686</v>
      </c>
      <c r="K177" s="425">
        <f t="shared" si="46"/>
        <v>140.67503989053526</v>
      </c>
      <c r="L177" s="282">
        <v>5218</v>
      </c>
      <c r="M177" s="247">
        <v>9796</v>
      </c>
      <c r="N177" s="425">
        <f t="shared" si="47"/>
        <v>53.266639444671291</v>
      </c>
      <c r="O177" s="573">
        <v>56</v>
      </c>
      <c r="P177" s="576">
        <v>85</v>
      </c>
    </row>
    <row r="178" spans="1:16" ht="27" customHeight="1" x14ac:dyDescent="0.25">
      <c r="A178" s="7">
        <v>17</v>
      </c>
      <c r="B178" s="572" t="s">
        <v>298</v>
      </c>
      <c r="C178" s="247">
        <v>107564</v>
      </c>
      <c r="D178" s="247">
        <v>80254</v>
      </c>
      <c r="E178" s="425">
        <f t="shared" si="44"/>
        <v>134.0294564756897</v>
      </c>
      <c r="F178" s="247">
        <v>0</v>
      </c>
      <c r="G178" s="247">
        <v>0</v>
      </c>
      <c r="H178" s="425" t="e">
        <f t="shared" si="45"/>
        <v>#DIV/0!</v>
      </c>
      <c r="I178" s="247">
        <v>107564</v>
      </c>
      <c r="J178" s="247">
        <v>80254</v>
      </c>
      <c r="K178" s="425">
        <f t="shared" si="46"/>
        <v>134.0294564756897</v>
      </c>
      <c r="L178" s="247">
        <v>65285</v>
      </c>
      <c r="M178" s="247">
        <v>59029</v>
      </c>
      <c r="N178" s="425">
        <f t="shared" si="47"/>
        <v>110.59818055532027</v>
      </c>
      <c r="O178" s="126">
        <v>11</v>
      </c>
      <c r="P178" s="576">
        <v>80</v>
      </c>
    </row>
    <row r="179" spans="1:16" ht="34.5" x14ac:dyDescent="0.25">
      <c r="A179" s="7">
        <v>18</v>
      </c>
      <c r="B179" s="545" t="s">
        <v>239</v>
      </c>
      <c r="C179" s="247">
        <v>3485120</v>
      </c>
      <c r="D179" s="247">
        <v>2172853</v>
      </c>
      <c r="E179" s="425">
        <f t="shared" si="44"/>
        <v>160.39373119120347</v>
      </c>
      <c r="F179" s="247">
        <v>356647</v>
      </c>
      <c r="G179" s="247">
        <v>425895</v>
      </c>
      <c r="H179" s="425">
        <f t="shared" si="45"/>
        <v>83.740593338733731</v>
      </c>
      <c r="I179" s="247">
        <v>3112495</v>
      </c>
      <c r="J179" s="247">
        <v>1962653</v>
      </c>
      <c r="K179" s="425">
        <f t="shared" si="46"/>
        <v>158.58610768179602</v>
      </c>
      <c r="L179" s="247">
        <v>305478</v>
      </c>
      <c r="M179" s="247">
        <v>339860</v>
      </c>
      <c r="N179" s="425">
        <f t="shared" si="47"/>
        <v>89.883481433531458</v>
      </c>
      <c r="O179" s="126">
        <v>301</v>
      </c>
      <c r="P179" s="127"/>
    </row>
    <row r="180" spans="1:16" ht="34.5" x14ac:dyDescent="0.25">
      <c r="A180" s="7">
        <v>19</v>
      </c>
      <c r="B180" s="813" t="s">
        <v>548</v>
      </c>
      <c r="C180" s="247"/>
      <c r="D180" s="247"/>
      <c r="E180" s="425" t="e">
        <f t="shared" si="44"/>
        <v>#DIV/0!</v>
      </c>
      <c r="F180" s="247"/>
      <c r="G180" s="247"/>
      <c r="H180" s="425" t="e">
        <f t="shared" si="45"/>
        <v>#DIV/0!</v>
      </c>
      <c r="I180" s="247"/>
      <c r="J180" s="247"/>
      <c r="K180" s="425" t="e">
        <f t="shared" si="46"/>
        <v>#DIV/0!</v>
      </c>
      <c r="L180" s="247"/>
      <c r="M180" s="247"/>
      <c r="N180" s="425" t="e">
        <f t="shared" si="47"/>
        <v>#DIV/0!</v>
      </c>
      <c r="O180" s="126">
        <v>6</v>
      </c>
      <c r="P180" s="127">
        <v>80</v>
      </c>
    </row>
    <row r="181" spans="1:16" ht="34.5" x14ac:dyDescent="0.25">
      <c r="A181" s="7">
        <v>20</v>
      </c>
      <c r="B181" s="548" t="s">
        <v>552</v>
      </c>
      <c r="C181" s="247">
        <v>406264</v>
      </c>
      <c r="D181" s="247">
        <v>391590</v>
      </c>
      <c r="E181" s="425">
        <f t="shared" si="44"/>
        <v>103.74728670292907</v>
      </c>
      <c r="F181" s="247">
        <v>54754</v>
      </c>
      <c r="G181" s="247">
        <v>49004</v>
      </c>
      <c r="H181" s="425">
        <f t="shared" si="45"/>
        <v>111.73373602154926</v>
      </c>
      <c r="I181" s="247">
        <v>406264</v>
      </c>
      <c r="J181" s="247">
        <v>391590</v>
      </c>
      <c r="K181" s="425">
        <f t="shared" si="46"/>
        <v>103.74728670292907</v>
      </c>
      <c r="L181" s="247">
        <v>406264</v>
      </c>
      <c r="M181" s="247">
        <v>391590</v>
      </c>
      <c r="N181" s="425">
        <f t="shared" si="47"/>
        <v>103.74728670292907</v>
      </c>
      <c r="O181" s="126">
        <v>32</v>
      </c>
      <c r="P181" s="127"/>
    </row>
    <row r="182" spans="1:16" ht="17.25" x14ac:dyDescent="0.25">
      <c r="A182" s="7">
        <v>21</v>
      </c>
      <c r="B182" s="804" t="s">
        <v>562</v>
      </c>
      <c r="C182" s="247">
        <v>206523</v>
      </c>
      <c r="D182" s="247">
        <v>198716</v>
      </c>
      <c r="E182" s="425">
        <f t="shared" si="44"/>
        <v>103.92872239779382</v>
      </c>
      <c r="F182" s="247">
        <v>12203</v>
      </c>
      <c r="G182" s="247">
        <v>11886</v>
      </c>
      <c r="H182" s="425">
        <f t="shared" si="45"/>
        <v>102.66700319703854</v>
      </c>
      <c r="I182" s="247">
        <v>206523</v>
      </c>
      <c r="J182" s="247">
        <v>198716</v>
      </c>
      <c r="K182" s="425">
        <f t="shared" si="46"/>
        <v>103.92872239779382</v>
      </c>
      <c r="L182" s="247">
        <v>159335</v>
      </c>
      <c r="M182" s="247">
        <v>154764</v>
      </c>
      <c r="N182" s="425">
        <f t="shared" si="47"/>
        <v>102.95352924452715</v>
      </c>
      <c r="O182" s="126">
        <v>13</v>
      </c>
      <c r="P182" s="127">
        <v>88</v>
      </c>
    </row>
    <row r="183" spans="1:16" ht="17.25" x14ac:dyDescent="0.25">
      <c r="A183" s="7">
        <v>22</v>
      </c>
      <c r="B183" s="813" t="s">
        <v>757</v>
      </c>
      <c r="C183" s="247"/>
      <c r="D183" s="247"/>
      <c r="E183" s="425" t="e">
        <f t="shared" si="44"/>
        <v>#DIV/0!</v>
      </c>
      <c r="F183" s="247"/>
      <c r="G183" s="247"/>
      <c r="H183" s="425" t="e">
        <f t="shared" si="45"/>
        <v>#DIV/0!</v>
      </c>
      <c r="I183" s="247"/>
      <c r="J183" s="247"/>
      <c r="K183" s="425" t="e">
        <f t="shared" si="46"/>
        <v>#DIV/0!</v>
      </c>
      <c r="L183" s="247"/>
      <c r="M183" s="247"/>
      <c r="N183" s="425" t="e">
        <f t="shared" si="47"/>
        <v>#DIV/0!</v>
      </c>
      <c r="O183" s="126">
        <v>47</v>
      </c>
      <c r="P183" s="127">
        <v>123</v>
      </c>
    </row>
    <row r="184" spans="1:16" ht="34.5" x14ac:dyDescent="0.25">
      <c r="A184" s="7">
        <v>23</v>
      </c>
      <c r="B184" s="548" t="s">
        <v>564</v>
      </c>
      <c r="C184" s="247">
        <v>2471077</v>
      </c>
      <c r="D184" s="247">
        <v>3270660</v>
      </c>
      <c r="E184" s="425">
        <f t="shared" si="44"/>
        <v>75.55285477548874</v>
      </c>
      <c r="F184" s="247">
        <v>278777</v>
      </c>
      <c r="G184" s="247">
        <v>612950</v>
      </c>
      <c r="H184" s="425">
        <f t="shared" si="45"/>
        <v>45.481197487560159</v>
      </c>
      <c r="I184" s="247">
        <v>2471077</v>
      </c>
      <c r="J184" s="247">
        <v>3205731</v>
      </c>
      <c r="K184" s="425">
        <f t="shared" si="46"/>
        <v>77.083105226233897</v>
      </c>
      <c r="L184" s="247">
        <v>2431184</v>
      </c>
      <c r="M184" s="247">
        <v>3205731</v>
      </c>
      <c r="N184" s="425">
        <f t="shared" si="47"/>
        <v>75.838677668213577</v>
      </c>
      <c r="O184" s="126">
        <v>28</v>
      </c>
      <c r="P184" s="127">
        <v>110</v>
      </c>
    </row>
    <row r="185" spans="1:16" s="668" customFormat="1" ht="34.5" x14ac:dyDescent="0.25">
      <c r="A185" s="669">
        <v>24</v>
      </c>
      <c r="B185" s="804" t="s">
        <v>753</v>
      </c>
      <c r="C185" s="666">
        <v>309375</v>
      </c>
      <c r="D185" s="666">
        <v>5221</v>
      </c>
      <c r="E185" s="667">
        <f t="shared" si="44"/>
        <v>5925.5889676307215</v>
      </c>
      <c r="F185" s="666">
        <v>36310</v>
      </c>
      <c r="G185" s="666">
        <v>1983</v>
      </c>
      <c r="H185" s="667">
        <f t="shared" si="45"/>
        <v>1831.0640443772063</v>
      </c>
      <c r="I185" s="666">
        <v>309375</v>
      </c>
      <c r="J185" s="666">
        <v>5221</v>
      </c>
      <c r="K185" s="667">
        <f t="shared" si="46"/>
        <v>5925.5889676307215</v>
      </c>
      <c r="L185" s="666">
        <v>221213</v>
      </c>
      <c r="M185" s="666">
        <v>0</v>
      </c>
      <c r="N185" s="667" t="e">
        <f t="shared" si="47"/>
        <v>#DIV/0!</v>
      </c>
      <c r="O185" s="668">
        <v>7</v>
      </c>
      <c r="P185" s="802">
        <v>150</v>
      </c>
    </row>
    <row r="186" spans="1:16" s="668" customFormat="1" ht="17.25" x14ac:dyDescent="0.25">
      <c r="A186" s="669">
        <v>25</v>
      </c>
      <c r="B186" s="804" t="s">
        <v>754</v>
      </c>
      <c r="C186" s="666">
        <v>158886</v>
      </c>
      <c r="D186" s="666">
        <v>196961</v>
      </c>
      <c r="E186" s="667">
        <f t="shared" si="44"/>
        <v>80.668761836099534</v>
      </c>
      <c r="F186" s="666">
        <v>19560</v>
      </c>
      <c r="G186" s="666">
        <v>16481</v>
      </c>
      <c r="H186" s="667">
        <f t="shared" si="45"/>
        <v>118.68211880347066</v>
      </c>
      <c r="I186" s="666">
        <v>158886</v>
      </c>
      <c r="J186" s="666">
        <v>196961</v>
      </c>
      <c r="K186" s="667">
        <f t="shared" si="46"/>
        <v>80.668761836099534</v>
      </c>
      <c r="L186" s="666">
        <v>0</v>
      </c>
      <c r="M186" s="666">
        <v>0</v>
      </c>
      <c r="N186" s="667" t="e">
        <f t="shared" si="47"/>
        <v>#DIV/0!</v>
      </c>
      <c r="O186" s="668">
        <v>30</v>
      </c>
      <c r="P186" s="802">
        <v>125</v>
      </c>
    </row>
    <row r="187" spans="1:16" ht="17.25" x14ac:dyDescent="0.25">
      <c r="A187" s="7">
        <v>26</v>
      </c>
      <c r="B187" s="548" t="s">
        <v>686</v>
      </c>
      <c r="C187" s="247"/>
      <c r="D187" s="247"/>
      <c r="E187" s="425" t="e">
        <f t="shared" si="44"/>
        <v>#DIV/0!</v>
      </c>
      <c r="F187" s="247"/>
      <c r="G187" s="247"/>
      <c r="H187" s="425" t="e">
        <f t="shared" si="45"/>
        <v>#DIV/0!</v>
      </c>
      <c r="I187" s="247"/>
      <c r="J187" s="247"/>
      <c r="K187" s="425" t="e">
        <f t="shared" si="46"/>
        <v>#DIV/0!</v>
      </c>
      <c r="L187" s="247"/>
      <c r="M187" s="247"/>
      <c r="N187" s="425" t="e">
        <f t="shared" si="47"/>
        <v>#DIV/0!</v>
      </c>
      <c r="O187" s="126">
        <v>128</v>
      </c>
      <c r="P187" s="127">
        <v>115</v>
      </c>
    </row>
    <row r="189" spans="1:16" x14ac:dyDescent="0.25">
      <c r="A189" s="1033" t="s">
        <v>364</v>
      </c>
      <c r="B189" s="1034" t="s">
        <v>155</v>
      </c>
      <c r="C189" s="254">
        <f>SUM(C190:C193)</f>
        <v>64728291</v>
      </c>
      <c r="D189" s="254">
        <f>SUM(D190:D193)</f>
        <v>37980174</v>
      </c>
      <c r="E189" s="451">
        <f t="shared" ref="E189:E193" si="48">C189/D189*100</f>
        <v>170.42652569206237</v>
      </c>
      <c r="F189" s="254">
        <f>SUM(F190:F193)</f>
        <v>6275831</v>
      </c>
      <c r="G189" s="254">
        <f>SUM(G190:G193)</f>
        <v>4475744</v>
      </c>
      <c r="H189" s="451">
        <f t="shared" ref="H189:H193" si="49">F189/G189*100</f>
        <v>140.21872117797622</v>
      </c>
      <c r="I189" s="254">
        <f>SUM(I190:I193)</f>
        <v>70234777</v>
      </c>
      <c r="J189" s="254">
        <f>SUM(J190:J193)</f>
        <v>40720440</v>
      </c>
      <c r="K189" s="451">
        <f t="shared" ref="K189:K193" si="50">I189/J189*100</f>
        <v>172.48039805070869</v>
      </c>
      <c r="L189" s="254">
        <f>SUM(L190:L193)</f>
        <v>48008807</v>
      </c>
      <c r="M189" s="254">
        <f>SUM(M190:M193)</f>
        <v>27710277</v>
      </c>
      <c r="N189" s="451">
        <f t="shared" ref="N189:N193" si="51">L189/M189*100</f>
        <v>173.25271414645186</v>
      </c>
    </row>
    <row r="190" spans="1:16" s="668" customFormat="1" ht="17.25" x14ac:dyDescent="0.25">
      <c r="A190" s="748">
        <v>1</v>
      </c>
      <c r="B190" s="805" t="s">
        <v>687</v>
      </c>
      <c r="C190" s="666">
        <v>33501492</v>
      </c>
      <c r="D190" s="666">
        <v>14198746</v>
      </c>
      <c r="E190" s="667">
        <f t="shared" si="48"/>
        <v>235.94683643189333</v>
      </c>
      <c r="F190" s="666">
        <v>3549545</v>
      </c>
      <c r="G190" s="666">
        <v>1959776</v>
      </c>
      <c r="H190" s="667">
        <f t="shared" si="49"/>
        <v>181.11993411491923</v>
      </c>
      <c r="I190" s="666">
        <v>31421800</v>
      </c>
      <c r="J190" s="666">
        <v>12883500</v>
      </c>
      <c r="K190" s="667">
        <f t="shared" si="50"/>
        <v>243.8917995886211</v>
      </c>
      <c r="L190" s="666">
        <v>14723658</v>
      </c>
      <c r="M190" s="666">
        <v>4389148</v>
      </c>
      <c r="N190" s="667">
        <f t="shared" si="51"/>
        <v>335.45594725901242</v>
      </c>
      <c r="O190" s="668">
        <v>901</v>
      </c>
    </row>
    <row r="191" spans="1:16" s="668" customFormat="1" ht="17.25" x14ac:dyDescent="0.25">
      <c r="A191" s="748">
        <v>2</v>
      </c>
      <c r="B191" s="805" t="s">
        <v>299</v>
      </c>
      <c r="C191" s="666">
        <v>64172</v>
      </c>
      <c r="D191" s="666">
        <v>932975</v>
      </c>
      <c r="E191" s="667">
        <f>C191/D191*100</f>
        <v>6.8782121707441242</v>
      </c>
      <c r="F191" s="666">
        <v>63441</v>
      </c>
      <c r="G191" s="666">
        <v>21378</v>
      </c>
      <c r="H191" s="667">
        <f t="shared" si="49"/>
        <v>296.75834970530451</v>
      </c>
      <c r="I191" s="666">
        <v>1059212</v>
      </c>
      <c r="J191" s="666">
        <v>1078409</v>
      </c>
      <c r="K191" s="667">
        <f t="shared" si="50"/>
        <v>98.219877616006542</v>
      </c>
      <c r="L191" s="666">
        <v>0</v>
      </c>
      <c r="M191" s="666">
        <v>0</v>
      </c>
      <c r="N191" s="667" t="e">
        <f t="shared" si="51"/>
        <v>#DIV/0!</v>
      </c>
      <c r="O191" s="668">
        <v>225</v>
      </c>
    </row>
    <row r="192" spans="1:16" s="668" customFormat="1" ht="17.25" x14ac:dyDescent="0.25">
      <c r="A192" s="748">
        <v>3</v>
      </c>
      <c r="B192" s="814" t="s">
        <v>244</v>
      </c>
      <c r="C192" s="666"/>
      <c r="D192" s="666"/>
      <c r="E192" s="667" t="e">
        <f t="shared" si="48"/>
        <v>#DIV/0!</v>
      </c>
      <c r="F192" s="666"/>
      <c r="G192" s="666"/>
      <c r="H192" s="667" t="e">
        <f t="shared" si="49"/>
        <v>#DIV/0!</v>
      </c>
      <c r="I192" s="666"/>
      <c r="J192" s="666"/>
      <c r="K192" s="667" t="e">
        <f t="shared" si="50"/>
        <v>#DIV/0!</v>
      </c>
      <c r="L192" s="666"/>
      <c r="M192" s="666"/>
      <c r="N192" s="667" t="e">
        <f t="shared" si="51"/>
        <v>#DIV/0!</v>
      </c>
      <c r="O192" s="668">
        <v>137</v>
      </c>
      <c r="P192" s="668">
        <v>184</v>
      </c>
    </row>
    <row r="193" spans="1:16" ht="34.5" x14ac:dyDescent="0.25">
      <c r="A193" s="272">
        <v>4</v>
      </c>
      <c r="B193" s="578" t="s">
        <v>688</v>
      </c>
      <c r="C193" s="282">
        <v>31162627</v>
      </c>
      <c r="D193" s="282">
        <v>22848453</v>
      </c>
      <c r="E193" s="425">
        <f t="shared" si="48"/>
        <v>136.38834541664593</v>
      </c>
      <c r="F193" s="282">
        <v>2662845</v>
      </c>
      <c r="G193" s="282">
        <v>2494590</v>
      </c>
      <c r="H193" s="425">
        <f t="shared" si="49"/>
        <v>106.74479573797697</v>
      </c>
      <c r="I193" s="282">
        <v>37753765</v>
      </c>
      <c r="J193" s="282">
        <v>26758531</v>
      </c>
      <c r="K193" s="425">
        <f t="shared" si="50"/>
        <v>141.09057406776179</v>
      </c>
      <c r="L193" s="282">
        <v>33285149</v>
      </c>
      <c r="M193" s="282">
        <v>23321129</v>
      </c>
      <c r="N193" s="425">
        <f t="shared" si="51"/>
        <v>142.72529001490452</v>
      </c>
      <c r="O193" s="126">
        <v>1210</v>
      </c>
      <c r="P193" s="126">
        <v>163</v>
      </c>
    </row>
    <row r="194" spans="1:16" x14ac:dyDescent="0.25">
      <c r="A194" s="579"/>
      <c r="B194" s="579"/>
      <c r="C194" s="579"/>
      <c r="D194" s="580"/>
      <c r="E194" s="580"/>
      <c r="F194" s="580"/>
      <c r="G194" s="580"/>
      <c r="H194" s="580"/>
      <c r="I194" s="580"/>
      <c r="J194" s="580"/>
      <c r="K194" s="580"/>
      <c r="L194" s="580"/>
      <c r="M194" s="580"/>
      <c r="N194" s="580"/>
    </row>
    <row r="195" spans="1:16" x14ac:dyDescent="0.25">
      <c r="A195" s="1033" t="s">
        <v>363</v>
      </c>
      <c r="B195" s="1034" t="s">
        <v>119</v>
      </c>
      <c r="C195" s="254">
        <f>SUM(C196:C235)</f>
        <v>117929367</v>
      </c>
      <c r="D195" s="254">
        <f>SUM(D196:D235)</f>
        <v>95098067</v>
      </c>
      <c r="E195" s="451">
        <f>C195/D195*100</f>
        <v>124.00816411967659</v>
      </c>
      <c r="F195" s="254">
        <f>SUM(F196:F235)</f>
        <v>15623944</v>
      </c>
      <c r="G195" s="254">
        <f>SUM(G196:G235)</f>
        <v>8162136</v>
      </c>
      <c r="H195" s="451">
        <f>F195/G195*100</f>
        <v>191.41979501444231</v>
      </c>
      <c r="I195" s="254">
        <f>SUM(I196:I235)</f>
        <v>102968323</v>
      </c>
      <c r="J195" s="254">
        <f>SUM(J196:J235)</f>
        <v>80371022</v>
      </c>
      <c r="K195" s="451">
        <f>I195/J195*100</f>
        <v>128.11622950371341</v>
      </c>
      <c r="L195" s="254">
        <f>SUM(L196:L235)</f>
        <v>9045576</v>
      </c>
      <c r="M195" s="254">
        <f>SUM(M196:M235)</f>
        <v>8801285</v>
      </c>
      <c r="N195" s="451">
        <f>L195/M195*100</f>
        <v>102.77562878602386</v>
      </c>
    </row>
    <row r="196" spans="1:16" ht="17.25" x14ac:dyDescent="0.25">
      <c r="A196" s="53">
        <v>1</v>
      </c>
      <c r="B196" s="545" t="s">
        <v>689</v>
      </c>
      <c r="C196" s="247">
        <v>85430</v>
      </c>
      <c r="D196" s="247">
        <v>123274</v>
      </c>
      <c r="E196" s="425">
        <f t="shared" ref="E196:E235" si="52">C196/D196*100</f>
        <v>69.300906922789878</v>
      </c>
      <c r="F196" s="247">
        <v>0</v>
      </c>
      <c r="G196" s="247">
        <v>108</v>
      </c>
      <c r="H196" s="425">
        <f t="shared" ref="H196:H235" si="53">F196/G196*100</f>
        <v>0</v>
      </c>
      <c r="I196" s="247">
        <v>125243</v>
      </c>
      <c r="J196" s="247">
        <v>113516</v>
      </c>
      <c r="K196" s="425">
        <f t="shared" ref="K196:K235" si="54">I196/J196*100</f>
        <v>110.33070227985482</v>
      </c>
      <c r="L196" s="247">
        <v>123513</v>
      </c>
      <c r="M196" s="247">
        <v>108324</v>
      </c>
      <c r="N196" s="425">
        <f t="shared" ref="N196:N235" si="55">L196/M196*100</f>
        <v>114.02182341863298</v>
      </c>
      <c r="O196" s="126">
        <v>16</v>
      </c>
      <c r="P196" s="126">
        <v>101</v>
      </c>
    </row>
    <row r="197" spans="1:16" ht="34.5" x14ac:dyDescent="0.25">
      <c r="A197" s="53">
        <v>2</v>
      </c>
      <c r="B197" s="810" t="s">
        <v>690</v>
      </c>
      <c r="C197" s="247"/>
      <c r="D197" s="247"/>
      <c r="E197" s="425" t="e">
        <f t="shared" si="52"/>
        <v>#DIV/0!</v>
      </c>
      <c r="F197" s="247"/>
      <c r="G197" s="247"/>
      <c r="H197" s="425" t="e">
        <f t="shared" si="53"/>
        <v>#DIV/0!</v>
      </c>
      <c r="I197" s="247"/>
      <c r="J197" s="247"/>
      <c r="K197" s="425" t="e">
        <f t="shared" si="54"/>
        <v>#DIV/0!</v>
      </c>
      <c r="L197" s="247"/>
      <c r="M197" s="247"/>
      <c r="N197" s="425" t="e">
        <f t="shared" si="55"/>
        <v>#DIV/0!</v>
      </c>
      <c r="O197" s="126">
        <v>113</v>
      </c>
      <c r="P197" s="126">
        <v>71</v>
      </c>
    </row>
    <row r="198" spans="1:16" ht="17.25" x14ac:dyDescent="0.25">
      <c r="A198" s="53">
        <v>3</v>
      </c>
      <c r="B198" s="545" t="s">
        <v>692</v>
      </c>
      <c r="C198" s="247">
        <v>458045</v>
      </c>
      <c r="D198" s="247">
        <v>393641</v>
      </c>
      <c r="E198" s="425">
        <f t="shared" si="52"/>
        <v>116.36110059673661</v>
      </c>
      <c r="F198" s="247">
        <v>7644</v>
      </c>
      <c r="G198" s="247">
        <v>61840</v>
      </c>
      <c r="H198" s="425">
        <f t="shared" si="53"/>
        <v>12.360931435963778</v>
      </c>
      <c r="I198" s="247">
        <v>824700</v>
      </c>
      <c r="J198" s="247">
        <v>662887</v>
      </c>
      <c r="K198" s="425">
        <f t="shared" si="54"/>
        <v>124.41034444784707</v>
      </c>
      <c r="L198" s="247">
        <v>663886</v>
      </c>
      <c r="M198" s="247">
        <v>567002</v>
      </c>
      <c r="N198" s="425">
        <f t="shared" si="55"/>
        <v>117.08706494862453</v>
      </c>
      <c r="O198" s="126">
        <v>88</v>
      </c>
      <c r="P198" s="126">
        <v>146</v>
      </c>
    </row>
    <row r="199" spans="1:16" ht="17.25" x14ac:dyDescent="0.25">
      <c r="A199" s="53">
        <v>4</v>
      </c>
      <c r="B199" s="810" t="s">
        <v>691</v>
      </c>
      <c r="C199" s="247"/>
      <c r="D199" s="247"/>
      <c r="E199" s="425" t="e">
        <f t="shared" si="52"/>
        <v>#DIV/0!</v>
      </c>
      <c r="F199" s="247"/>
      <c r="G199" s="247"/>
      <c r="H199" s="425" t="e">
        <f t="shared" si="53"/>
        <v>#DIV/0!</v>
      </c>
      <c r="I199" s="247"/>
      <c r="J199" s="247"/>
      <c r="K199" s="425" t="e">
        <f t="shared" si="54"/>
        <v>#DIV/0!</v>
      </c>
      <c r="L199" s="247"/>
      <c r="M199" s="247"/>
      <c r="N199" s="425" t="e">
        <f t="shared" si="55"/>
        <v>#DIV/0!</v>
      </c>
      <c r="O199" s="126">
        <v>350</v>
      </c>
      <c r="P199" s="126">
        <v>170</v>
      </c>
    </row>
    <row r="200" spans="1:16" ht="17.25" x14ac:dyDescent="0.25">
      <c r="A200" s="53">
        <v>5</v>
      </c>
      <c r="B200" s="545" t="s">
        <v>693</v>
      </c>
      <c r="C200" s="247">
        <v>58269965</v>
      </c>
      <c r="D200" s="247">
        <v>47814843</v>
      </c>
      <c r="E200" s="425">
        <f t="shared" si="52"/>
        <v>121.86585031765136</v>
      </c>
      <c r="F200" s="247">
        <v>9509741</v>
      </c>
      <c r="G200" s="247">
        <v>2982643</v>
      </c>
      <c r="H200" s="425">
        <f t="shared" si="53"/>
        <v>318.83604574868667</v>
      </c>
      <c r="I200" s="247">
        <v>49137255</v>
      </c>
      <c r="J200" s="247">
        <v>35262780</v>
      </c>
      <c r="K200" s="425">
        <f t="shared" si="54"/>
        <v>139.34594776702232</v>
      </c>
      <c r="L200" s="247">
        <v>384509</v>
      </c>
      <c r="M200" s="247">
        <v>2035096</v>
      </c>
      <c r="N200" s="425">
        <f t="shared" si="55"/>
        <v>18.893899845510973</v>
      </c>
      <c r="O200" s="126">
        <v>747</v>
      </c>
      <c r="P200" s="126">
        <v>150</v>
      </c>
    </row>
    <row r="201" spans="1:16" ht="17.25" x14ac:dyDescent="0.25">
      <c r="A201" s="53">
        <v>6</v>
      </c>
      <c r="B201" s="549" t="s">
        <v>694</v>
      </c>
      <c r="C201" s="247">
        <v>6946295</v>
      </c>
      <c r="D201" s="247">
        <v>5204312</v>
      </c>
      <c r="E201" s="425">
        <f t="shared" si="52"/>
        <v>133.47191713333098</v>
      </c>
      <c r="F201" s="247">
        <v>500832</v>
      </c>
      <c r="G201" s="247">
        <v>313753</v>
      </c>
      <c r="H201" s="425">
        <f t="shared" si="53"/>
        <v>159.62620277734396</v>
      </c>
      <c r="I201" s="247">
        <v>4566906</v>
      </c>
      <c r="J201" s="247">
        <v>4697990</v>
      </c>
      <c r="K201" s="425">
        <f t="shared" si="54"/>
        <v>97.209785461442024</v>
      </c>
      <c r="L201" s="247">
        <v>650739</v>
      </c>
      <c r="M201" s="247">
        <v>1178885</v>
      </c>
      <c r="N201" s="425">
        <f t="shared" si="55"/>
        <v>55.1995317609436</v>
      </c>
      <c r="O201" s="126">
        <v>466</v>
      </c>
      <c r="P201" s="126">
        <v>140</v>
      </c>
    </row>
    <row r="202" spans="1:16" ht="17.25" x14ac:dyDescent="0.25">
      <c r="A202" s="53">
        <v>7</v>
      </c>
      <c r="B202" s="549" t="s">
        <v>695</v>
      </c>
      <c r="C202" s="247">
        <v>1931146</v>
      </c>
      <c r="D202" s="247">
        <v>1935693</v>
      </c>
      <c r="E202" s="425">
        <f t="shared" si="52"/>
        <v>99.765097047930638</v>
      </c>
      <c r="F202" s="247">
        <v>195544</v>
      </c>
      <c r="G202" s="247">
        <v>227614</v>
      </c>
      <c r="H202" s="425">
        <f t="shared" si="53"/>
        <v>85.910357007916915</v>
      </c>
      <c r="I202" s="247">
        <v>1952812</v>
      </c>
      <c r="J202" s="247">
        <v>1652395</v>
      </c>
      <c r="K202" s="425">
        <f t="shared" si="54"/>
        <v>118.18070134562258</v>
      </c>
      <c r="L202" s="247">
        <v>354438</v>
      </c>
      <c r="M202" s="247">
        <v>80737</v>
      </c>
      <c r="N202" s="425">
        <f t="shared" si="55"/>
        <v>439.00318317500029</v>
      </c>
      <c r="O202" s="126">
        <v>165</v>
      </c>
      <c r="P202" s="126">
        <v>105</v>
      </c>
    </row>
    <row r="203" spans="1:16" ht="17.25" x14ac:dyDescent="0.25">
      <c r="A203" s="53">
        <v>8</v>
      </c>
      <c r="B203" s="545" t="s">
        <v>696</v>
      </c>
      <c r="C203" s="247">
        <v>204375</v>
      </c>
      <c r="D203" s="247">
        <v>427257</v>
      </c>
      <c r="E203" s="425">
        <f t="shared" si="52"/>
        <v>47.83420751444681</v>
      </c>
      <c r="F203" s="247">
        <v>5125</v>
      </c>
      <c r="G203" s="247">
        <v>57436</v>
      </c>
      <c r="H203" s="425">
        <f t="shared" si="53"/>
        <v>8.9229751375443982</v>
      </c>
      <c r="I203" s="247">
        <v>11026</v>
      </c>
      <c r="J203" s="247">
        <v>65220</v>
      </c>
      <c r="K203" s="425">
        <f t="shared" si="54"/>
        <v>16.905857099049371</v>
      </c>
      <c r="L203" s="247"/>
      <c r="M203" s="247"/>
      <c r="N203" s="425" t="e">
        <f t="shared" si="55"/>
        <v>#DIV/0!</v>
      </c>
      <c r="O203" s="126">
        <v>42</v>
      </c>
      <c r="P203" s="126">
        <v>80</v>
      </c>
    </row>
    <row r="204" spans="1:16" ht="17.25" x14ac:dyDescent="0.25">
      <c r="A204" s="53">
        <v>9</v>
      </c>
      <c r="B204" s="545" t="s">
        <v>697</v>
      </c>
      <c r="C204" s="247">
        <v>3354857</v>
      </c>
      <c r="D204" s="247">
        <v>2064132</v>
      </c>
      <c r="E204" s="425">
        <f t="shared" si="52"/>
        <v>162.53112688529609</v>
      </c>
      <c r="F204" s="247">
        <v>394165</v>
      </c>
      <c r="G204" s="247">
        <v>286209</v>
      </c>
      <c r="H204" s="425">
        <f t="shared" si="53"/>
        <v>137.71928905100819</v>
      </c>
      <c r="I204" s="247">
        <v>298384</v>
      </c>
      <c r="J204" s="247">
        <v>640953</v>
      </c>
      <c r="K204" s="425">
        <f t="shared" si="54"/>
        <v>46.553179406290319</v>
      </c>
      <c r="L204" s="247">
        <v>182463</v>
      </c>
      <c r="M204" s="247">
        <v>552551</v>
      </c>
      <c r="N204" s="425">
        <f t="shared" si="55"/>
        <v>33.021929197485846</v>
      </c>
      <c r="O204" s="126">
        <v>42</v>
      </c>
      <c r="P204" s="126">
        <v>80</v>
      </c>
    </row>
    <row r="205" spans="1:16" ht="17.25" x14ac:dyDescent="0.25">
      <c r="A205" s="53">
        <v>10</v>
      </c>
      <c r="B205" s="810" t="s">
        <v>227</v>
      </c>
      <c r="C205" s="247"/>
      <c r="D205" s="247"/>
      <c r="E205" s="425" t="e">
        <f t="shared" si="52"/>
        <v>#DIV/0!</v>
      </c>
      <c r="F205" s="247"/>
      <c r="G205" s="247"/>
      <c r="H205" s="425" t="e">
        <f t="shared" si="53"/>
        <v>#DIV/0!</v>
      </c>
      <c r="I205" s="247"/>
      <c r="J205" s="247"/>
      <c r="K205" s="425" t="e">
        <f t="shared" si="54"/>
        <v>#DIV/0!</v>
      </c>
      <c r="L205" s="247"/>
      <c r="M205" s="247"/>
      <c r="N205" s="425" t="e">
        <f t="shared" si="55"/>
        <v>#DIV/0!</v>
      </c>
      <c r="O205" s="126">
        <v>123</v>
      </c>
      <c r="P205" s="126">
        <v>85</v>
      </c>
    </row>
    <row r="206" spans="1:16" ht="17.25" x14ac:dyDescent="0.25">
      <c r="A206" s="53">
        <v>11</v>
      </c>
      <c r="B206" s="545" t="s">
        <v>235</v>
      </c>
      <c r="C206" s="247">
        <v>268919</v>
      </c>
      <c r="D206" s="247">
        <v>227774</v>
      </c>
      <c r="E206" s="425">
        <f t="shared" si="52"/>
        <v>118.06395813393978</v>
      </c>
      <c r="F206" s="247">
        <v>34935</v>
      </c>
      <c r="G206" s="247">
        <v>30857</v>
      </c>
      <c r="H206" s="425">
        <f t="shared" si="53"/>
        <v>113.2158019250089</v>
      </c>
      <c r="I206" s="247">
        <v>268919</v>
      </c>
      <c r="J206" s="247">
        <v>227774</v>
      </c>
      <c r="K206" s="425">
        <f t="shared" si="54"/>
        <v>118.06395813393978</v>
      </c>
      <c r="L206" s="247">
        <v>0</v>
      </c>
      <c r="M206" s="247">
        <v>0</v>
      </c>
      <c r="N206" s="425" t="e">
        <f t="shared" si="55"/>
        <v>#DIV/0!</v>
      </c>
      <c r="O206" s="126">
        <v>18</v>
      </c>
      <c r="P206" s="126">
        <v>80</v>
      </c>
    </row>
    <row r="207" spans="1:16" ht="17.25" x14ac:dyDescent="0.25">
      <c r="A207" s="53">
        <v>12</v>
      </c>
      <c r="B207" s="799" t="s">
        <v>698</v>
      </c>
      <c r="C207" s="247">
        <v>2483805</v>
      </c>
      <c r="D207" s="247">
        <v>2038880</v>
      </c>
      <c r="E207" s="425">
        <f t="shared" si="52"/>
        <v>121.82202974181904</v>
      </c>
      <c r="F207" s="247">
        <v>451603</v>
      </c>
      <c r="G207" s="247">
        <v>282463</v>
      </c>
      <c r="H207" s="425">
        <f t="shared" si="53"/>
        <v>159.8804091155302</v>
      </c>
      <c r="I207" s="247">
        <v>2483805</v>
      </c>
      <c r="J207" s="247">
        <v>2038880</v>
      </c>
      <c r="K207" s="425">
        <f t="shared" si="54"/>
        <v>121.82202974181904</v>
      </c>
      <c r="L207" s="247">
        <v>342646</v>
      </c>
      <c r="M207" s="247">
        <v>351807</v>
      </c>
      <c r="N207" s="425">
        <f t="shared" si="55"/>
        <v>97.396015428914154</v>
      </c>
      <c r="O207" s="126">
        <v>174</v>
      </c>
      <c r="P207" s="126">
        <v>115</v>
      </c>
    </row>
    <row r="208" spans="1:16" ht="17.25" x14ac:dyDescent="0.25">
      <c r="A208" s="53">
        <v>13</v>
      </c>
      <c r="B208" s="810" t="s">
        <v>699</v>
      </c>
      <c r="C208" s="247"/>
      <c r="D208" s="247"/>
      <c r="E208" s="425" t="e">
        <f t="shared" si="52"/>
        <v>#DIV/0!</v>
      </c>
      <c r="F208" s="247"/>
      <c r="G208" s="247"/>
      <c r="H208" s="425" t="e">
        <f t="shared" si="53"/>
        <v>#DIV/0!</v>
      </c>
      <c r="I208" s="247"/>
      <c r="J208" s="247"/>
      <c r="K208" s="425" t="e">
        <f t="shared" si="54"/>
        <v>#DIV/0!</v>
      </c>
      <c r="L208" s="247"/>
      <c r="M208" s="247"/>
      <c r="N208" s="425" t="e">
        <f t="shared" si="55"/>
        <v>#DIV/0!</v>
      </c>
      <c r="O208" s="126">
        <v>131</v>
      </c>
    </row>
    <row r="209" spans="1:16" ht="17.25" x14ac:dyDescent="0.25">
      <c r="A209" s="53">
        <v>14</v>
      </c>
      <c r="B209" s="545" t="s">
        <v>700</v>
      </c>
      <c r="C209" s="247">
        <v>23929</v>
      </c>
      <c r="D209" s="247">
        <v>15234</v>
      </c>
      <c r="E209" s="425">
        <f t="shared" si="52"/>
        <v>157.07627674937638</v>
      </c>
      <c r="F209" s="247">
        <v>9282</v>
      </c>
      <c r="G209" s="247">
        <v>587</v>
      </c>
      <c r="H209" s="425">
        <f t="shared" si="53"/>
        <v>1581.2606473594549</v>
      </c>
      <c r="I209" s="247">
        <v>32800</v>
      </c>
      <c r="J209" s="247">
        <v>17200</v>
      </c>
      <c r="K209" s="425">
        <f t="shared" si="54"/>
        <v>190.69767441860466</v>
      </c>
      <c r="L209" s="247">
        <v>0</v>
      </c>
      <c r="M209" s="247">
        <v>0</v>
      </c>
      <c r="N209" s="425" t="e">
        <f t="shared" si="55"/>
        <v>#DIV/0!</v>
      </c>
      <c r="O209" s="126">
        <v>38</v>
      </c>
      <c r="P209" s="126">
        <v>80</v>
      </c>
    </row>
    <row r="210" spans="1:16" ht="34.5" x14ac:dyDescent="0.25">
      <c r="A210" s="53">
        <v>15</v>
      </c>
      <c r="B210" s="545" t="s">
        <v>701</v>
      </c>
      <c r="C210" s="247">
        <v>3818032</v>
      </c>
      <c r="D210" s="247">
        <v>2987237</v>
      </c>
      <c r="E210" s="425">
        <f t="shared" si="52"/>
        <v>127.81148599860003</v>
      </c>
      <c r="F210" s="247">
        <v>241254</v>
      </c>
      <c r="G210" s="247">
        <v>151045</v>
      </c>
      <c r="H210" s="425">
        <f t="shared" si="53"/>
        <v>159.72326127975109</v>
      </c>
      <c r="I210" s="247">
        <v>3055151</v>
      </c>
      <c r="J210" s="247">
        <v>2480770</v>
      </c>
      <c r="K210" s="425">
        <f t="shared" si="54"/>
        <v>123.1533354563301</v>
      </c>
      <c r="L210" s="247">
        <v>0</v>
      </c>
      <c r="M210" s="247">
        <v>0</v>
      </c>
      <c r="N210" s="425" t="e">
        <f t="shared" si="55"/>
        <v>#DIV/0!</v>
      </c>
      <c r="O210" s="126">
        <v>381</v>
      </c>
      <c r="P210" s="126">
        <v>100</v>
      </c>
    </row>
    <row r="211" spans="1:16" ht="27.75" customHeight="1" x14ac:dyDescent="0.25">
      <c r="A211" s="53">
        <v>16</v>
      </c>
      <c r="B211" s="545" t="s">
        <v>785</v>
      </c>
      <c r="C211" s="247">
        <v>22466049</v>
      </c>
      <c r="D211" s="247">
        <v>18626485</v>
      </c>
      <c r="E211" s="425">
        <f t="shared" si="52"/>
        <v>120.61346518143385</v>
      </c>
      <c r="F211" s="247">
        <v>2371809</v>
      </c>
      <c r="G211" s="247">
        <v>2245694</v>
      </c>
      <c r="H211" s="425">
        <f t="shared" si="53"/>
        <v>105.61585861653458</v>
      </c>
      <c r="I211" s="247">
        <v>22354006</v>
      </c>
      <c r="J211" s="247">
        <v>18894301</v>
      </c>
      <c r="K211" s="425">
        <f t="shared" si="54"/>
        <v>118.3108388079559</v>
      </c>
      <c r="L211" s="247">
        <v>1332116</v>
      </c>
      <c r="M211" s="247">
        <v>922713</v>
      </c>
      <c r="N211" s="425">
        <f t="shared" si="55"/>
        <v>144.36948433586608</v>
      </c>
      <c r="O211" s="126">
        <v>1726</v>
      </c>
      <c r="P211" s="126">
        <v>168</v>
      </c>
    </row>
    <row r="212" spans="1:16" ht="34.5" x14ac:dyDescent="0.25">
      <c r="A212" s="53">
        <v>17</v>
      </c>
      <c r="B212" s="545" t="s">
        <v>547</v>
      </c>
      <c r="C212" s="247">
        <v>78328</v>
      </c>
      <c r="D212" s="247">
        <v>77000</v>
      </c>
      <c r="E212" s="425">
        <f t="shared" si="52"/>
        <v>101.72467532467533</v>
      </c>
      <c r="F212" s="247">
        <v>2350</v>
      </c>
      <c r="G212" s="247">
        <v>1400</v>
      </c>
      <c r="H212" s="425">
        <f t="shared" si="53"/>
        <v>167.85714285714286</v>
      </c>
      <c r="I212" s="247">
        <v>57992</v>
      </c>
      <c r="J212" s="247">
        <v>54408</v>
      </c>
      <c r="K212" s="425">
        <f t="shared" si="54"/>
        <v>106.58726657844436</v>
      </c>
      <c r="L212" s="247">
        <v>0</v>
      </c>
      <c r="M212" s="247">
        <v>0</v>
      </c>
      <c r="N212" s="425" t="e">
        <f t="shared" si="55"/>
        <v>#DIV/0!</v>
      </c>
      <c r="O212" s="126">
        <v>20</v>
      </c>
      <c r="P212" s="126">
        <v>75</v>
      </c>
    </row>
    <row r="213" spans="1:16" ht="17.25" x14ac:dyDescent="0.25">
      <c r="A213" s="53">
        <v>18</v>
      </c>
      <c r="B213" s="810" t="s">
        <v>549</v>
      </c>
      <c r="C213" s="247"/>
      <c r="D213" s="247"/>
      <c r="E213" s="425" t="e">
        <f t="shared" si="52"/>
        <v>#DIV/0!</v>
      </c>
      <c r="F213" s="247"/>
      <c r="G213" s="247"/>
      <c r="H213" s="425" t="e">
        <f t="shared" si="53"/>
        <v>#DIV/0!</v>
      </c>
      <c r="I213" s="247"/>
      <c r="J213" s="247"/>
      <c r="K213" s="425" t="e">
        <f t="shared" si="54"/>
        <v>#DIV/0!</v>
      </c>
      <c r="L213" s="247"/>
      <c r="M213" s="247"/>
      <c r="N213" s="425" t="e">
        <f t="shared" si="55"/>
        <v>#DIV/0!</v>
      </c>
      <c r="O213" s="126">
        <v>58</v>
      </c>
      <c r="P213" s="126">
        <v>118</v>
      </c>
    </row>
    <row r="214" spans="1:16" ht="17.25" x14ac:dyDescent="0.25">
      <c r="A214" s="53">
        <v>19</v>
      </c>
      <c r="B214" s="810" t="s">
        <v>550</v>
      </c>
      <c r="C214" s="247"/>
      <c r="D214" s="247"/>
      <c r="E214" s="425" t="e">
        <f t="shared" si="52"/>
        <v>#DIV/0!</v>
      </c>
      <c r="F214" s="247"/>
      <c r="G214" s="247"/>
      <c r="H214" s="425" t="e">
        <f>F214/G214*100</f>
        <v>#DIV/0!</v>
      </c>
      <c r="I214" s="247"/>
      <c r="J214" s="247"/>
      <c r="K214" s="425" t="e">
        <f t="shared" si="54"/>
        <v>#DIV/0!</v>
      </c>
      <c r="L214" s="247"/>
      <c r="M214" s="247"/>
      <c r="N214" s="425" t="e">
        <f t="shared" si="55"/>
        <v>#DIV/0!</v>
      </c>
      <c r="O214" s="126">
        <v>6</v>
      </c>
      <c r="P214" s="126">
        <v>83</v>
      </c>
    </row>
    <row r="215" spans="1:16" ht="17.25" x14ac:dyDescent="0.25">
      <c r="A215" s="53">
        <v>20</v>
      </c>
      <c r="B215" s="545" t="s">
        <v>551</v>
      </c>
      <c r="C215" s="247">
        <v>1387238</v>
      </c>
      <c r="D215" s="247">
        <v>896411</v>
      </c>
      <c r="E215" s="425">
        <f t="shared" si="52"/>
        <v>154.75468284079511</v>
      </c>
      <c r="F215" s="282">
        <v>126532</v>
      </c>
      <c r="G215" s="247">
        <v>67917</v>
      </c>
      <c r="H215" s="425">
        <f t="shared" si="53"/>
        <v>186.30387090124711</v>
      </c>
      <c r="I215" s="247">
        <v>1340474</v>
      </c>
      <c r="J215" s="247">
        <v>895580</v>
      </c>
      <c r="K215" s="425">
        <f t="shared" si="54"/>
        <v>149.67663413653722</v>
      </c>
      <c r="L215" s="247">
        <v>14005</v>
      </c>
      <c r="M215" s="247">
        <v>8210</v>
      </c>
      <c r="N215" s="425">
        <f t="shared" si="55"/>
        <v>170.58465286236299</v>
      </c>
      <c r="O215" s="126">
        <v>304</v>
      </c>
      <c r="P215" s="126">
        <v>100</v>
      </c>
    </row>
    <row r="216" spans="1:16" s="668" customFormat="1" ht="17.25" x14ac:dyDescent="0.25">
      <c r="A216" s="748">
        <v>21</v>
      </c>
      <c r="B216" s="799" t="s">
        <v>553</v>
      </c>
      <c r="C216" s="666">
        <v>324421</v>
      </c>
      <c r="D216" s="666">
        <v>113123</v>
      </c>
      <c r="E216" s="667">
        <f t="shared" si="52"/>
        <v>286.7860647260062</v>
      </c>
      <c r="F216" s="666">
        <v>17035</v>
      </c>
      <c r="G216" s="666">
        <v>7528</v>
      </c>
      <c r="H216" s="667">
        <f t="shared" si="53"/>
        <v>226.28852284803403</v>
      </c>
      <c r="I216" s="666">
        <v>287519</v>
      </c>
      <c r="J216" s="666">
        <v>103994</v>
      </c>
      <c r="K216" s="667">
        <f t="shared" si="54"/>
        <v>276.47652749197067</v>
      </c>
      <c r="L216" s="666">
        <v>0</v>
      </c>
      <c r="M216" s="666">
        <v>0</v>
      </c>
      <c r="N216" s="667" t="e">
        <f t="shared" si="55"/>
        <v>#DIV/0!</v>
      </c>
      <c r="O216" s="668">
        <v>44</v>
      </c>
    </row>
    <row r="217" spans="1:16" s="668" customFormat="1" ht="34.5" x14ac:dyDescent="0.25">
      <c r="A217" s="748">
        <v>22</v>
      </c>
      <c r="B217" s="799" t="s">
        <v>554</v>
      </c>
      <c r="C217" s="666">
        <v>4436684</v>
      </c>
      <c r="D217" s="666">
        <v>2461079</v>
      </c>
      <c r="E217" s="667">
        <f t="shared" si="52"/>
        <v>180.27393675700779</v>
      </c>
      <c r="F217" s="666">
        <v>499033</v>
      </c>
      <c r="G217" s="666">
        <v>191416</v>
      </c>
      <c r="H217" s="667">
        <f t="shared" si="53"/>
        <v>260.70600158816404</v>
      </c>
      <c r="I217" s="666">
        <v>4436684</v>
      </c>
      <c r="J217" s="666">
        <v>2461079</v>
      </c>
      <c r="K217" s="667">
        <f t="shared" si="54"/>
        <v>180.27393675700779</v>
      </c>
      <c r="L217" s="666">
        <v>1252242</v>
      </c>
      <c r="M217" s="666">
        <v>103647</v>
      </c>
      <c r="N217" s="667">
        <f t="shared" si="55"/>
        <v>1208.1796868216156</v>
      </c>
      <c r="O217" s="668">
        <v>252</v>
      </c>
    </row>
    <row r="218" spans="1:16" s="668" customFormat="1" ht="34.5" x14ac:dyDescent="0.25">
      <c r="A218" s="748">
        <v>23</v>
      </c>
      <c r="B218" s="799" t="s">
        <v>575</v>
      </c>
      <c r="C218" s="666">
        <v>113295</v>
      </c>
      <c r="D218" s="666">
        <v>86855</v>
      </c>
      <c r="E218" s="667">
        <f t="shared" si="52"/>
        <v>130.44154049853202</v>
      </c>
      <c r="F218" s="666">
        <v>10344</v>
      </c>
      <c r="G218" s="666">
        <v>16697</v>
      </c>
      <c r="H218" s="667">
        <f t="shared" si="53"/>
        <v>61.95124872731629</v>
      </c>
      <c r="I218" s="666">
        <v>66130</v>
      </c>
      <c r="J218" s="666">
        <v>53556</v>
      </c>
      <c r="K218" s="667">
        <f t="shared" si="54"/>
        <v>123.47822839644485</v>
      </c>
      <c r="L218" s="666">
        <v>11501</v>
      </c>
      <c r="M218" s="666">
        <v>5673</v>
      </c>
      <c r="N218" s="667">
        <f t="shared" si="55"/>
        <v>202.73224043715845</v>
      </c>
      <c r="O218" s="668">
        <v>31</v>
      </c>
    </row>
    <row r="219" spans="1:16" ht="17.25" x14ac:dyDescent="0.25">
      <c r="A219" s="53">
        <v>24</v>
      </c>
      <c r="B219" s="545" t="s">
        <v>576</v>
      </c>
      <c r="C219" s="732">
        <v>53586</v>
      </c>
      <c r="D219" s="733">
        <v>48872</v>
      </c>
      <c r="E219" s="425">
        <f t="shared" si="52"/>
        <v>109.6456048453102</v>
      </c>
      <c r="F219" s="247">
        <v>4645</v>
      </c>
      <c r="G219" s="247">
        <v>2874</v>
      </c>
      <c r="H219" s="425">
        <f t="shared" si="53"/>
        <v>161.62143354210161</v>
      </c>
      <c r="I219" s="247">
        <v>51211</v>
      </c>
      <c r="J219" s="247">
        <v>50284</v>
      </c>
      <c r="K219" s="425">
        <f>I219/J219*100</f>
        <v>101.84352875666217</v>
      </c>
      <c r="L219" s="247">
        <v>0</v>
      </c>
      <c r="M219" s="247">
        <v>0</v>
      </c>
      <c r="N219" s="425" t="e">
        <f t="shared" si="55"/>
        <v>#DIV/0!</v>
      </c>
      <c r="O219" s="126">
        <v>3</v>
      </c>
      <c r="P219" s="126">
        <v>81</v>
      </c>
    </row>
    <row r="220" spans="1:16" ht="17.25" x14ac:dyDescent="0.25">
      <c r="A220" s="53">
        <v>25</v>
      </c>
      <c r="B220" s="545" t="s">
        <v>755</v>
      </c>
      <c r="C220" s="247">
        <v>492240</v>
      </c>
      <c r="D220" s="247">
        <v>381847</v>
      </c>
      <c r="E220" s="425">
        <f t="shared" si="52"/>
        <v>128.91027034388119</v>
      </c>
      <c r="F220" s="247">
        <v>18124</v>
      </c>
      <c r="G220" s="247">
        <v>12779</v>
      </c>
      <c r="H220" s="425">
        <f t="shared" si="53"/>
        <v>141.82643399327023</v>
      </c>
      <c r="I220" s="247">
        <v>558897</v>
      </c>
      <c r="J220" s="247">
        <v>408376</v>
      </c>
      <c r="K220" s="425">
        <f t="shared" si="54"/>
        <v>136.85843438399905</v>
      </c>
      <c r="L220" s="247">
        <v>354921</v>
      </c>
      <c r="M220" s="247">
        <v>263417</v>
      </c>
      <c r="N220" s="425">
        <f t="shared" si="55"/>
        <v>134.73731763705456</v>
      </c>
      <c r="O220" s="126">
        <v>25</v>
      </c>
      <c r="P220" s="126">
        <v>87</v>
      </c>
    </row>
    <row r="221" spans="1:16" ht="34.5" x14ac:dyDescent="0.25">
      <c r="A221" s="53">
        <v>27</v>
      </c>
      <c r="B221" s="799" t="s">
        <v>557</v>
      </c>
      <c r="C221" s="247">
        <v>1354858</v>
      </c>
      <c r="D221" s="247">
        <v>1510982</v>
      </c>
      <c r="E221" s="425">
        <f t="shared" si="52"/>
        <v>89.667381874833723</v>
      </c>
      <c r="F221" s="247">
        <v>288675</v>
      </c>
      <c r="G221" s="247">
        <v>273135</v>
      </c>
      <c r="H221" s="425">
        <f t="shared" si="53"/>
        <v>105.68949420616178</v>
      </c>
      <c r="I221" s="247">
        <v>1354392</v>
      </c>
      <c r="J221" s="247">
        <v>1551415</v>
      </c>
      <c r="K221" s="425">
        <f t="shared" si="54"/>
        <v>87.300432186101077</v>
      </c>
      <c r="L221" s="247">
        <v>267881</v>
      </c>
      <c r="M221" s="247">
        <v>432699</v>
      </c>
      <c r="N221" s="425">
        <f t="shared" si="55"/>
        <v>61.909318024770108</v>
      </c>
      <c r="O221" s="126">
        <v>82</v>
      </c>
      <c r="P221" s="126">
        <v>119</v>
      </c>
    </row>
    <row r="222" spans="1:16" ht="17.25" x14ac:dyDescent="0.25">
      <c r="A222" s="53">
        <v>28</v>
      </c>
      <c r="B222" s="545" t="s">
        <v>558</v>
      </c>
      <c r="C222" s="247">
        <v>3080806</v>
      </c>
      <c r="D222" s="247">
        <v>2421558</v>
      </c>
      <c r="E222" s="425">
        <f t="shared" si="52"/>
        <v>127.22412595527342</v>
      </c>
      <c r="F222" s="247">
        <v>381239</v>
      </c>
      <c r="G222" s="247">
        <v>351682</v>
      </c>
      <c r="H222" s="425">
        <f t="shared" si="53"/>
        <v>108.40446767249958</v>
      </c>
      <c r="I222" s="247">
        <v>3080806</v>
      </c>
      <c r="J222" s="247">
        <v>2421558</v>
      </c>
      <c r="K222" s="425">
        <f t="shared" si="54"/>
        <v>127.22412595527342</v>
      </c>
      <c r="L222" s="247">
        <v>3080625</v>
      </c>
      <c r="M222" s="247">
        <v>2120957</v>
      </c>
      <c r="N222" s="425">
        <f t="shared" si="55"/>
        <v>145.24693334188294</v>
      </c>
      <c r="O222" s="126">
        <v>48</v>
      </c>
      <c r="P222" s="126">
        <v>130</v>
      </c>
    </row>
    <row r="223" spans="1:16" ht="17.25" x14ac:dyDescent="0.25">
      <c r="A223" s="53">
        <v>30</v>
      </c>
      <c r="B223" s="545" t="s">
        <v>560</v>
      </c>
      <c r="C223" s="247"/>
      <c r="D223" s="593"/>
      <c r="E223" s="425" t="e">
        <f t="shared" si="52"/>
        <v>#DIV/0!</v>
      </c>
      <c r="F223" s="593"/>
      <c r="G223" s="593"/>
      <c r="H223" s="425" t="e">
        <f t="shared" si="53"/>
        <v>#DIV/0!</v>
      </c>
      <c r="I223" s="593"/>
      <c r="J223" s="593"/>
      <c r="K223" s="425" t="e">
        <f t="shared" si="54"/>
        <v>#DIV/0!</v>
      </c>
      <c r="L223" s="247"/>
      <c r="M223" s="247"/>
      <c r="N223" s="425" t="e">
        <f t="shared" si="55"/>
        <v>#DIV/0!</v>
      </c>
      <c r="O223" s="126">
        <v>57</v>
      </c>
      <c r="P223" s="126">
        <v>95</v>
      </c>
    </row>
    <row r="224" spans="1:16" ht="33" customHeight="1" x14ac:dyDescent="0.25">
      <c r="A224" s="53">
        <v>31</v>
      </c>
      <c r="B224" s="545" t="s">
        <v>561</v>
      </c>
      <c r="C224" s="247">
        <v>2381151</v>
      </c>
      <c r="D224" s="247">
        <v>2184227</v>
      </c>
      <c r="E224" s="425">
        <f t="shared" si="52"/>
        <v>109.01572959220813</v>
      </c>
      <c r="F224" s="247">
        <v>251216</v>
      </c>
      <c r="G224" s="247">
        <v>315035</v>
      </c>
      <c r="H224" s="425">
        <f t="shared" si="53"/>
        <v>79.742250861015435</v>
      </c>
      <c r="I224" s="247">
        <v>2396382</v>
      </c>
      <c r="J224" s="247">
        <v>2164069</v>
      </c>
      <c r="K224" s="425">
        <f t="shared" si="54"/>
        <v>110.73500891145338</v>
      </c>
      <c r="L224" s="247">
        <v>30091</v>
      </c>
      <c r="M224" s="247">
        <v>65053</v>
      </c>
      <c r="N224" s="425">
        <f t="shared" si="55"/>
        <v>46.256129617388893</v>
      </c>
      <c r="O224" s="126">
        <v>312</v>
      </c>
    </row>
    <row r="225" spans="1:16" ht="34.5" x14ac:dyDescent="0.25">
      <c r="A225" s="53">
        <v>32</v>
      </c>
      <c r="B225" s="545" t="s">
        <v>565</v>
      </c>
      <c r="C225" s="247">
        <v>75796</v>
      </c>
      <c r="D225" s="247">
        <v>51383</v>
      </c>
      <c r="E225" s="425">
        <f t="shared" si="52"/>
        <v>147.5118229764708</v>
      </c>
      <c r="F225" s="247">
        <v>9903</v>
      </c>
      <c r="G225" s="247">
        <v>1650</v>
      </c>
      <c r="H225" s="425">
        <f t="shared" si="53"/>
        <v>600.18181818181824</v>
      </c>
      <c r="I225" s="247">
        <v>75796</v>
      </c>
      <c r="J225" s="247">
        <v>51383</v>
      </c>
      <c r="K225" s="425">
        <f t="shared" si="54"/>
        <v>147.5118229764708</v>
      </c>
      <c r="L225" s="247">
        <v>0</v>
      </c>
      <c r="M225" s="247">
        <v>0</v>
      </c>
      <c r="N225" s="425" t="e">
        <f t="shared" si="55"/>
        <v>#DIV/0!</v>
      </c>
      <c r="O225" s="126">
        <v>20</v>
      </c>
      <c r="P225" s="126">
        <v>97</v>
      </c>
    </row>
    <row r="226" spans="1:16" ht="17.25" x14ac:dyDescent="0.25">
      <c r="A226" s="53">
        <v>33</v>
      </c>
      <c r="B226" s="545" t="s">
        <v>566</v>
      </c>
      <c r="C226" s="247">
        <v>271430</v>
      </c>
      <c r="D226" s="247">
        <v>253033</v>
      </c>
      <c r="E226" s="425">
        <f t="shared" si="52"/>
        <v>107.27059316373753</v>
      </c>
      <c r="F226" s="247">
        <v>15650</v>
      </c>
      <c r="G226" s="247">
        <v>18544</v>
      </c>
      <c r="H226" s="425">
        <f t="shared" si="53"/>
        <v>84.393874029335635</v>
      </c>
      <c r="I226" s="247">
        <v>271430</v>
      </c>
      <c r="J226" s="247">
        <v>253033</v>
      </c>
      <c r="K226" s="425">
        <f t="shared" si="54"/>
        <v>107.27059316373753</v>
      </c>
      <c r="L226" s="247">
        <v>0</v>
      </c>
      <c r="M226" s="247">
        <v>0</v>
      </c>
      <c r="N226" s="425" t="e">
        <f t="shared" si="55"/>
        <v>#DIV/0!</v>
      </c>
      <c r="O226" s="126">
        <v>26</v>
      </c>
      <c r="P226" s="126">
        <v>120</v>
      </c>
    </row>
    <row r="227" spans="1:16" ht="34.5" x14ac:dyDescent="0.25">
      <c r="A227" s="53">
        <v>34</v>
      </c>
      <c r="B227" s="545" t="s">
        <v>567</v>
      </c>
      <c r="C227" s="247">
        <v>37581</v>
      </c>
      <c r="D227" s="247">
        <v>33619</v>
      </c>
      <c r="E227" s="425">
        <f t="shared" si="52"/>
        <v>111.78500252833219</v>
      </c>
      <c r="F227" s="247">
        <v>2684</v>
      </c>
      <c r="G227" s="247">
        <v>1476</v>
      </c>
      <c r="H227" s="425">
        <f t="shared" si="53"/>
        <v>181.84281842818427</v>
      </c>
      <c r="I227" s="247">
        <v>52981</v>
      </c>
      <c r="J227" s="247">
        <v>52412</v>
      </c>
      <c r="K227" s="425">
        <f t="shared" si="54"/>
        <v>101.08562924521102</v>
      </c>
      <c r="L227" s="247">
        <v>0</v>
      </c>
      <c r="M227" s="247">
        <v>4514</v>
      </c>
      <c r="N227" s="425">
        <f t="shared" si="55"/>
        <v>0</v>
      </c>
      <c r="O227" s="126">
        <v>6</v>
      </c>
    </row>
    <row r="228" spans="1:16" ht="34.5" x14ac:dyDescent="0.25">
      <c r="A228" s="53">
        <v>35</v>
      </c>
      <c r="B228" s="545" t="s">
        <v>574</v>
      </c>
      <c r="C228" s="247">
        <v>308746</v>
      </c>
      <c r="D228" s="247">
        <v>303917</v>
      </c>
      <c r="E228" s="425">
        <f t="shared" si="52"/>
        <v>101.58892065925895</v>
      </c>
      <c r="F228" s="247">
        <v>13858</v>
      </c>
      <c r="G228" s="247">
        <v>9521</v>
      </c>
      <c r="H228" s="425">
        <f t="shared" si="53"/>
        <v>145.55193782165739</v>
      </c>
      <c r="I228" s="247">
        <v>305324</v>
      </c>
      <c r="J228" s="247">
        <v>303980</v>
      </c>
      <c r="K228" s="425">
        <f t="shared" si="54"/>
        <v>100.44213435094413</v>
      </c>
      <c r="L228" s="247">
        <v>0</v>
      </c>
      <c r="M228" s="247">
        <v>0</v>
      </c>
      <c r="N228" s="425" t="e">
        <f t="shared" si="55"/>
        <v>#DIV/0!</v>
      </c>
      <c r="O228" s="126">
        <v>63</v>
      </c>
    </row>
    <row r="229" spans="1:16" ht="17.25" x14ac:dyDescent="0.25">
      <c r="A229" s="53">
        <v>36</v>
      </c>
      <c r="B229" s="545" t="s">
        <v>569</v>
      </c>
      <c r="C229" s="247">
        <v>25861</v>
      </c>
      <c r="D229" s="247">
        <v>46657</v>
      </c>
      <c r="E229" s="425">
        <f t="shared" si="52"/>
        <v>55.427910067085328</v>
      </c>
      <c r="F229" s="247">
        <v>0</v>
      </c>
      <c r="G229" s="247">
        <v>9234</v>
      </c>
      <c r="H229" s="425">
        <f t="shared" si="53"/>
        <v>0</v>
      </c>
      <c r="I229" s="247">
        <v>42467</v>
      </c>
      <c r="J229" s="247">
        <v>57923</v>
      </c>
      <c r="K229" s="425">
        <f t="shared" si="54"/>
        <v>73.316299224832974</v>
      </c>
      <c r="L229" s="247">
        <v>0</v>
      </c>
      <c r="M229" s="247">
        <v>0</v>
      </c>
      <c r="N229" s="425" t="e">
        <f t="shared" si="55"/>
        <v>#DIV/0!</v>
      </c>
      <c r="O229" s="126">
        <v>1</v>
      </c>
      <c r="P229" s="126">
        <v>67</v>
      </c>
    </row>
    <row r="230" spans="1:16" ht="17.25" x14ac:dyDescent="0.25">
      <c r="A230" s="53">
        <v>37</v>
      </c>
      <c r="B230" s="810" t="s">
        <v>704</v>
      </c>
      <c r="C230" s="247"/>
      <c r="D230" s="247"/>
      <c r="E230" s="425" t="e">
        <f t="shared" si="52"/>
        <v>#DIV/0!</v>
      </c>
      <c r="F230" s="247"/>
      <c r="G230" s="247"/>
      <c r="H230" s="425" t="e">
        <f t="shared" si="53"/>
        <v>#DIV/0!</v>
      </c>
      <c r="I230" s="247"/>
      <c r="J230" s="247"/>
      <c r="K230" s="425" t="e">
        <f t="shared" si="54"/>
        <v>#DIV/0!</v>
      </c>
      <c r="L230" s="247"/>
      <c r="M230" s="247"/>
      <c r="N230" s="425" t="e">
        <f t="shared" si="55"/>
        <v>#DIV/0!</v>
      </c>
      <c r="O230" s="126">
        <v>11</v>
      </c>
      <c r="P230" s="126">
        <v>120</v>
      </c>
    </row>
    <row r="231" spans="1:16" ht="17.25" x14ac:dyDescent="0.25">
      <c r="A231" s="53">
        <v>38</v>
      </c>
      <c r="B231" s="545" t="s">
        <v>705</v>
      </c>
      <c r="C231" s="247">
        <v>51165</v>
      </c>
      <c r="D231" s="247">
        <v>40177</v>
      </c>
      <c r="E231" s="425">
        <f t="shared" si="52"/>
        <v>127.34898076013639</v>
      </c>
      <c r="F231" s="247">
        <v>3306</v>
      </c>
      <c r="G231" s="247">
        <v>3524</v>
      </c>
      <c r="H231" s="425">
        <f t="shared" si="53"/>
        <v>93.813847900113515</v>
      </c>
      <c r="I231" s="247">
        <v>46584</v>
      </c>
      <c r="J231" s="247">
        <v>40453</v>
      </c>
      <c r="K231" s="425">
        <f>I231/J231*100</f>
        <v>115.15585988678218</v>
      </c>
      <c r="L231" s="247">
        <v>0</v>
      </c>
      <c r="M231" s="247">
        <v>0</v>
      </c>
      <c r="N231" s="425" t="e">
        <f t="shared" si="55"/>
        <v>#DIV/0!</v>
      </c>
      <c r="O231" s="126">
        <v>14</v>
      </c>
      <c r="P231" s="126">
        <v>69</v>
      </c>
    </row>
    <row r="232" spans="1:16" ht="34.5" x14ac:dyDescent="0.25">
      <c r="A232" s="53">
        <v>39</v>
      </c>
      <c r="B232" s="810" t="s">
        <v>752</v>
      </c>
      <c r="C232" s="247"/>
      <c r="D232" s="247"/>
      <c r="E232" s="425" t="e">
        <f t="shared" si="52"/>
        <v>#DIV/0!</v>
      </c>
      <c r="F232" s="247"/>
      <c r="G232" s="247"/>
      <c r="H232" s="425" t="e">
        <f t="shared" si="53"/>
        <v>#DIV/0!</v>
      </c>
      <c r="I232" s="247"/>
      <c r="J232" s="247"/>
      <c r="K232" s="425" t="e">
        <f t="shared" si="54"/>
        <v>#DIV/0!</v>
      </c>
      <c r="L232" s="247"/>
      <c r="M232" s="247"/>
      <c r="N232" s="425" t="e">
        <f t="shared" si="55"/>
        <v>#DIV/0!</v>
      </c>
      <c r="O232" s="126">
        <v>146</v>
      </c>
      <c r="P232" s="126">
        <v>103</v>
      </c>
    </row>
    <row r="233" spans="1:16" s="727" customFormat="1" ht="17.25" x14ac:dyDescent="0.25">
      <c r="A233" s="272">
        <v>40</v>
      </c>
      <c r="B233" s="549" t="s">
        <v>783</v>
      </c>
      <c r="C233" s="282">
        <v>3145334</v>
      </c>
      <c r="D233" s="282">
        <v>2328565</v>
      </c>
      <c r="E233" s="372">
        <f t="shared" si="52"/>
        <v>135.07606616091886</v>
      </c>
      <c r="F233" s="282">
        <v>257416</v>
      </c>
      <c r="G233" s="282">
        <v>237475</v>
      </c>
      <c r="H233" s="372">
        <f t="shared" si="53"/>
        <v>108.39709443099275</v>
      </c>
      <c r="I233" s="282">
        <v>3432247</v>
      </c>
      <c r="J233" s="282">
        <v>2692853</v>
      </c>
      <c r="K233" s="372">
        <f t="shared" si="54"/>
        <v>127.4576443645457</v>
      </c>
      <c r="L233" s="282">
        <v>0</v>
      </c>
      <c r="M233" s="282">
        <v>0</v>
      </c>
      <c r="N233" s="372" t="e">
        <f t="shared" si="55"/>
        <v>#DIV/0!</v>
      </c>
      <c r="O233" s="727">
        <v>53</v>
      </c>
      <c r="P233" s="727">
        <v>103</v>
      </c>
    </row>
    <row r="234" spans="1:16" ht="17.25" x14ac:dyDescent="0.25">
      <c r="A234" s="53">
        <v>41</v>
      </c>
      <c r="B234" s="810" t="s">
        <v>756</v>
      </c>
      <c r="C234" s="247"/>
      <c r="D234" s="247"/>
      <c r="E234" s="425" t="e">
        <f t="shared" si="52"/>
        <v>#DIV/0!</v>
      </c>
      <c r="F234" s="247"/>
      <c r="G234" s="247"/>
      <c r="H234" s="425" t="e">
        <f t="shared" si="53"/>
        <v>#DIV/0!</v>
      </c>
      <c r="I234" s="247"/>
      <c r="J234" s="247"/>
      <c r="K234" s="425" t="e">
        <f t="shared" si="54"/>
        <v>#DIV/0!</v>
      </c>
      <c r="L234" s="247"/>
      <c r="M234" s="247"/>
      <c r="N234" s="425" t="e">
        <f t="shared" si="55"/>
        <v>#DIV/0!</v>
      </c>
      <c r="O234" s="126">
        <v>220</v>
      </c>
      <c r="P234" s="126">
        <v>114</v>
      </c>
    </row>
    <row r="235" spans="1:16" ht="17.25" x14ac:dyDescent="0.25">
      <c r="A235" s="53">
        <v>42</v>
      </c>
      <c r="B235" s="810" t="s">
        <v>706</v>
      </c>
      <c r="C235" s="247"/>
      <c r="D235" s="247"/>
      <c r="E235" s="425" t="e">
        <f t="shared" si="52"/>
        <v>#DIV/0!</v>
      </c>
      <c r="F235" s="247"/>
      <c r="G235" s="247"/>
      <c r="H235" s="425" t="e">
        <f t="shared" si="53"/>
        <v>#DIV/0!</v>
      </c>
      <c r="I235" s="247"/>
      <c r="J235" s="247"/>
      <c r="K235" s="425" t="e">
        <f t="shared" si="54"/>
        <v>#DIV/0!</v>
      </c>
      <c r="L235" s="247"/>
      <c r="M235" s="247"/>
      <c r="N235" s="425" t="e">
        <f t="shared" si="55"/>
        <v>#DIV/0!</v>
      </c>
      <c r="O235" s="126">
        <v>10</v>
      </c>
      <c r="P235" s="126">
        <v>91</v>
      </c>
    </row>
    <row r="237" spans="1:16" ht="51.75" x14ac:dyDescent="0.25">
      <c r="A237" s="414"/>
      <c r="B237" s="552" t="s">
        <v>732</v>
      </c>
      <c r="C237" s="345">
        <f>C238+C248</f>
        <v>16689810</v>
      </c>
      <c r="D237" s="345">
        <f>D238+D248</f>
        <v>15498218</v>
      </c>
      <c r="E237" s="345">
        <f>C237/D237*100</f>
        <v>107.6885742606021</v>
      </c>
      <c r="F237" s="345">
        <f>F238+F248</f>
        <v>2713024</v>
      </c>
      <c r="G237" s="345">
        <f>G238+G248</f>
        <v>1341732</v>
      </c>
      <c r="H237" s="345">
        <f>F237/G237*100</f>
        <v>202.20312253117615</v>
      </c>
      <c r="I237" s="345">
        <f>I238+I248</f>
        <v>16504993</v>
      </c>
      <c r="J237" s="345">
        <f>J238+J248</f>
        <v>15490579</v>
      </c>
      <c r="K237" s="345">
        <f>I237/J237*100</f>
        <v>106.54858672487322</v>
      </c>
      <c r="L237" s="345">
        <f>L238+L248</f>
        <v>15965753</v>
      </c>
      <c r="M237" s="345">
        <f>M238+M248</f>
        <v>14963602</v>
      </c>
      <c r="N237" s="345">
        <f>L237/M237*100</f>
        <v>106.69725778592614</v>
      </c>
    </row>
    <row r="238" spans="1:16" ht="17.25" x14ac:dyDescent="0.25">
      <c r="A238" s="1062" t="s">
        <v>340</v>
      </c>
      <c r="B238" s="1063" t="s">
        <v>155</v>
      </c>
      <c r="C238" s="254">
        <f>SUM(C239:C246)</f>
        <v>13351132</v>
      </c>
      <c r="D238" s="254">
        <f>SUM(D239:D246)</f>
        <v>12081039</v>
      </c>
      <c r="E238" s="254">
        <f>C238/D238*100</f>
        <v>110.51311066870986</v>
      </c>
      <c r="F238" s="254">
        <f>SUM(F239:F246)</f>
        <v>2407316</v>
      </c>
      <c r="G238" s="254">
        <f>SUM(G239:G246)</f>
        <v>1003031</v>
      </c>
      <c r="H238" s="254">
        <f>F238/G238*100</f>
        <v>240.00414742914228</v>
      </c>
      <c r="I238" s="254">
        <f>SUM(I239:I246)</f>
        <v>13013821</v>
      </c>
      <c r="J238" s="254">
        <f>SUM(J239:J246)</f>
        <v>12173977</v>
      </c>
      <c r="K238" s="254">
        <f>I238/J238*100</f>
        <v>106.8986823287082</v>
      </c>
      <c r="L238" s="254">
        <f>SUM(L239:L246)</f>
        <v>12948883</v>
      </c>
      <c r="M238" s="254">
        <f>SUM(M239:M246)</f>
        <v>12171423</v>
      </c>
      <c r="N238" s="254">
        <f>L238/M238*100</f>
        <v>106.387585083519</v>
      </c>
    </row>
    <row r="239" spans="1:16" ht="17.25" x14ac:dyDescent="0.25">
      <c r="A239" s="568">
        <v>1</v>
      </c>
      <c r="B239" s="545" t="s">
        <v>707</v>
      </c>
      <c r="C239" s="247">
        <v>798962</v>
      </c>
      <c r="D239" s="247">
        <v>1170356</v>
      </c>
      <c r="E239" s="425">
        <f t="shared" ref="E239:E246" si="56">C239/D239*100</f>
        <v>68.266578716219684</v>
      </c>
      <c r="F239" s="247">
        <v>60029</v>
      </c>
      <c r="G239" s="247">
        <v>24755</v>
      </c>
      <c r="H239" s="425">
        <f t="shared" ref="H239:H246" si="57">F239/G239*100</f>
        <v>242.49242577257121</v>
      </c>
      <c r="I239" s="247">
        <v>798962</v>
      </c>
      <c r="J239" s="247">
        <v>1340536</v>
      </c>
      <c r="K239" s="425">
        <f t="shared" ref="K239:K246" si="58">I239/J239*100</f>
        <v>59.600189774836331</v>
      </c>
      <c r="L239" s="247">
        <v>798962</v>
      </c>
      <c r="M239" s="247">
        <v>1340536</v>
      </c>
      <c r="N239" s="425">
        <f t="shared" ref="N239:N246" si="59">L239/M239*100</f>
        <v>59.600189774836331</v>
      </c>
      <c r="O239" s="126">
        <v>120</v>
      </c>
      <c r="P239" s="126">
        <v>180</v>
      </c>
    </row>
    <row r="240" spans="1:16" ht="17.25" x14ac:dyDescent="0.25">
      <c r="A240" s="568">
        <v>2</v>
      </c>
      <c r="B240" s="545" t="s">
        <v>708</v>
      </c>
      <c r="C240" s="247">
        <v>0</v>
      </c>
      <c r="D240" s="247">
        <v>0</v>
      </c>
      <c r="E240" s="425" t="e">
        <f t="shared" si="56"/>
        <v>#DIV/0!</v>
      </c>
      <c r="F240" s="247">
        <v>0</v>
      </c>
      <c r="G240" s="247">
        <v>0</v>
      </c>
      <c r="H240" s="425" t="e">
        <f t="shared" si="57"/>
        <v>#DIV/0!</v>
      </c>
      <c r="I240" s="247">
        <v>0</v>
      </c>
      <c r="J240" s="247">
        <v>0</v>
      </c>
      <c r="K240" s="425" t="e">
        <f t="shared" si="58"/>
        <v>#DIV/0!</v>
      </c>
      <c r="L240" s="247">
        <v>0</v>
      </c>
      <c r="M240" s="247">
        <v>0</v>
      </c>
      <c r="N240" s="425" t="e">
        <f t="shared" si="59"/>
        <v>#DIV/0!</v>
      </c>
      <c r="O240" s="126">
        <v>0</v>
      </c>
      <c r="P240" s="126">
        <v>0</v>
      </c>
    </row>
    <row r="241" spans="1:16" ht="17.25" x14ac:dyDescent="0.25">
      <c r="A241" s="568">
        <v>3</v>
      </c>
      <c r="B241" s="545" t="s">
        <v>709</v>
      </c>
      <c r="C241" s="247">
        <v>6762805</v>
      </c>
      <c r="D241" s="247">
        <v>6391389</v>
      </c>
      <c r="E241" s="425">
        <f t="shared" si="56"/>
        <v>105.81119377963068</v>
      </c>
      <c r="F241" s="247">
        <v>1263225</v>
      </c>
      <c r="G241" s="247">
        <v>490486</v>
      </c>
      <c r="H241" s="425">
        <f t="shared" si="57"/>
        <v>257.54557724379492</v>
      </c>
      <c r="I241" s="247">
        <v>6762805</v>
      </c>
      <c r="J241" s="247">
        <v>6391389</v>
      </c>
      <c r="K241" s="425">
        <f t="shared" si="58"/>
        <v>105.81119377963068</v>
      </c>
      <c r="L241" s="247">
        <v>6762805</v>
      </c>
      <c r="M241" s="247">
        <v>6391389</v>
      </c>
      <c r="N241" s="425">
        <f t="shared" si="59"/>
        <v>105.81119377963068</v>
      </c>
      <c r="O241" s="126">
        <v>108</v>
      </c>
      <c r="P241" s="126">
        <v>228</v>
      </c>
    </row>
    <row r="242" spans="1:16" ht="17.25" x14ac:dyDescent="0.25">
      <c r="A242" s="568">
        <v>4</v>
      </c>
      <c r="B242" s="545" t="s">
        <v>710</v>
      </c>
      <c r="C242" s="247">
        <v>755391</v>
      </c>
      <c r="D242" s="247">
        <v>901761</v>
      </c>
      <c r="E242" s="425">
        <f t="shared" si="56"/>
        <v>83.768426445588133</v>
      </c>
      <c r="F242" s="247">
        <v>182517</v>
      </c>
      <c r="G242" s="247">
        <v>88548</v>
      </c>
      <c r="H242" s="425">
        <f t="shared" si="57"/>
        <v>206.12210326602519</v>
      </c>
      <c r="I242" s="247">
        <v>860286</v>
      </c>
      <c r="J242" s="247">
        <v>839630</v>
      </c>
      <c r="K242" s="425">
        <f t="shared" si="58"/>
        <v>102.46013124828795</v>
      </c>
      <c r="L242" s="247">
        <v>860286</v>
      </c>
      <c r="M242" s="247">
        <v>839630</v>
      </c>
      <c r="N242" s="425">
        <f t="shared" si="59"/>
        <v>102.46013124828795</v>
      </c>
      <c r="O242" s="126">
        <v>51</v>
      </c>
      <c r="P242" s="126">
        <v>93</v>
      </c>
    </row>
    <row r="243" spans="1:16" ht="17.25" x14ac:dyDescent="0.25">
      <c r="A243" s="568">
        <v>5</v>
      </c>
      <c r="B243" s="545" t="s">
        <v>711</v>
      </c>
      <c r="C243" s="247">
        <v>4717237</v>
      </c>
      <c r="D243" s="247">
        <v>3617533</v>
      </c>
      <c r="E243" s="425">
        <f t="shared" si="56"/>
        <v>130.3992803935721</v>
      </c>
      <c r="F243" s="247">
        <v>901545</v>
      </c>
      <c r="G243" s="247">
        <v>399242</v>
      </c>
      <c r="H243" s="425">
        <f>F243/G243*100</f>
        <v>225.81416784807212</v>
      </c>
      <c r="I243" s="247">
        <v>4432896</v>
      </c>
      <c r="J243" s="247">
        <v>3602422</v>
      </c>
      <c r="K243" s="425">
        <f>I243/J243*100</f>
        <v>123.05321253312356</v>
      </c>
      <c r="L243" s="247">
        <v>4432896</v>
      </c>
      <c r="M243" s="247">
        <v>3599868</v>
      </c>
      <c r="N243" s="425">
        <f t="shared" si="59"/>
        <v>123.14051515222224</v>
      </c>
      <c r="O243" s="126">
        <v>65</v>
      </c>
      <c r="P243" s="126">
        <v>121</v>
      </c>
    </row>
    <row r="244" spans="1:16" ht="17.25" x14ac:dyDescent="0.25">
      <c r="A244" s="568">
        <v>6</v>
      </c>
      <c r="B244" s="545" t="s">
        <v>712</v>
      </c>
      <c r="C244" s="247">
        <v>0</v>
      </c>
      <c r="D244" s="247">
        <v>0</v>
      </c>
      <c r="E244" s="425">
        <v>0</v>
      </c>
      <c r="F244" s="247">
        <v>0</v>
      </c>
      <c r="G244" s="247">
        <v>0</v>
      </c>
      <c r="H244" s="425" t="e">
        <f t="shared" si="57"/>
        <v>#DIV/0!</v>
      </c>
      <c r="I244" s="247">
        <v>0</v>
      </c>
      <c r="J244" s="247">
        <v>0</v>
      </c>
      <c r="K244" s="425" t="e">
        <f t="shared" si="58"/>
        <v>#DIV/0!</v>
      </c>
      <c r="L244" s="247">
        <v>0</v>
      </c>
      <c r="M244" s="247">
        <v>0</v>
      </c>
      <c r="N244" s="425" t="e">
        <f t="shared" si="59"/>
        <v>#DIV/0!</v>
      </c>
      <c r="O244" s="126">
        <v>3</v>
      </c>
      <c r="P244" s="126">
        <v>143</v>
      </c>
    </row>
    <row r="245" spans="1:16" ht="17.25" x14ac:dyDescent="0.25">
      <c r="A245" s="568">
        <v>7</v>
      </c>
      <c r="B245" s="545" t="s">
        <v>799</v>
      </c>
      <c r="C245" s="247">
        <v>316737</v>
      </c>
      <c r="D245" s="247">
        <v>0</v>
      </c>
      <c r="E245" s="425" t="e">
        <f t="shared" si="56"/>
        <v>#DIV/0!</v>
      </c>
      <c r="F245" s="247">
        <v>0</v>
      </c>
      <c r="G245" s="247">
        <v>0</v>
      </c>
      <c r="H245" s="425" t="e">
        <f t="shared" si="57"/>
        <v>#DIV/0!</v>
      </c>
      <c r="I245" s="247">
        <v>158872</v>
      </c>
      <c r="J245" s="247">
        <v>0</v>
      </c>
      <c r="K245" s="425" t="e">
        <f t="shared" si="58"/>
        <v>#DIV/0!</v>
      </c>
      <c r="L245" s="247">
        <v>93934</v>
      </c>
      <c r="M245" s="247">
        <v>0</v>
      </c>
      <c r="N245" s="425" t="e">
        <f t="shared" si="59"/>
        <v>#DIV/0!</v>
      </c>
      <c r="O245" s="126">
        <v>4</v>
      </c>
    </row>
    <row r="246" spans="1:16" ht="17.25" x14ac:dyDescent="0.25">
      <c r="A246" s="568">
        <v>8</v>
      </c>
      <c r="B246" s="545" t="s">
        <v>713</v>
      </c>
      <c r="C246" s="247">
        <v>0</v>
      </c>
      <c r="D246" s="247">
        <v>0</v>
      </c>
      <c r="E246" s="425" t="e">
        <f t="shared" si="56"/>
        <v>#DIV/0!</v>
      </c>
      <c r="F246" s="247">
        <v>0</v>
      </c>
      <c r="G246" s="247">
        <v>0</v>
      </c>
      <c r="H246" s="425" t="e">
        <f t="shared" si="57"/>
        <v>#DIV/0!</v>
      </c>
      <c r="I246" s="247">
        <v>0</v>
      </c>
      <c r="J246" s="247">
        <v>0</v>
      </c>
      <c r="K246" s="425" t="e">
        <f t="shared" si="58"/>
        <v>#DIV/0!</v>
      </c>
      <c r="L246" s="247">
        <v>0</v>
      </c>
      <c r="M246" s="247">
        <v>0</v>
      </c>
      <c r="N246" s="425" t="e">
        <f t="shared" si="59"/>
        <v>#DIV/0!</v>
      </c>
    </row>
    <row r="248" spans="1:16" ht="17.25" x14ac:dyDescent="0.25">
      <c r="A248" s="1062" t="s">
        <v>541</v>
      </c>
      <c r="B248" s="1063" t="s">
        <v>155</v>
      </c>
      <c r="C248" s="254">
        <f>SUM(C249:C253)</f>
        <v>3338678</v>
      </c>
      <c r="D248" s="254">
        <f>SUM(D249:D253)</f>
        <v>3417179</v>
      </c>
      <c r="E248" s="329">
        <f>C248/D248*100</f>
        <v>97.702754230902158</v>
      </c>
      <c r="F248" s="254">
        <f>SUM(F249:F253)</f>
        <v>305708</v>
      </c>
      <c r="G248" s="254">
        <f>SUM(G249:G253)</f>
        <v>338701</v>
      </c>
      <c r="H248" s="329">
        <f>F248/G248*100</f>
        <v>90.258959967641076</v>
      </c>
      <c r="I248" s="254">
        <f>SUM(I249:I253)</f>
        <v>3491172</v>
      </c>
      <c r="J248" s="254">
        <f>SUM(J249:J253)</f>
        <v>3316602</v>
      </c>
      <c r="K248" s="329">
        <f>I248/J248*100</f>
        <v>105.26351971083659</v>
      </c>
      <c r="L248" s="254">
        <f>SUM(L249:L253)</f>
        <v>3016870</v>
      </c>
      <c r="M248" s="254">
        <f>SUM(M249:M253)</f>
        <v>2792179</v>
      </c>
      <c r="N248" s="329">
        <f>L248/M248*100</f>
        <v>108.04715600253422</v>
      </c>
    </row>
    <row r="249" spans="1:16" ht="17.25" x14ac:dyDescent="0.25">
      <c r="A249" s="581">
        <v>1</v>
      </c>
      <c r="B249" s="545" t="s">
        <v>714</v>
      </c>
      <c r="C249" s="247">
        <v>2046171</v>
      </c>
      <c r="D249" s="247">
        <v>2129030</v>
      </c>
      <c r="E249" s="425">
        <f t="shared" ref="E249:E253" si="60">C249/D249*100</f>
        <v>96.108133751050957</v>
      </c>
      <c r="F249" s="247">
        <v>201242</v>
      </c>
      <c r="G249" s="247">
        <v>229703</v>
      </c>
      <c r="H249" s="425">
        <f t="shared" ref="H249:H253" si="61">F249/G249*100</f>
        <v>87.609652464269089</v>
      </c>
      <c r="I249" s="247">
        <v>2200537</v>
      </c>
      <c r="J249" s="247">
        <v>2035028</v>
      </c>
      <c r="K249" s="425">
        <f t="shared" ref="K249:K253" si="62">I249/J249*100</f>
        <v>108.13300848931809</v>
      </c>
      <c r="L249" s="247">
        <v>1726235</v>
      </c>
      <c r="M249" s="247">
        <v>1510604</v>
      </c>
      <c r="N249" s="425">
        <f t="shared" ref="N249:N253" si="63">L249/M249*100</f>
        <v>114.27448887994471</v>
      </c>
      <c r="O249" s="126">
        <v>152</v>
      </c>
      <c r="P249" s="126">
        <v>159</v>
      </c>
    </row>
    <row r="250" spans="1:16" ht="17.25" x14ac:dyDescent="0.25">
      <c r="A250" s="581">
        <v>2</v>
      </c>
      <c r="B250" s="545" t="s">
        <v>715</v>
      </c>
      <c r="C250" s="247">
        <v>1872</v>
      </c>
      <c r="D250" s="247">
        <v>6575</v>
      </c>
      <c r="E250" s="425">
        <f t="shared" si="60"/>
        <v>28.471482889733839</v>
      </c>
      <c r="F250" s="247">
        <v>0</v>
      </c>
      <c r="G250" s="247">
        <v>3708</v>
      </c>
      <c r="H250" s="425">
        <f t="shared" si="61"/>
        <v>0</v>
      </c>
      <c r="I250" s="247">
        <v>0</v>
      </c>
      <c r="J250" s="247">
        <v>0</v>
      </c>
      <c r="K250" s="425" t="e">
        <f t="shared" si="62"/>
        <v>#DIV/0!</v>
      </c>
      <c r="L250" s="247">
        <v>0</v>
      </c>
      <c r="M250" s="247">
        <v>0</v>
      </c>
      <c r="N250" s="425" t="e">
        <f t="shared" si="63"/>
        <v>#DIV/0!</v>
      </c>
      <c r="O250" s="126">
        <v>73</v>
      </c>
      <c r="P250" s="126">
        <v>132</v>
      </c>
    </row>
    <row r="251" spans="1:16" ht="17.25" x14ac:dyDescent="0.25">
      <c r="A251" s="581">
        <v>3</v>
      </c>
      <c r="B251" s="545" t="s">
        <v>716</v>
      </c>
      <c r="C251" s="247">
        <v>0</v>
      </c>
      <c r="D251" s="247">
        <v>0</v>
      </c>
      <c r="E251" s="425" t="e">
        <f t="shared" si="60"/>
        <v>#DIV/0!</v>
      </c>
      <c r="F251" s="247">
        <v>0</v>
      </c>
      <c r="G251" s="247">
        <v>0</v>
      </c>
      <c r="H251" s="425" t="e">
        <f t="shared" si="61"/>
        <v>#DIV/0!</v>
      </c>
      <c r="I251" s="247">
        <v>0</v>
      </c>
      <c r="J251" s="247">
        <v>0</v>
      </c>
      <c r="K251" s="425" t="e">
        <f t="shared" si="62"/>
        <v>#DIV/0!</v>
      </c>
      <c r="L251" s="247">
        <v>0</v>
      </c>
      <c r="M251" s="247">
        <v>0</v>
      </c>
      <c r="N251" s="425" t="e">
        <f t="shared" si="63"/>
        <v>#DIV/0!</v>
      </c>
      <c r="O251" s="126">
        <v>0</v>
      </c>
      <c r="P251" s="126">
        <v>0</v>
      </c>
    </row>
    <row r="252" spans="1:16" ht="17.25" x14ac:dyDescent="0.25">
      <c r="A252" s="581">
        <v>4</v>
      </c>
      <c r="B252" s="545" t="s">
        <v>717</v>
      </c>
      <c r="C252" s="247">
        <v>1011893</v>
      </c>
      <c r="D252" s="247">
        <v>1020768</v>
      </c>
      <c r="E252" s="425">
        <f t="shared" si="60"/>
        <v>99.130556600520393</v>
      </c>
      <c r="F252" s="247">
        <v>93269</v>
      </c>
      <c r="G252" s="247">
        <v>19180</v>
      </c>
      <c r="H252" s="425">
        <f t="shared" si="61"/>
        <v>486.28258602711156</v>
      </c>
      <c r="I252" s="247">
        <v>1011893</v>
      </c>
      <c r="J252" s="247">
        <v>1020768</v>
      </c>
      <c r="K252" s="425">
        <f t="shared" si="62"/>
        <v>99.130556600520393</v>
      </c>
      <c r="L252" s="247">
        <v>1011893</v>
      </c>
      <c r="M252" s="247">
        <v>1020769</v>
      </c>
      <c r="N252" s="425">
        <f t="shared" si="63"/>
        <v>99.130459486916237</v>
      </c>
      <c r="O252" s="126">
        <v>36</v>
      </c>
      <c r="P252" s="126">
        <v>125</v>
      </c>
    </row>
    <row r="253" spans="1:16" ht="17.25" x14ac:dyDescent="0.25">
      <c r="A253" s="581">
        <v>5</v>
      </c>
      <c r="B253" s="582" t="s">
        <v>718</v>
      </c>
      <c r="C253" s="594">
        <v>278742</v>
      </c>
      <c r="D253" s="594">
        <v>260806</v>
      </c>
      <c r="E253" s="425">
        <f t="shared" si="60"/>
        <v>106.87714239703074</v>
      </c>
      <c r="F253" s="594">
        <v>11197</v>
      </c>
      <c r="G253" s="594">
        <v>86110</v>
      </c>
      <c r="H253" s="425">
        <f t="shared" si="61"/>
        <v>13.003135524329345</v>
      </c>
      <c r="I253" s="594">
        <v>278742</v>
      </c>
      <c r="J253" s="594">
        <v>260806</v>
      </c>
      <c r="K253" s="425">
        <f t="shared" si="62"/>
        <v>106.87714239703074</v>
      </c>
      <c r="L253" s="734">
        <v>278742</v>
      </c>
      <c r="M253" s="594">
        <v>260806</v>
      </c>
      <c r="N253" s="425">
        <f t="shared" si="63"/>
        <v>106.87714239703074</v>
      </c>
      <c r="O253" s="126">
        <v>38</v>
      </c>
      <c r="P253" s="126">
        <v>140</v>
      </c>
    </row>
    <row r="254" spans="1:16" x14ac:dyDescent="0.25">
      <c r="O254" s="584"/>
    </row>
    <row r="255" spans="1:16" ht="34.5" x14ac:dyDescent="0.25">
      <c r="A255" s="348"/>
      <c r="B255" s="553" t="s">
        <v>733</v>
      </c>
      <c r="C255" s="254">
        <f>SUM(C256:C264)</f>
        <v>1140560.8999999999</v>
      </c>
      <c r="D255" s="254">
        <f>SUM(D256:D264)</f>
        <v>1255991</v>
      </c>
      <c r="E255" s="452">
        <f>C255/D255*100</f>
        <v>90.809639559519127</v>
      </c>
      <c r="F255" s="254">
        <f>SUM(F256:F264)</f>
        <v>101673.2</v>
      </c>
      <c r="G255" s="254">
        <f>SUM(G256:G264)</f>
        <v>189990</v>
      </c>
      <c r="H255" s="452">
        <f>F255/G255*100</f>
        <v>53.515027106689828</v>
      </c>
      <c r="I255" s="254">
        <f>SUM(I256:I264)</f>
        <v>967269.5</v>
      </c>
      <c r="J255" s="254">
        <f>SUM(J256:J264)</f>
        <v>1150428</v>
      </c>
      <c r="K255" s="452">
        <f>I255/J255*100</f>
        <v>84.079099256972185</v>
      </c>
      <c r="L255" s="254">
        <f>SUM(L256:L264)</f>
        <v>19651</v>
      </c>
      <c r="M255" s="254">
        <f>SUM(M256:M264)</f>
        <v>10558</v>
      </c>
      <c r="N255" s="452">
        <f>L255/M255*100</f>
        <v>186.12426595946201</v>
      </c>
    </row>
    <row r="256" spans="1:16" ht="34.5" x14ac:dyDescent="0.2">
      <c r="A256" s="7">
        <v>1</v>
      </c>
      <c r="B256" s="545" t="s">
        <v>719</v>
      </c>
      <c r="C256" s="839">
        <v>802966.9</v>
      </c>
      <c r="D256" s="839">
        <v>923457</v>
      </c>
      <c r="E256" s="425">
        <f>C256/D256*100</f>
        <v>86.952278232770993</v>
      </c>
      <c r="F256" s="839">
        <v>53195.199999999997</v>
      </c>
      <c r="G256" s="839">
        <v>136641</v>
      </c>
      <c r="H256" s="425">
        <f t="shared" ref="H256:H264" si="64">F256/G256*100</f>
        <v>38.930628435096345</v>
      </c>
      <c r="I256" s="839">
        <v>784099.5</v>
      </c>
      <c r="J256" s="839">
        <v>923457</v>
      </c>
      <c r="K256" s="425">
        <f t="shared" ref="K256:K264" si="65">I256/J256*100</f>
        <v>84.909151157011095</v>
      </c>
      <c r="L256" s="839">
        <v>0</v>
      </c>
      <c r="M256" s="839">
        <v>0</v>
      </c>
      <c r="N256" s="425" t="e">
        <f t="shared" ref="N256:N264" si="66">L256/M256*100</f>
        <v>#DIV/0!</v>
      </c>
      <c r="O256" s="831">
        <v>259</v>
      </c>
      <c r="P256" s="832">
        <v>244.6</v>
      </c>
    </row>
    <row r="257" spans="1:16" ht="34.5" x14ac:dyDescent="0.2">
      <c r="A257" s="291">
        <v>2</v>
      </c>
      <c r="B257" s="545" t="s">
        <v>720</v>
      </c>
      <c r="C257" s="840">
        <v>145558</v>
      </c>
      <c r="D257" s="840">
        <v>139142</v>
      </c>
      <c r="E257" s="425">
        <f t="shared" ref="E257:E264" si="67">C257/D257*100</f>
        <v>104.61111670092424</v>
      </c>
      <c r="F257" s="840">
        <v>16583</v>
      </c>
      <c r="G257" s="840">
        <v>13683</v>
      </c>
      <c r="H257" s="425">
        <f t="shared" si="64"/>
        <v>121.19418256230358</v>
      </c>
      <c r="I257" s="838">
        <v>0</v>
      </c>
      <c r="J257" s="838">
        <v>0</v>
      </c>
      <c r="K257" s="425" t="e">
        <f t="shared" si="65"/>
        <v>#DIV/0!</v>
      </c>
      <c r="L257" s="838">
        <v>0</v>
      </c>
      <c r="M257" s="838">
        <v>0</v>
      </c>
      <c r="N257" s="425" t="e">
        <f t="shared" si="66"/>
        <v>#DIV/0!</v>
      </c>
      <c r="O257" s="831">
        <v>85</v>
      </c>
      <c r="P257" s="832">
        <v>107</v>
      </c>
    </row>
    <row r="258" spans="1:16" ht="34.5" x14ac:dyDescent="0.2">
      <c r="A258" s="7">
        <v>3</v>
      </c>
      <c r="B258" s="545" t="s">
        <v>721</v>
      </c>
      <c r="C258" s="841">
        <v>0</v>
      </c>
      <c r="D258" s="842">
        <v>1253</v>
      </c>
      <c r="E258" s="425">
        <f t="shared" si="67"/>
        <v>0</v>
      </c>
      <c r="F258" s="838">
        <v>0</v>
      </c>
      <c r="G258" s="838">
        <v>127</v>
      </c>
      <c r="H258" s="425">
        <f t="shared" si="64"/>
        <v>0</v>
      </c>
      <c r="I258" s="843">
        <v>0</v>
      </c>
      <c r="J258" s="842">
        <v>1253</v>
      </c>
      <c r="K258" s="425">
        <f t="shared" si="65"/>
        <v>0</v>
      </c>
      <c r="L258" s="838">
        <v>0</v>
      </c>
      <c r="M258" s="838">
        <v>0</v>
      </c>
      <c r="N258" s="425" t="e">
        <f t="shared" si="66"/>
        <v>#DIV/0!</v>
      </c>
      <c r="O258" s="831">
        <v>4</v>
      </c>
      <c r="P258" s="832">
        <v>52.5</v>
      </c>
    </row>
    <row r="259" spans="1:16" ht="17.25" x14ac:dyDescent="0.2">
      <c r="A259" s="291">
        <v>4</v>
      </c>
      <c r="B259" s="545" t="s">
        <v>722</v>
      </c>
      <c r="C259" s="838">
        <v>44353</v>
      </c>
      <c r="D259" s="838">
        <v>30578</v>
      </c>
      <c r="E259" s="425">
        <f t="shared" si="67"/>
        <v>145.04872784354765</v>
      </c>
      <c r="F259" s="838">
        <v>14362</v>
      </c>
      <c r="G259" s="838">
        <v>1842</v>
      </c>
      <c r="H259" s="425">
        <f t="shared" si="64"/>
        <v>779.6959826275787</v>
      </c>
      <c r="I259" s="838">
        <v>44353</v>
      </c>
      <c r="J259" s="838">
        <v>30578</v>
      </c>
      <c r="K259" s="425">
        <f t="shared" si="65"/>
        <v>145.04872784354765</v>
      </c>
      <c r="L259" s="838">
        <v>0</v>
      </c>
      <c r="M259" s="838">
        <v>0</v>
      </c>
      <c r="N259" s="425" t="e">
        <f t="shared" si="66"/>
        <v>#DIV/0!</v>
      </c>
      <c r="O259" s="831">
        <v>13</v>
      </c>
      <c r="P259" s="832">
        <v>71</v>
      </c>
    </row>
    <row r="260" spans="1:16" ht="17.25" x14ac:dyDescent="0.2">
      <c r="A260" s="7">
        <v>5</v>
      </c>
      <c r="B260" s="545" t="s">
        <v>723</v>
      </c>
      <c r="C260" s="838">
        <v>8980</v>
      </c>
      <c r="D260" s="838">
        <v>12410</v>
      </c>
      <c r="E260" s="425">
        <f t="shared" si="67"/>
        <v>72.360999194198229</v>
      </c>
      <c r="F260" s="838">
        <v>360</v>
      </c>
      <c r="G260" s="838">
        <v>1196</v>
      </c>
      <c r="H260" s="425">
        <f t="shared" si="64"/>
        <v>30.100334448160538</v>
      </c>
      <c r="I260" s="838">
        <v>0</v>
      </c>
      <c r="J260" s="838">
        <v>0</v>
      </c>
      <c r="K260" s="425" t="e">
        <f t="shared" si="65"/>
        <v>#DIV/0!</v>
      </c>
      <c r="L260" s="838">
        <v>0</v>
      </c>
      <c r="M260" s="838">
        <v>0</v>
      </c>
      <c r="N260" s="425" t="e">
        <f t="shared" si="66"/>
        <v>#DIV/0!</v>
      </c>
      <c r="O260" s="831">
        <v>10</v>
      </c>
      <c r="P260" s="832">
        <v>78</v>
      </c>
    </row>
    <row r="261" spans="1:16" ht="17.25" x14ac:dyDescent="0.2">
      <c r="A261" s="291">
        <v>6</v>
      </c>
      <c r="B261" s="545" t="s">
        <v>724</v>
      </c>
      <c r="C261" s="838">
        <v>96830</v>
      </c>
      <c r="D261" s="838">
        <v>123720</v>
      </c>
      <c r="E261" s="425">
        <f t="shared" si="67"/>
        <v>78.265438086000643</v>
      </c>
      <c r="F261" s="838">
        <v>15300</v>
      </c>
      <c r="G261" s="838">
        <v>35391</v>
      </c>
      <c r="H261" s="425">
        <f t="shared" si="64"/>
        <v>43.231329999152329</v>
      </c>
      <c r="I261" s="838">
        <v>96134</v>
      </c>
      <c r="J261" s="838">
        <v>163673</v>
      </c>
      <c r="K261" s="425">
        <f t="shared" si="65"/>
        <v>58.735405350913105</v>
      </c>
      <c r="L261" s="838">
        <v>0</v>
      </c>
      <c r="M261" s="838">
        <v>0</v>
      </c>
      <c r="N261" s="425" t="e">
        <f t="shared" si="66"/>
        <v>#DIV/0!</v>
      </c>
      <c r="O261" s="831">
        <v>19</v>
      </c>
      <c r="P261" s="832">
        <v>196</v>
      </c>
    </row>
    <row r="262" spans="1:16" s="422" customFormat="1" ht="34.5" x14ac:dyDescent="0.3">
      <c r="A262" s="277">
        <v>7</v>
      </c>
      <c r="B262" s="728" t="s">
        <v>725</v>
      </c>
      <c r="C262" s="838">
        <v>19651</v>
      </c>
      <c r="D262" s="838">
        <v>4630</v>
      </c>
      <c r="E262" s="425">
        <f t="shared" si="67"/>
        <v>424.42764578833697</v>
      </c>
      <c r="F262" s="838">
        <v>0</v>
      </c>
      <c r="G262" s="838">
        <v>0</v>
      </c>
      <c r="H262" s="425" t="e">
        <f t="shared" si="64"/>
        <v>#DIV/0!</v>
      </c>
      <c r="I262" s="838">
        <v>19651</v>
      </c>
      <c r="J262" s="838">
        <v>10558</v>
      </c>
      <c r="K262" s="425">
        <f t="shared" si="65"/>
        <v>186.12426595946201</v>
      </c>
      <c r="L262" s="838">
        <v>19651</v>
      </c>
      <c r="M262" s="838">
        <v>10558</v>
      </c>
      <c r="N262" s="425">
        <f t="shared" si="66"/>
        <v>186.12426595946201</v>
      </c>
      <c r="O262" s="831">
        <v>11</v>
      </c>
      <c r="P262" s="832">
        <v>82.3</v>
      </c>
    </row>
    <row r="263" spans="1:16" ht="17.25" x14ac:dyDescent="0.2">
      <c r="A263" s="291">
        <v>8</v>
      </c>
      <c r="B263" s="545" t="s">
        <v>726</v>
      </c>
      <c r="C263" s="838">
        <v>4087</v>
      </c>
      <c r="D263" s="838">
        <v>4315</v>
      </c>
      <c r="E263" s="425">
        <f t="shared" si="67"/>
        <v>94.716106604866752</v>
      </c>
      <c r="F263" s="838">
        <v>500</v>
      </c>
      <c r="G263" s="838">
        <v>0</v>
      </c>
      <c r="H263" s="425" t="e">
        <f t="shared" si="64"/>
        <v>#DIV/0!</v>
      </c>
      <c r="I263" s="838">
        <v>4897</v>
      </c>
      <c r="J263" s="838">
        <v>4423</v>
      </c>
      <c r="K263" s="425">
        <f t="shared" si="65"/>
        <v>110.7167081166629</v>
      </c>
      <c r="L263" s="838">
        <v>0</v>
      </c>
      <c r="M263" s="838">
        <v>0</v>
      </c>
      <c r="N263" s="425" t="e">
        <f t="shared" si="66"/>
        <v>#DIV/0!</v>
      </c>
      <c r="O263" s="831">
        <v>21</v>
      </c>
      <c r="P263" s="832">
        <v>75.5</v>
      </c>
    </row>
    <row r="264" spans="1:16" ht="17.25" x14ac:dyDescent="0.2">
      <c r="A264" s="7">
        <v>9</v>
      </c>
      <c r="B264" s="545" t="s">
        <v>727</v>
      </c>
      <c r="C264" s="838">
        <v>18135</v>
      </c>
      <c r="D264" s="838">
        <v>16486</v>
      </c>
      <c r="E264" s="425">
        <f t="shared" si="67"/>
        <v>110.00242630110397</v>
      </c>
      <c r="F264" s="838">
        <v>1373</v>
      </c>
      <c r="G264" s="838">
        <v>1110</v>
      </c>
      <c r="H264" s="425">
        <f t="shared" si="64"/>
        <v>123.69369369369369</v>
      </c>
      <c r="I264" s="838">
        <v>18135</v>
      </c>
      <c r="J264" s="838">
        <v>16486</v>
      </c>
      <c r="K264" s="425">
        <f t="shared" si="65"/>
        <v>110.00242630110397</v>
      </c>
      <c r="L264" s="838">
        <v>0</v>
      </c>
      <c r="M264" s="838">
        <v>0</v>
      </c>
      <c r="N264" s="425" t="e">
        <f t="shared" si="66"/>
        <v>#DIV/0!</v>
      </c>
      <c r="O264" s="831">
        <v>8</v>
      </c>
      <c r="P264" s="832">
        <v>85.4</v>
      </c>
    </row>
    <row r="265" spans="1:16" x14ac:dyDescent="0.25">
      <c r="O265" s="127"/>
      <c r="P265" s="127"/>
    </row>
    <row r="266" spans="1:16" s="339" customFormat="1" ht="16.5" x14ac:dyDescent="0.25">
      <c r="A266" s="339">
        <v>2</v>
      </c>
      <c r="B266" s="418" t="s">
        <v>345</v>
      </c>
      <c r="C266" s="366"/>
      <c r="O266" s="192"/>
      <c r="P266" s="192"/>
    </row>
    <row r="267" spans="1:16" ht="17.25" x14ac:dyDescent="0.25">
      <c r="A267" s="1059" t="s">
        <v>734</v>
      </c>
      <c r="B267" s="1059" t="s">
        <v>155</v>
      </c>
      <c r="C267" s="826">
        <f>SUM(C268:C284)</f>
        <v>195001891</v>
      </c>
      <c r="D267" s="826">
        <f>SUM(D268:D284)</f>
        <v>165570399.31400001</v>
      </c>
      <c r="E267" s="827">
        <f t="shared" ref="E267:E284" si="68">C267/D267*100</f>
        <v>117.77581730064195</v>
      </c>
      <c r="F267" s="826">
        <f>SUM(F268:F284)</f>
        <v>20005947.151000001</v>
      </c>
      <c r="G267" s="826">
        <f>SUM(G268:G284)</f>
        <v>25206956.725000001</v>
      </c>
      <c r="H267" s="827">
        <f t="shared" ref="H267:H284" si="69">F267/G267*100</f>
        <v>79.366769139403118</v>
      </c>
      <c r="I267" s="826">
        <f>SUM(I268:I284)</f>
        <v>195001891</v>
      </c>
      <c r="J267" s="826">
        <f>SUM(J268:J284)</f>
        <v>165570399.31400001</v>
      </c>
      <c r="K267" s="827">
        <f t="shared" ref="K267:K284" si="70">I267/J267*100</f>
        <v>117.77581730064195</v>
      </c>
      <c r="L267" s="826">
        <f>SUM(L268:L284)</f>
        <v>28472233</v>
      </c>
      <c r="M267" s="826">
        <f>SUM(M268:M284)</f>
        <v>26303567</v>
      </c>
      <c r="N267" s="57">
        <f t="shared" ref="N267:N284" si="71">L267/M267*100</f>
        <v>108.24476011181297</v>
      </c>
      <c r="O267" s="127"/>
      <c r="P267" s="127"/>
    </row>
    <row r="268" spans="1:16" ht="17.25" x14ac:dyDescent="0.25">
      <c r="A268" s="272">
        <v>1</v>
      </c>
      <c r="B268" s="550" t="s">
        <v>306</v>
      </c>
      <c r="C268" s="838">
        <v>24606827</v>
      </c>
      <c r="D268" s="838">
        <v>21328592.375</v>
      </c>
      <c r="E268" s="858">
        <f t="shared" si="68"/>
        <v>115.3701405482461</v>
      </c>
      <c r="F268" s="838">
        <v>2853744</v>
      </c>
      <c r="G268" s="838">
        <v>1438895.375</v>
      </c>
      <c r="H268" s="858">
        <f t="shared" si="69"/>
        <v>198.32880483058057</v>
      </c>
      <c r="I268" s="838">
        <v>24606827</v>
      </c>
      <c r="J268" s="838">
        <v>21328592.375</v>
      </c>
      <c r="K268" s="858">
        <f t="shared" si="70"/>
        <v>115.3701405482461</v>
      </c>
      <c r="L268" s="838">
        <v>0</v>
      </c>
      <c r="M268" s="838">
        <v>0</v>
      </c>
      <c r="N268" s="425" t="e">
        <f t="shared" si="71"/>
        <v>#DIV/0!</v>
      </c>
      <c r="O268" s="785">
        <v>1763</v>
      </c>
      <c r="P268" s="789">
        <v>316.8</v>
      </c>
    </row>
    <row r="269" spans="1:16" ht="17.25" x14ac:dyDescent="0.25">
      <c r="A269" s="272">
        <v>2</v>
      </c>
      <c r="B269" s="550" t="s">
        <v>307</v>
      </c>
      <c r="C269" s="838">
        <v>36554745</v>
      </c>
      <c r="D269" s="838">
        <v>28681268.195</v>
      </c>
      <c r="E269" s="858">
        <f t="shared" si="68"/>
        <v>127.45163411697598</v>
      </c>
      <c r="F269" s="838">
        <v>4150028</v>
      </c>
      <c r="G269" s="838">
        <v>3210929.1950000003</v>
      </c>
      <c r="H269" s="858">
        <f t="shared" si="69"/>
        <v>129.24694840553778</v>
      </c>
      <c r="I269" s="838">
        <v>36554745</v>
      </c>
      <c r="J269" s="838">
        <v>28681268.195</v>
      </c>
      <c r="K269" s="858">
        <f t="shared" si="70"/>
        <v>127.45163411697598</v>
      </c>
      <c r="L269" s="838">
        <v>17683805</v>
      </c>
      <c r="M269" s="838">
        <f>15087907+1353207</f>
        <v>16441114</v>
      </c>
      <c r="N269" s="425">
        <f t="shared" si="71"/>
        <v>107.558435517204</v>
      </c>
      <c r="O269" s="787">
        <v>445</v>
      </c>
      <c r="P269" s="790">
        <v>203.67</v>
      </c>
    </row>
    <row r="270" spans="1:16" ht="17.25" x14ac:dyDescent="0.25">
      <c r="A270" s="272">
        <v>3</v>
      </c>
      <c r="B270" s="550" t="s">
        <v>318</v>
      </c>
      <c r="C270" s="838">
        <v>31942454</v>
      </c>
      <c r="D270" s="838">
        <v>21991389.056000002</v>
      </c>
      <c r="E270" s="858">
        <f>C270/D270*100</f>
        <v>145.2498244592922</v>
      </c>
      <c r="F270" s="838">
        <v>4003527.1000000015</v>
      </c>
      <c r="G270" s="838">
        <v>6103868.8560000025</v>
      </c>
      <c r="H270" s="858">
        <f>F270/G270*100</f>
        <v>65.589992092713473</v>
      </c>
      <c r="I270" s="838">
        <v>31942454</v>
      </c>
      <c r="J270" s="838">
        <v>21991389.056000002</v>
      </c>
      <c r="K270" s="858">
        <f>I270/J270*100</f>
        <v>145.2498244592922</v>
      </c>
      <c r="L270" s="838" t="s">
        <v>786</v>
      </c>
      <c r="M270" s="838">
        <v>0</v>
      </c>
      <c r="N270" s="425" t="e">
        <f t="shared" si="71"/>
        <v>#VALUE!</v>
      </c>
      <c r="O270" s="787">
        <v>678</v>
      </c>
      <c r="P270" s="790">
        <v>163</v>
      </c>
    </row>
    <row r="271" spans="1:16" ht="17.25" x14ac:dyDescent="0.25">
      <c r="A271" s="272">
        <v>4</v>
      </c>
      <c r="B271" s="550" t="s">
        <v>308</v>
      </c>
      <c r="C271" s="838">
        <f>6887430</f>
        <v>6887430</v>
      </c>
      <c r="D271" s="838">
        <v>6548563.2139999997</v>
      </c>
      <c r="E271" s="858">
        <f t="shared" si="68"/>
        <v>105.17467381662509</v>
      </c>
      <c r="F271" s="838">
        <v>737327</v>
      </c>
      <c r="G271" s="838">
        <v>820630.21399999969</v>
      </c>
      <c r="H271" s="858">
        <f t="shared" si="69"/>
        <v>89.848873149094203</v>
      </c>
      <c r="I271" s="838">
        <v>6887430</v>
      </c>
      <c r="J271" s="838">
        <v>6548563.2139999997</v>
      </c>
      <c r="K271" s="858">
        <f t="shared" si="70"/>
        <v>105.17467381662509</v>
      </c>
      <c r="L271" s="838">
        <v>0</v>
      </c>
      <c r="M271" s="838">
        <v>0</v>
      </c>
      <c r="N271" s="425" t="e">
        <f t="shared" si="71"/>
        <v>#DIV/0!</v>
      </c>
      <c r="O271" s="786">
        <v>214</v>
      </c>
      <c r="P271" s="791">
        <v>197</v>
      </c>
    </row>
    <row r="272" spans="1:16" ht="34.5" x14ac:dyDescent="0.25">
      <c r="A272" s="272">
        <v>5</v>
      </c>
      <c r="B272" s="549" t="s">
        <v>317</v>
      </c>
      <c r="C272" s="838">
        <v>3481232</v>
      </c>
      <c r="D272" s="838">
        <v>2885802.2059999998</v>
      </c>
      <c r="E272" s="858">
        <f>C272/D272*100</f>
        <v>120.63307709592901</v>
      </c>
      <c r="F272" s="838">
        <v>233494</v>
      </c>
      <c r="G272" s="838">
        <v>234247.20599999977</v>
      </c>
      <c r="H272" s="858">
        <f>F272/G272*100</f>
        <v>99.678456783813346</v>
      </c>
      <c r="I272" s="838">
        <v>3481232</v>
      </c>
      <c r="J272" s="838">
        <v>2885802.2059999998</v>
      </c>
      <c r="K272" s="858">
        <f>I272/J272*100</f>
        <v>120.63307709592901</v>
      </c>
      <c r="L272" s="838">
        <v>0</v>
      </c>
      <c r="M272" s="838">
        <v>0</v>
      </c>
      <c r="N272" s="425" t="e">
        <f t="shared" si="71"/>
        <v>#DIV/0!</v>
      </c>
      <c r="O272" s="786">
        <v>470</v>
      </c>
      <c r="P272" s="791">
        <v>244.8</v>
      </c>
    </row>
    <row r="273" spans="1:16" ht="39" customHeight="1" x14ac:dyDescent="0.25">
      <c r="A273" s="272">
        <v>6</v>
      </c>
      <c r="B273" s="549" t="s">
        <v>571</v>
      </c>
      <c r="C273" s="838">
        <v>24336289</v>
      </c>
      <c r="D273" s="838">
        <v>27914417.002999999</v>
      </c>
      <c r="E273" s="858">
        <f>C273/D273*100</f>
        <v>87.181792109018602</v>
      </c>
      <c r="F273" s="838">
        <v>2058646</v>
      </c>
      <c r="G273" s="838">
        <v>5054550.0029999986</v>
      </c>
      <c r="H273" s="858">
        <f>F273/G273*100</f>
        <v>40.728571263082635</v>
      </c>
      <c r="I273" s="838">
        <v>24336289</v>
      </c>
      <c r="J273" s="838">
        <v>27914417.002999999</v>
      </c>
      <c r="K273" s="858">
        <f>I273/J273*100</f>
        <v>87.181792109018602</v>
      </c>
      <c r="L273" s="838">
        <v>10788428</v>
      </c>
      <c r="M273" s="838">
        <v>9862453</v>
      </c>
      <c r="N273" s="425">
        <f t="shared" si="71"/>
        <v>109.38889138432397</v>
      </c>
      <c r="O273" s="787">
        <v>373</v>
      </c>
      <c r="P273" s="790">
        <v>281</v>
      </c>
    </row>
    <row r="274" spans="1:16" ht="17.25" x14ac:dyDescent="0.25">
      <c r="A274" s="272">
        <v>17</v>
      </c>
      <c r="B274" s="550" t="s">
        <v>570</v>
      </c>
      <c r="C274" s="838">
        <v>13557538</v>
      </c>
      <c r="D274" s="838">
        <v>13949749.265000001</v>
      </c>
      <c r="E274" s="858">
        <f>C274/D274*100</f>
        <v>97.188399178012034</v>
      </c>
      <c r="F274" s="838">
        <v>959725.05100000091</v>
      </c>
      <c r="G274" s="838">
        <v>789130.87600000016</v>
      </c>
      <c r="H274" s="858">
        <f>F274/G274*100</f>
        <v>121.61798254108622</v>
      </c>
      <c r="I274" s="838">
        <v>13557538</v>
      </c>
      <c r="J274" s="838">
        <v>13949749.265000001</v>
      </c>
      <c r="K274" s="858">
        <f>I274/J274*100</f>
        <v>97.188399178012034</v>
      </c>
      <c r="L274" s="838">
        <v>0</v>
      </c>
      <c r="M274" s="838">
        <v>0</v>
      </c>
      <c r="N274" s="425" t="e">
        <f t="shared" si="71"/>
        <v>#DIV/0!</v>
      </c>
      <c r="O274" s="787">
        <v>1491</v>
      </c>
      <c r="P274" s="790">
        <v>112</v>
      </c>
    </row>
    <row r="275" spans="1:16" ht="17.25" x14ac:dyDescent="0.25">
      <c r="A275" s="272">
        <v>7</v>
      </c>
      <c r="B275" s="550" t="s">
        <v>309</v>
      </c>
      <c r="C275" s="838">
        <v>8298497</v>
      </c>
      <c r="D275" s="838">
        <v>4738760</v>
      </c>
      <c r="E275" s="858">
        <f t="shared" si="68"/>
        <v>175.11958824671433</v>
      </c>
      <c r="F275" s="838">
        <v>947818</v>
      </c>
      <c r="G275" s="838">
        <v>793713</v>
      </c>
      <c r="H275" s="858">
        <f t="shared" si="69"/>
        <v>119.41570819679153</v>
      </c>
      <c r="I275" s="838">
        <v>8298497</v>
      </c>
      <c r="J275" s="838">
        <v>4738760</v>
      </c>
      <c r="K275" s="858">
        <f t="shared" si="70"/>
        <v>175.11958824671433</v>
      </c>
      <c r="L275" s="838">
        <v>0</v>
      </c>
      <c r="M275" s="838">
        <v>0</v>
      </c>
      <c r="N275" s="425" t="e">
        <f t="shared" si="71"/>
        <v>#DIV/0!</v>
      </c>
      <c r="O275" s="786">
        <v>791</v>
      </c>
      <c r="P275" s="791">
        <v>189</v>
      </c>
    </row>
    <row r="276" spans="1:16" ht="34.5" x14ac:dyDescent="0.25">
      <c r="A276" s="272">
        <v>8</v>
      </c>
      <c r="B276" s="549" t="s">
        <v>316</v>
      </c>
      <c r="C276" s="838"/>
      <c r="D276" s="838"/>
      <c r="E276" s="858" t="e">
        <f>C276/D276*100</f>
        <v>#DIV/0!</v>
      </c>
      <c r="F276" s="838"/>
      <c r="G276" s="838"/>
      <c r="H276" s="858" t="e">
        <f>F276/G276*100</f>
        <v>#DIV/0!</v>
      </c>
      <c r="I276" s="838"/>
      <c r="J276" s="838"/>
      <c r="K276" s="858" t="e">
        <f>I276/J276*100</f>
        <v>#DIV/0!</v>
      </c>
      <c r="L276" s="838"/>
      <c r="M276" s="838"/>
      <c r="N276" s="425" t="e">
        <f t="shared" si="71"/>
        <v>#DIV/0!</v>
      </c>
      <c r="O276" s="786">
        <v>7823</v>
      </c>
      <c r="P276" s="791">
        <v>210.5</v>
      </c>
    </row>
    <row r="277" spans="1:16" ht="34.5" x14ac:dyDescent="0.25">
      <c r="A277" s="272">
        <v>9</v>
      </c>
      <c r="B277" s="549" t="s">
        <v>572</v>
      </c>
      <c r="C277" s="838">
        <v>43697200</v>
      </c>
      <c r="D277" s="838">
        <v>36013300</v>
      </c>
      <c r="E277" s="858">
        <f>C277/D277*100</f>
        <v>121.33628409504267</v>
      </c>
      <c r="F277" s="838">
        <v>3913988</v>
      </c>
      <c r="G277" s="838">
        <v>6634199</v>
      </c>
      <c r="H277" s="858">
        <f>F277/G277*100</f>
        <v>58.997144945456114</v>
      </c>
      <c r="I277" s="838">
        <v>43697200</v>
      </c>
      <c r="J277" s="838">
        <v>36013300</v>
      </c>
      <c r="K277" s="858">
        <f>I277/J277*100</f>
        <v>121.33628409504267</v>
      </c>
      <c r="L277" s="838">
        <v>0</v>
      </c>
      <c r="M277" s="838">
        <v>0</v>
      </c>
      <c r="N277" s="425" t="e">
        <f t="shared" si="71"/>
        <v>#DIV/0!</v>
      </c>
      <c r="O277" s="787">
        <v>5092</v>
      </c>
      <c r="P277" s="790">
        <v>238</v>
      </c>
    </row>
    <row r="278" spans="1:16" ht="34.5" x14ac:dyDescent="0.25">
      <c r="A278" s="272">
        <v>10</v>
      </c>
      <c r="B278" s="549" t="s">
        <v>787</v>
      </c>
      <c r="C278" s="838">
        <v>187863</v>
      </c>
      <c r="D278" s="838">
        <v>155334</v>
      </c>
      <c r="E278" s="858">
        <f>C278/D278*100</f>
        <v>120.9413264320754</v>
      </c>
      <c r="F278" s="838">
        <v>15631</v>
      </c>
      <c r="G278" s="838">
        <v>14812</v>
      </c>
      <c r="H278" s="858">
        <f>F278/G278*100</f>
        <v>105.52930056710774</v>
      </c>
      <c r="I278" s="838">
        <v>187863</v>
      </c>
      <c r="J278" s="838">
        <v>155334</v>
      </c>
      <c r="K278" s="858">
        <f>I278/J278*100</f>
        <v>120.9413264320754</v>
      </c>
      <c r="L278" s="838">
        <v>0</v>
      </c>
      <c r="M278" s="838">
        <v>0</v>
      </c>
      <c r="N278" s="425" t="e">
        <f t="shared" si="71"/>
        <v>#DIV/0!</v>
      </c>
      <c r="O278" s="786">
        <v>37</v>
      </c>
      <c r="P278" s="791">
        <v>193</v>
      </c>
    </row>
    <row r="279" spans="1:16" ht="52.5" thickBot="1" x14ac:dyDescent="0.3">
      <c r="A279" s="272">
        <v>11</v>
      </c>
      <c r="B279" s="549" t="s">
        <v>310</v>
      </c>
      <c r="C279" s="838">
        <v>1451816</v>
      </c>
      <c r="D279" s="838">
        <v>1363224</v>
      </c>
      <c r="E279" s="858">
        <f t="shared" si="68"/>
        <v>106.49871187713831</v>
      </c>
      <c r="F279" s="838">
        <v>132019</v>
      </c>
      <c r="G279" s="838">
        <v>111981</v>
      </c>
      <c r="H279" s="858">
        <f t="shared" si="69"/>
        <v>117.89410703601504</v>
      </c>
      <c r="I279" s="838">
        <v>1451816</v>
      </c>
      <c r="J279" s="838">
        <v>1363224</v>
      </c>
      <c r="K279" s="858">
        <f t="shared" si="70"/>
        <v>106.49871187713831</v>
      </c>
      <c r="L279" s="838">
        <v>0</v>
      </c>
      <c r="M279" s="838">
        <v>0</v>
      </c>
      <c r="N279" s="425" t="e">
        <f t="shared" si="71"/>
        <v>#DIV/0!</v>
      </c>
      <c r="O279" s="788">
        <v>196</v>
      </c>
      <c r="P279" s="792">
        <v>283</v>
      </c>
    </row>
    <row r="280" spans="1:16" ht="34.5" x14ac:dyDescent="0.25">
      <c r="A280" s="272">
        <v>12</v>
      </c>
      <c r="B280" s="549" t="s">
        <v>788</v>
      </c>
      <c r="C280" s="474"/>
      <c r="D280" s="474"/>
      <c r="E280" s="425" t="e">
        <f t="shared" si="68"/>
        <v>#DIV/0!</v>
      </c>
      <c r="F280" s="474"/>
      <c r="G280" s="474"/>
      <c r="H280" s="425" t="e">
        <f t="shared" si="69"/>
        <v>#DIV/0!</v>
      </c>
      <c r="I280" s="473"/>
      <c r="J280" s="473"/>
      <c r="K280" s="425" t="e">
        <f t="shared" si="70"/>
        <v>#DIV/0!</v>
      </c>
      <c r="L280" s="474"/>
      <c r="M280" s="474"/>
      <c r="N280" s="425" t="e">
        <f t="shared" si="71"/>
        <v>#DIV/0!</v>
      </c>
      <c r="O280" s="127"/>
      <c r="P280" s="127"/>
    </row>
    <row r="281" spans="1:16" ht="17.25" x14ac:dyDescent="0.25">
      <c r="A281" s="272">
        <v>13</v>
      </c>
      <c r="B281" s="550" t="s">
        <v>314</v>
      </c>
      <c r="C281" s="474"/>
      <c r="D281" s="474"/>
      <c r="E281" s="425" t="e">
        <f t="shared" si="68"/>
        <v>#DIV/0!</v>
      </c>
      <c r="F281" s="474"/>
      <c r="G281" s="474"/>
      <c r="H281" s="425" t="e">
        <f t="shared" si="69"/>
        <v>#DIV/0!</v>
      </c>
      <c r="I281" s="473"/>
      <c r="J281" s="473"/>
      <c r="K281" s="425" t="e">
        <f t="shared" si="70"/>
        <v>#DIV/0!</v>
      </c>
      <c r="L281" s="474"/>
      <c r="M281" s="474"/>
      <c r="N281" s="425" t="e">
        <f t="shared" si="71"/>
        <v>#DIV/0!</v>
      </c>
      <c r="O281" s="127"/>
      <c r="P281" s="127"/>
    </row>
    <row r="282" spans="1:16" ht="17.25" x14ac:dyDescent="0.25">
      <c r="A282" s="272">
        <v>14</v>
      </c>
      <c r="B282" s="550" t="s">
        <v>315</v>
      </c>
      <c r="C282" s="474"/>
      <c r="D282" s="474"/>
      <c r="E282" s="425" t="e">
        <f t="shared" si="68"/>
        <v>#DIV/0!</v>
      </c>
      <c r="F282" s="474"/>
      <c r="G282" s="474"/>
      <c r="H282" s="425" t="e">
        <f t="shared" si="69"/>
        <v>#DIV/0!</v>
      </c>
      <c r="I282" s="473"/>
      <c r="J282" s="473"/>
      <c r="K282" s="425" t="e">
        <f t="shared" si="70"/>
        <v>#DIV/0!</v>
      </c>
      <c r="L282" s="474"/>
      <c r="M282" s="474"/>
      <c r="N282" s="425" t="e">
        <f t="shared" si="71"/>
        <v>#DIV/0!</v>
      </c>
      <c r="O282" s="127"/>
      <c r="P282" s="127"/>
    </row>
    <row r="283" spans="1:16" ht="51.75" x14ac:dyDescent="0.25">
      <c r="A283" s="272">
        <v>15</v>
      </c>
      <c r="B283" s="549" t="s">
        <v>313</v>
      </c>
      <c r="C283" s="474"/>
      <c r="D283" s="474"/>
      <c r="E283" s="425" t="e">
        <f>C283/D283*100</f>
        <v>#DIV/0!</v>
      </c>
      <c r="F283" s="474"/>
      <c r="G283" s="474"/>
      <c r="H283" s="425" t="e">
        <f>F283/G283*100</f>
        <v>#DIV/0!</v>
      </c>
      <c r="I283" s="473"/>
      <c r="J283" s="473"/>
      <c r="K283" s="425" t="e">
        <f>I283/J283*100</f>
        <v>#DIV/0!</v>
      </c>
      <c r="L283" s="474"/>
      <c r="M283" s="474"/>
      <c r="N283" s="425" t="e">
        <f>L283/M283*100</f>
        <v>#DIV/0!</v>
      </c>
      <c r="O283" s="127"/>
      <c r="P283" s="127"/>
    </row>
    <row r="284" spans="1:16" ht="17.25" x14ac:dyDescent="0.25">
      <c r="A284" s="272">
        <v>16</v>
      </c>
      <c r="B284" s="550" t="s">
        <v>320</v>
      </c>
      <c r="C284" s="474"/>
      <c r="D284" s="474"/>
      <c r="E284" s="425" t="e">
        <f t="shared" si="68"/>
        <v>#DIV/0!</v>
      </c>
      <c r="F284" s="474"/>
      <c r="G284" s="474"/>
      <c r="H284" s="425" t="e">
        <f t="shared" si="69"/>
        <v>#DIV/0!</v>
      </c>
      <c r="I284" s="473"/>
      <c r="J284" s="473"/>
      <c r="K284" s="425" t="e">
        <f t="shared" si="70"/>
        <v>#DIV/0!</v>
      </c>
      <c r="L284" s="474"/>
      <c r="M284" s="474"/>
      <c r="N284" s="425" t="e">
        <f t="shared" si="71"/>
        <v>#DIV/0!</v>
      </c>
      <c r="O284" s="127"/>
      <c r="P284" s="127"/>
    </row>
    <row r="285" spans="1:16" ht="120" customHeight="1" x14ac:dyDescent="0.25">
      <c r="A285" s="504"/>
      <c r="B285" s="541"/>
      <c r="C285" s="542"/>
      <c r="D285" s="542"/>
      <c r="E285" s="542"/>
      <c r="F285" s="542"/>
      <c r="G285" s="542"/>
      <c r="H285" s="542"/>
      <c r="I285" s="543"/>
      <c r="J285" s="543"/>
      <c r="K285" s="542"/>
      <c r="L285" s="542"/>
      <c r="M285" s="542"/>
      <c r="N285" s="439"/>
      <c r="O285" s="127"/>
      <c r="P285" s="127"/>
    </row>
    <row r="286" spans="1:16" s="587" customFormat="1" ht="16.5" x14ac:dyDescent="0.25">
      <c r="A286" s="585">
        <v>3</v>
      </c>
      <c r="B286" s="586" t="s">
        <v>346</v>
      </c>
      <c r="C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837"/>
      <c r="P286" s="837"/>
    </row>
    <row r="287" spans="1:16" ht="16.5" x14ac:dyDescent="0.25">
      <c r="A287" s="1060" t="s">
        <v>734</v>
      </c>
      <c r="B287" s="1061"/>
      <c r="C287" s="588">
        <f>SUM(C288:C292)</f>
        <v>0</v>
      </c>
      <c r="D287" s="588">
        <f>SUM(D288:D292)</f>
        <v>0</v>
      </c>
      <c r="E287" s="589" t="e">
        <f>C287/D287*100</f>
        <v>#DIV/0!</v>
      </c>
      <c r="F287" s="588">
        <f>SUM(F288:F292)</f>
        <v>0</v>
      </c>
      <c r="G287" s="588">
        <f>SUM(G288:G292)</f>
        <v>0</v>
      </c>
      <c r="H287" s="589" t="e">
        <f>F287/G287*100</f>
        <v>#DIV/0!</v>
      </c>
      <c r="I287" s="588">
        <f>SUM(I288:I292)</f>
        <v>0</v>
      </c>
      <c r="J287" s="588">
        <f>SUM(J288:J292)</f>
        <v>0</v>
      </c>
      <c r="K287" s="589" t="e">
        <f>I287/J287*100</f>
        <v>#DIV/0!</v>
      </c>
      <c r="L287" s="588">
        <f>SUM(L288:L292)</f>
        <v>0</v>
      </c>
      <c r="M287" s="588">
        <f>SUM(M288:M292)</f>
        <v>0</v>
      </c>
      <c r="N287" s="828" t="e">
        <f>L287/M287*100</f>
        <v>#DIV/0!</v>
      </c>
      <c r="O287" s="127"/>
      <c r="P287" s="127"/>
    </row>
    <row r="288" spans="1:16" ht="34.5" x14ac:dyDescent="0.25">
      <c r="A288" s="307">
        <v>1</v>
      </c>
      <c r="B288" s="548" t="s">
        <v>331</v>
      </c>
      <c r="C288" s="746"/>
      <c r="D288" s="746"/>
      <c r="E288" s="425" t="e">
        <f t="shared" ref="E288:E292" si="72">C288/D288*100</f>
        <v>#DIV/0!</v>
      </c>
      <c r="F288" s="746"/>
      <c r="G288" s="746"/>
      <c r="H288" s="425" t="e">
        <f t="shared" ref="H288:H292" si="73">F288/G288*100</f>
        <v>#DIV/0!</v>
      </c>
      <c r="I288" s="746"/>
      <c r="J288" s="746"/>
      <c r="K288" s="425" t="e">
        <f t="shared" ref="K288:K292" si="74">I288/J288*100</f>
        <v>#DIV/0!</v>
      </c>
      <c r="L288" s="746"/>
      <c r="M288" s="746"/>
      <c r="N288" s="659" t="e">
        <f t="shared" ref="N288:N292" si="75">L288/M288*100</f>
        <v>#DIV/0!</v>
      </c>
      <c r="O288" s="316">
        <v>34</v>
      </c>
      <c r="P288" s="316">
        <v>84.9</v>
      </c>
    </row>
    <row r="289" spans="1:16" ht="17.25" x14ac:dyDescent="0.25">
      <c r="A289" s="307">
        <v>2</v>
      </c>
      <c r="B289" s="548" t="s">
        <v>332</v>
      </c>
      <c r="C289" s="746"/>
      <c r="D289" s="746"/>
      <c r="E289" s="425" t="e">
        <f t="shared" si="72"/>
        <v>#DIV/0!</v>
      </c>
      <c r="F289" s="746"/>
      <c r="G289" s="746"/>
      <c r="H289" s="425" t="e">
        <f t="shared" si="73"/>
        <v>#DIV/0!</v>
      </c>
      <c r="I289" s="746"/>
      <c r="J289" s="746"/>
      <c r="K289" s="425" t="e">
        <f t="shared" si="74"/>
        <v>#DIV/0!</v>
      </c>
      <c r="L289" s="746"/>
      <c r="M289" s="746"/>
      <c r="N289" s="659" t="e">
        <f t="shared" si="75"/>
        <v>#DIV/0!</v>
      </c>
      <c r="O289" s="829">
        <v>200</v>
      </c>
      <c r="P289" s="830">
        <v>84.3</v>
      </c>
    </row>
    <row r="290" spans="1:16" ht="69" x14ac:dyDescent="0.25">
      <c r="A290" s="307">
        <v>3</v>
      </c>
      <c r="B290" s="548" t="s">
        <v>333</v>
      </c>
      <c r="C290" s="746"/>
      <c r="D290" s="746"/>
      <c r="E290" s="425" t="e">
        <f t="shared" si="72"/>
        <v>#DIV/0!</v>
      </c>
      <c r="F290" s="746"/>
      <c r="G290" s="746"/>
      <c r="H290" s="425" t="e">
        <f t="shared" si="73"/>
        <v>#DIV/0!</v>
      </c>
      <c r="I290" s="746"/>
      <c r="J290" s="746"/>
      <c r="K290" s="425" t="e">
        <f t="shared" si="74"/>
        <v>#DIV/0!</v>
      </c>
      <c r="L290" s="746"/>
      <c r="M290" s="746"/>
      <c r="N290" s="659" t="e">
        <f t="shared" si="75"/>
        <v>#DIV/0!</v>
      </c>
      <c r="O290" s="735">
        <v>575</v>
      </c>
      <c r="P290" s="737">
        <v>104</v>
      </c>
    </row>
    <row r="291" spans="1:16" ht="17.25" x14ac:dyDescent="0.25">
      <c r="A291" s="307">
        <v>4</v>
      </c>
      <c r="B291" s="548" t="s">
        <v>334</v>
      </c>
      <c r="C291" s="746"/>
      <c r="D291" s="746"/>
      <c r="E291" s="425" t="e">
        <f t="shared" si="72"/>
        <v>#DIV/0!</v>
      </c>
      <c r="F291" s="746"/>
      <c r="G291" s="746"/>
      <c r="H291" s="425" t="e">
        <f t="shared" si="73"/>
        <v>#DIV/0!</v>
      </c>
      <c r="I291" s="746"/>
      <c r="J291" s="746"/>
      <c r="K291" s="425" t="e">
        <f t="shared" si="74"/>
        <v>#DIV/0!</v>
      </c>
      <c r="L291" s="746"/>
      <c r="M291" s="746"/>
      <c r="N291" s="659" t="e">
        <f t="shared" si="75"/>
        <v>#DIV/0!</v>
      </c>
      <c r="O291" s="735">
        <v>37</v>
      </c>
      <c r="P291" s="737">
        <v>136</v>
      </c>
    </row>
    <row r="292" spans="1:16" ht="51.75" x14ac:dyDescent="0.25">
      <c r="A292" s="307">
        <v>5</v>
      </c>
      <c r="B292" s="548" t="s">
        <v>335</v>
      </c>
      <c r="C292" s="322"/>
      <c r="D292" s="322"/>
      <c r="E292" s="425" t="e">
        <f t="shared" si="72"/>
        <v>#DIV/0!</v>
      </c>
      <c r="F292" s="322"/>
      <c r="G292" s="322"/>
      <c r="H292" s="425" t="e">
        <f t="shared" si="73"/>
        <v>#DIV/0!</v>
      </c>
      <c r="I292" s="322"/>
      <c r="J292" s="322"/>
      <c r="K292" s="425" t="e">
        <f t="shared" si="74"/>
        <v>#DIV/0!</v>
      </c>
      <c r="L292" s="322"/>
      <c r="M292" s="322"/>
      <c r="N292" s="555" t="e">
        <f t="shared" si="75"/>
        <v>#DIV/0!</v>
      </c>
    </row>
    <row r="294" spans="1:16" ht="16.5" x14ac:dyDescent="0.25">
      <c r="A294" s="585">
        <v>4</v>
      </c>
      <c r="B294" s="590" t="s">
        <v>543</v>
      </c>
      <c r="C294" s="586"/>
      <c r="D294" s="586"/>
      <c r="E294" s="586"/>
      <c r="F294" s="586"/>
      <c r="G294" s="586"/>
      <c r="H294" s="586"/>
      <c r="I294" s="586"/>
      <c r="J294" s="586"/>
      <c r="K294" s="586"/>
      <c r="L294" s="586"/>
      <c r="M294" s="586"/>
      <c r="N294" s="586"/>
    </row>
    <row r="295" spans="1:16" ht="16.5" x14ac:dyDescent="0.25">
      <c r="A295" s="588"/>
      <c r="B295" s="591" t="s">
        <v>734</v>
      </c>
      <c r="C295" s="588">
        <f>SUM(C296:C296)</f>
        <v>0</v>
      </c>
      <c r="D295" s="588">
        <f>SUM(D296:D296)</f>
        <v>0</v>
      </c>
      <c r="E295" s="589" t="e">
        <f>C295/D295*100</f>
        <v>#DIV/0!</v>
      </c>
      <c r="F295" s="588">
        <f>SUM(F296:F296)</f>
        <v>0</v>
      </c>
      <c r="G295" s="588">
        <f>SUM(G296:G296)</f>
        <v>0</v>
      </c>
      <c r="H295" s="589" t="e">
        <f>F295/G295*100</f>
        <v>#DIV/0!</v>
      </c>
      <c r="I295" s="588">
        <f>SUM(I296:I296)</f>
        <v>0</v>
      </c>
      <c r="J295" s="588">
        <f>SUM(J296:J296)</f>
        <v>0</v>
      </c>
      <c r="K295" s="589" t="e">
        <f>I295/J295*100</f>
        <v>#DIV/0!</v>
      </c>
      <c r="L295" s="588">
        <f>SUM(L296:L296)</f>
        <v>0</v>
      </c>
      <c r="M295" s="588">
        <f>SUM(M296:M296)</f>
        <v>0</v>
      </c>
      <c r="N295" s="589">
        <v>0</v>
      </c>
    </row>
    <row r="296" spans="1:16" ht="17.25" x14ac:dyDescent="0.25">
      <c r="A296" s="307">
        <v>1</v>
      </c>
      <c r="B296" s="548" t="s">
        <v>728</v>
      </c>
      <c r="C296" s="426"/>
      <c r="D296" s="426"/>
      <c r="E296" s="323" t="e">
        <f>C296/D296*100</f>
        <v>#DIV/0!</v>
      </c>
      <c r="F296" s="426"/>
      <c r="G296" s="426"/>
      <c r="H296" s="323" t="e">
        <f>F296/G296*100</f>
        <v>#DIV/0!</v>
      </c>
      <c r="I296" s="426"/>
      <c r="J296" s="426"/>
      <c r="K296" s="323" t="e">
        <f>I296/J296*100</f>
        <v>#DIV/0!</v>
      </c>
      <c r="L296" s="426"/>
      <c r="M296" s="426"/>
      <c r="N296" s="323">
        <v>0</v>
      </c>
    </row>
  </sheetData>
  <mergeCells count="39">
    <mergeCell ref="A2:N3"/>
    <mergeCell ref="A4:A9"/>
    <mergeCell ref="B4:B9"/>
    <mergeCell ref="C4:H4"/>
    <mergeCell ref="I4:K4"/>
    <mergeCell ref="L4:N4"/>
    <mergeCell ref="C5:C9"/>
    <mergeCell ref="D5:D9"/>
    <mergeCell ref="E5:E9"/>
    <mergeCell ref="F5:F9"/>
    <mergeCell ref="M5:M9"/>
    <mergeCell ref="N5:N9"/>
    <mergeCell ref="L5:L9"/>
    <mergeCell ref="G5:G9"/>
    <mergeCell ref="H5:H9"/>
    <mergeCell ref="I5:I9"/>
    <mergeCell ref="J5:J9"/>
    <mergeCell ref="K5:K9"/>
    <mergeCell ref="A30:N31"/>
    <mergeCell ref="A248:B248"/>
    <mergeCell ref="A96:B96"/>
    <mergeCell ref="A56:B56"/>
    <mergeCell ref="A70:B70"/>
    <mergeCell ref="A80:B80"/>
    <mergeCell ref="B32:B33"/>
    <mergeCell ref="C32:G32"/>
    <mergeCell ref="H32:K32"/>
    <mergeCell ref="A35:B35"/>
    <mergeCell ref="A36:B36"/>
    <mergeCell ref="A32:A33"/>
    <mergeCell ref="A267:B267"/>
    <mergeCell ref="A287:B287"/>
    <mergeCell ref="A134:B134"/>
    <mergeCell ref="A135:B135"/>
    <mergeCell ref="A160:B160"/>
    <mergeCell ref="A161:B161"/>
    <mergeCell ref="A189:B189"/>
    <mergeCell ref="A195:B195"/>
    <mergeCell ref="A238:B238"/>
  </mergeCells>
  <pageMargins left="0.25" right="0.25" top="0.75" bottom="0.25" header="0.25" footer="0.25"/>
  <pageSetup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6"/>
  <sheetViews>
    <sheetView tabSelected="1" topLeftCell="A69" zoomScale="90" zoomScaleNormal="90" workbookViewId="0">
      <selection activeCell="C95" sqref="C95"/>
    </sheetView>
  </sheetViews>
  <sheetFormatPr defaultColWidth="11.28515625" defaultRowHeight="15" x14ac:dyDescent="0.25"/>
  <cols>
    <col min="1" max="1" width="6.85546875" style="126" customWidth="1"/>
    <col min="2" max="2" width="31.28515625" style="126" customWidth="1"/>
    <col min="3" max="3" width="13.42578125" style="126" customWidth="1"/>
    <col min="4" max="4" width="12.85546875" style="126" customWidth="1"/>
    <col min="5" max="5" width="11.85546875" style="126" customWidth="1"/>
    <col min="6" max="7" width="12.28515625" style="126" customWidth="1"/>
    <col min="8" max="8" width="10.85546875" style="126" customWidth="1"/>
    <col min="9" max="10" width="12.28515625" style="126" customWidth="1"/>
    <col min="11" max="11" width="10.7109375" style="126" customWidth="1"/>
    <col min="12" max="12" width="12.140625" style="126" customWidth="1"/>
    <col min="13" max="13" width="11" style="126" customWidth="1"/>
    <col min="14" max="14" width="10.85546875" style="126" customWidth="1"/>
    <col min="15" max="16384" width="11.28515625" style="126"/>
  </cols>
  <sheetData>
    <row r="2" spans="1:14" s="556" customFormat="1" ht="16.5" x14ac:dyDescent="0.25">
      <c r="A2" s="1051" t="s">
        <v>829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21.75" customHeight="1" thickBot="1" x14ac:dyDescent="0.3">
      <c r="A3" s="1051"/>
      <c r="B3" s="1051"/>
      <c r="C3" s="1051"/>
      <c r="D3" s="1051"/>
      <c r="E3" s="1051"/>
      <c r="F3" s="1051"/>
      <c r="G3" s="1051"/>
      <c r="H3" s="1051"/>
      <c r="I3" s="1051"/>
      <c r="J3" s="1051"/>
      <c r="K3" s="1051"/>
      <c r="L3" s="1051"/>
      <c r="M3" s="1051"/>
      <c r="N3" s="1051"/>
    </row>
    <row r="4" spans="1:14" s="556" customFormat="1" ht="17.25" x14ac:dyDescent="0.25">
      <c r="A4" s="1077" t="s">
        <v>1</v>
      </c>
      <c r="B4" s="1080" t="s">
        <v>337</v>
      </c>
      <c r="C4" s="1083" t="s">
        <v>326</v>
      </c>
      <c r="D4" s="1084"/>
      <c r="E4" s="1084"/>
      <c r="F4" s="1084"/>
      <c r="G4" s="1084"/>
      <c r="H4" s="1085"/>
      <c r="I4" s="1086" t="s">
        <v>327</v>
      </c>
      <c r="J4" s="1087"/>
      <c r="K4" s="1088"/>
      <c r="L4" s="1083" t="s">
        <v>328</v>
      </c>
      <c r="M4" s="1084"/>
      <c r="N4" s="1085"/>
    </row>
    <row r="5" spans="1:14" s="556" customFormat="1" ht="16.5" customHeight="1" x14ac:dyDescent="0.25">
      <c r="A5" s="1078"/>
      <c r="B5" s="1081"/>
      <c r="C5" s="898" t="s">
        <v>9</v>
      </c>
      <c r="D5" s="898" t="s">
        <v>10</v>
      </c>
      <c r="E5" s="1089" t="s">
        <v>545</v>
      </c>
      <c r="F5" s="898" t="s">
        <v>12</v>
      </c>
      <c r="G5" s="1092" t="s">
        <v>10</v>
      </c>
      <c r="H5" s="1089" t="s">
        <v>545</v>
      </c>
      <c r="I5" s="898" t="s">
        <v>13</v>
      </c>
      <c r="J5" s="898" t="s">
        <v>10</v>
      </c>
      <c r="K5" s="1089" t="s">
        <v>545</v>
      </c>
      <c r="L5" s="898" t="s">
        <v>13</v>
      </c>
      <c r="M5" s="898" t="s">
        <v>10</v>
      </c>
      <c r="N5" s="1089" t="s">
        <v>545</v>
      </c>
    </row>
    <row r="6" spans="1:14" s="556" customFormat="1" ht="16.5" customHeight="1" x14ac:dyDescent="0.25">
      <c r="A6" s="1078"/>
      <c r="B6" s="1081"/>
      <c r="C6" s="899"/>
      <c r="D6" s="899"/>
      <c r="E6" s="1090"/>
      <c r="F6" s="899"/>
      <c r="G6" s="1093"/>
      <c r="H6" s="1090"/>
      <c r="I6" s="899"/>
      <c r="J6" s="899"/>
      <c r="K6" s="1090"/>
      <c r="L6" s="899"/>
      <c r="M6" s="899"/>
      <c r="N6" s="1090"/>
    </row>
    <row r="7" spans="1:14" s="556" customFormat="1" ht="16.5" customHeight="1" x14ac:dyDescent="0.25">
      <c r="A7" s="1078"/>
      <c r="B7" s="1081"/>
      <c r="C7" s="899"/>
      <c r="D7" s="899"/>
      <c r="E7" s="1090"/>
      <c r="F7" s="899"/>
      <c r="G7" s="1093"/>
      <c r="H7" s="1090"/>
      <c r="I7" s="899"/>
      <c r="J7" s="899"/>
      <c r="K7" s="1090"/>
      <c r="L7" s="899"/>
      <c r="M7" s="899"/>
      <c r="N7" s="1090"/>
    </row>
    <row r="8" spans="1:14" s="556" customFormat="1" ht="9.75" customHeight="1" x14ac:dyDescent="0.25">
      <c r="A8" s="1078"/>
      <c r="B8" s="1081"/>
      <c r="C8" s="899"/>
      <c r="D8" s="899"/>
      <c r="E8" s="1090"/>
      <c r="F8" s="899"/>
      <c r="G8" s="1093"/>
      <c r="H8" s="1090"/>
      <c r="I8" s="899"/>
      <c r="J8" s="899"/>
      <c r="K8" s="1090"/>
      <c r="L8" s="899"/>
      <c r="M8" s="899"/>
      <c r="N8" s="1090"/>
    </row>
    <row r="9" spans="1:14" s="556" customFormat="1" ht="33" customHeight="1" thickBot="1" x14ac:dyDescent="0.3">
      <c r="A9" s="1079"/>
      <c r="B9" s="1082"/>
      <c r="C9" s="900"/>
      <c r="D9" s="900"/>
      <c r="E9" s="1091"/>
      <c r="F9" s="900"/>
      <c r="G9" s="1094"/>
      <c r="H9" s="1091"/>
      <c r="I9" s="900"/>
      <c r="J9" s="900"/>
      <c r="K9" s="1091"/>
      <c r="L9" s="900"/>
      <c r="M9" s="900"/>
      <c r="N9" s="1091"/>
    </row>
    <row r="10" spans="1:14" s="556" customFormat="1" ht="18" thickBot="1" x14ac:dyDescent="0.3">
      <c r="A10" s="844">
        <v>1</v>
      </c>
      <c r="B10" s="845">
        <v>2</v>
      </c>
      <c r="C10" s="846">
        <v>3</v>
      </c>
      <c r="D10" s="846">
        <v>4</v>
      </c>
      <c r="E10" s="847">
        <v>5</v>
      </c>
      <c r="F10" s="846">
        <v>6</v>
      </c>
      <c r="G10" s="846">
        <v>7</v>
      </c>
      <c r="H10" s="846">
        <v>8</v>
      </c>
      <c r="I10" s="846">
        <v>9</v>
      </c>
      <c r="J10" s="846">
        <v>10</v>
      </c>
      <c r="K10" s="846">
        <v>11</v>
      </c>
      <c r="L10" s="846">
        <v>12</v>
      </c>
      <c r="M10" s="846">
        <v>13</v>
      </c>
      <c r="N10" s="846">
        <v>14</v>
      </c>
    </row>
    <row r="11" spans="1:14" s="557" customFormat="1" ht="37.5" customHeight="1" x14ac:dyDescent="0.25">
      <c r="A11" s="456"/>
      <c r="B11" s="395" t="s">
        <v>348</v>
      </c>
      <c r="C11" s="859">
        <f>C12+C26</f>
        <v>69.012052869000001</v>
      </c>
      <c r="D11" s="859">
        <f>D12+D26</f>
        <v>70.651163889999992</v>
      </c>
      <c r="E11" s="860">
        <f>C11/D11*100</f>
        <v>97.679994311838954</v>
      </c>
      <c r="F11" s="859">
        <f>F12+F26</f>
        <v>68.789759868999994</v>
      </c>
      <c r="G11" s="859">
        <f>G12+G26</f>
        <v>70.45841888999999</v>
      </c>
      <c r="H11" s="860">
        <f>F11/G11*100</f>
        <v>97.631710947693691</v>
      </c>
      <c r="I11" s="859">
        <f>I12+I26</f>
        <v>58.893709046999987</v>
      </c>
      <c r="J11" s="859">
        <f>J12+J26</f>
        <v>65.952122954000004</v>
      </c>
      <c r="K11" s="860">
        <f>I11/J11*100</f>
        <v>89.297669899234194</v>
      </c>
      <c r="L11" s="859">
        <f>L12+L26</f>
        <v>25.935154768</v>
      </c>
      <c r="M11" s="859">
        <f>M12+M26</f>
        <v>30.235902236999998</v>
      </c>
      <c r="N11" s="860">
        <f>L11/M11*100</f>
        <v>85.776024028358151</v>
      </c>
    </row>
    <row r="12" spans="1:14" ht="37.5" customHeight="1" x14ac:dyDescent="0.25">
      <c r="A12" s="848">
        <v>1</v>
      </c>
      <c r="B12" s="373" t="s">
        <v>730</v>
      </c>
      <c r="C12" s="861">
        <f>C13+C14</f>
        <v>48.358469710000008</v>
      </c>
      <c r="D12" s="861">
        <f>D13+D14</f>
        <v>45.399441464999995</v>
      </c>
      <c r="E12" s="861">
        <f>C12/D12*100</f>
        <v>106.51776354403222</v>
      </c>
      <c r="F12" s="861">
        <f>F13+F14</f>
        <v>48.136176710000001</v>
      </c>
      <c r="G12" s="861">
        <f>G13+G14</f>
        <v>45.206696464999993</v>
      </c>
      <c r="H12" s="861">
        <f>F12/G12*100</f>
        <v>106.48019093204051</v>
      </c>
      <c r="I12" s="861">
        <f>I13+I14</f>
        <v>38.240125887999994</v>
      </c>
      <c r="J12" s="861">
        <f>J13+J14</f>
        <v>40.700400529000007</v>
      </c>
      <c r="K12" s="861">
        <f>I12/J12*100</f>
        <v>93.955158649490429</v>
      </c>
      <c r="L12" s="861">
        <f>L13+L14</f>
        <v>25.177132463</v>
      </c>
      <c r="M12" s="861">
        <f>M13+M14</f>
        <v>27.790812709999997</v>
      </c>
      <c r="N12" s="861">
        <f>L12/M12*100</f>
        <v>90.595164401005391</v>
      </c>
    </row>
    <row r="13" spans="1:14" ht="75" customHeight="1" thickBot="1" x14ac:dyDescent="0.3">
      <c r="A13" s="476">
        <v>1.1000000000000001</v>
      </c>
      <c r="B13" s="849" t="s">
        <v>527</v>
      </c>
      <c r="C13" s="862">
        <f>C135/1000000</f>
        <v>14.441323000000001</v>
      </c>
      <c r="D13" s="862">
        <f>D135/1000000</f>
        <v>14.123944</v>
      </c>
      <c r="E13" s="863">
        <f>E135</f>
        <v>102.24709896895654</v>
      </c>
      <c r="F13" s="862">
        <f>F135/1000000</f>
        <v>14.441323000000001</v>
      </c>
      <c r="G13" s="862">
        <f>G135/1000000</f>
        <v>14.123944</v>
      </c>
      <c r="H13" s="864">
        <f>H135</f>
        <v>102.24709896895654</v>
      </c>
      <c r="I13" s="862">
        <f>I135/1000000</f>
        <v>11.536405</v>
      </c>
      <c r="J13" s="862">
        <f>J135/1000000</f>
        <v>12.107426</v>
      </c>
      <c r="K13" s="864">
        <f>K135</f>
        <v>95.283712657009005</v>
      </c>
      <c r="L13" s="862">
        <f>L135/1000000</f>
        <v>7.571599</v>
      </c>
      <c r="M13" s="862">
        <f>M135/1000000</f>
        <v>7.9975519999999998</v>
      </c>
      <c r="N13" s="863">
        <f>N135</f>
        <v>94.673957731065713</v>
      </c>
    </row>
    <row r="14" spans="1:14" ht="69" customHeight="1" x14ac:dyDescent="0.25">
      <c r="A14" s="850">
        <v>1.2</v>
      </c>
      <c r="B14" s="851" t="s">
        <v>350</v>
      </c>
      <c r="C14" s="865">
        <f>SUM(C15:C25)</f>
        <v>33.917146710000004</v>
      </c>
      <c r="D14" s="865">
        <f>SUM(D15:D25)</f>
        <v>31.275497464999997</v>
      </c>
      <c r="E14" s="866">
        <f t="shared" ref="E14" si="0">C14/D14*100</f>
        <v>108.44638601818002</v>
      </c>
      <c r="F14" s="865">
        <f>SUM(F15:F25)</f>
        <v>33.694853710000004</v>
      </c>
      <c r="G14" s="865">
        <f>SUM(G15:G25)</f>
        <v>31.082752464999995</v>
      </c>
      <c r="H14" s="866">
        <f t="shared" ref="H14" si="1">F14/G14*100</f>
        <v>108.40369992310464</v>
      </c>
      <c r="I14" s="865">
        <f>SUM(I15:I25)</f>
        <v>26.703720887999992</v>
      </c>
      <c r="J14" s="865">
        <f>SUM(J15:J25)</f>
        <v>28.592974529000003</v>
      </c>
      <c r="K14" s="866">
        <f t="shared" ref="K14" si="2">I14/J14*100</f>
        <v>93.392594956905015</v>
      </c>
      <c r="L14" s="865">
        <f>SUM(L15:L25)</f>
        <v>17.605533463</v>
      </c>
      <c r="M14" s="865">
        <f>SUM(M15:M25)</f>
        <v>19.793260709999998</v>
      </c>
      <c r="N14" s="866">
        <f t="shared" ref="N14" si="3">L14/M14*100</f>
        <v>88.947110437974942</v>
      </c>
    </row>
    <row r="15" spans="1:14" ht="18.75" customHeight="1" x14ac:dyDescent="0.25">
      <c r="A15" s="852" t="s">
        <v>528</v>
      </c>
      <c r="B15" s="535" t="s">
        <v>791</v>
      </c>
      <c r="C15" s="853">
        <f>C145/1000000</f>
        <v>15.687511000000001</v>
      </c>
      <c r="D15" s="853">
        <f>D145/1000000</f>
        <v>12.475977</v>
      </c>
      <c r="E15" s="854">
        <f>E145</f>
        <v>125.74174351235179</v>
      </c>
      <c r="F15" s="853">
        <f>F145/1000000</f>
        <v>15.687511000000001</v>
      </c>
      <c r="G15" s="853">
        <f>G145/1000000</f>
        <v>12.475977</v>
      </c>
      <c r="H15" s="854">
        <f>H145</f>
        <v>125.74174351235179</v>
      </c>
      <c r="I15" s="853">
        <f>I145/1000000</f>
        <v>11.328749999999999</v>
      </c>
      <c r="J15" s="853">
        <f>J145/1000000</f>
        <v>11.913765</v>
      </c>
      <c r="K15" s="854">
        <f>K145</f>
        <v>95.089587548520555</v>
      </c>
      <c r="L15" s="853">
        <f>L145/1000000</f>
        <v>10.453381</v>
      </c>
      <c r="M15" s="853">
        <f>M145/1000000</f>
        <v>11.489872999999999</v>
      </c>
      <c r="N15" s="854">
        <f>N145</f>
        <v>90.979082188288757</v>
      </c>
    </row>
    <row r="16" spans="1:14" ht="17.25" x14ac:dyDescent="0.25">
      <c r="A16" s="855" t="s">
        <v>529</v>
      </c>
      <c r="B16" s="535" t="s">
        <v>792</v>
      </c>
      <c r="C16" s="853">
        <f>C155/1000000</f>
        <v>0.84927600000000003</v>
      </c>
      <c r="D16" s="853">
        <f>D155/1000000</f>
        <v>0.98052700000000004</v>
      </c>
      <c r="E16" s="854">
        <f>E155</f>
        <v>86.614239077557272</v>
      </c>
      <c r="F16" s="853">
        <f>F155/1000000</f>
        <v>0.84927600000000003</v>
      </c>
      <c r="G16" s="853">
        <f>G155/1000000</f>
        <v>0.98052700000000004</v>
      </c>
      <c r="H16" s="854">
        <f>H155</f>
        <v>86.614239077557272</v>
      </c>
      <c r="I16" s="853">
        <f>I155/1000000</f>
        <v>0.32820899999999997</v>
      </c>
      <c r="J16" s="853">
        <f>J155/1000000</f>
        <v>0.87253999999999998</v>
      </c>
      <c r="K16" s="854">
        <f>K155</f>
        <v>37.61535287780503</v>
      </c>
      <c r="L16" s="853">
        <f>L155/1000000</f>
        <v>0.106485</v>
      </c>
      <c r="M16" s="853">
        <f>M155/1000000</f>
        <v>0.40096799999999999</v>
      </c>
      <c r="N16" s="854">
        <f>N155</f>
        <v>26.556982103309991</v>
      </c>
    </row>
    <row r="17" spans="1:14" ht="17.25" x14ac:dyDescent="0.25">
      <c r="A17" s="852" t="s">
        <v>530</v>
      </c>
      <c r="B17" s="535" t="s">
        <v>793</v>
      </c>
      <c r="C17" s="853">
        <f>C237/1000000</f>
        <v>0.83280600000000005</v>
      </c>
      <c r="D17" s="853">
        <f>D237/1000000</f>
        <v>0.79772900000000002</v>
      </c>
      <c r="E17" s="854">
        <f>E237</f>
        <v>104.3971072883147</v>
      </c>
      <c r="F17" s="853">
        <f>F237/1000000</f>
        <v>0.83280600000000005</v>
      </c>
      <c r="G17" s="853">
        <f>G237/1000000</f>
        <v>0.79772900000000002</v>
      </c>
      <c r="H17" s="854">
        <f>H237</f>
        <v>104.3971072883147</v>
      </c>
      <c r="I17" s="853">
        <f>I237/1000000</f>
        <v>0.88828799999999997</v>
      </c>
      <c r="J17" s="853">
        <f>J237/1000000</f>
        <v>0.84549300000000005</v>
      </c>
      <c r="K17" s="854">
        <f>K237</f>
        <v>105.06154397493532</v>
      </c>
      <c r="L17" s="853">
        <f>L237/1000000</f>
        <v>0.87131099999999995</v>
      </c>
      <c r="M17" s="853">
        <f>M237/1000000</f>
        <v>0.82875600000000005</v>
      </c>
      <c r="N17" s="854">
        <f>N237</f>
        <v>105.13480445390439</v>
      </c>
    </row>
    <row r="18" spans="1:14" ht="17.25" x14ac:dyDescent="0.25">
      <c r="A18" s="855" t="s">
        <v>531</v>
      </c>
      <c r="B18" s="535" t="s">
        <v>354</v>
      </c>
      <c r="C18" s="856">
        <f>C36/1000000</f>
        <v>6.0678000000000003E-2</v>
      </c>
      <c r="D18" s="856">
        <f>D36/1000000</f>
        <v>5.6749000000000001E-2</v>
      </c>
      <c r="E18" s="854">
        <f>E36</f>
        <v>106.92347001709281</v>
      </c>
      <c r="F18" s="853">
        <f>F36/1000000</f>
        <v>6.0678000000000003E-2</v>
      </c>
      <c r="G18" s="853">
        <f>G36/1000000</f>
        <v>5.6749000000000001E-2</v>
      </c>
      <c r="H18" s="854">
        <f>H36</f>
        <v>106.92347001709281</v>
      </c>
      <c r="I18" s="853">
        <f>I36/1000000</f>
        <v>8.6278999999999995E-2</v>
      </c>
      <c r="J18" s="853">
        <f>J36/1000000</f>
        <v>3.7187999999999999E-2</v>
      </c>
      <c r="K18" s="854">
        <f>K36</f>
        <v>232.00763687210929</v>
      </c>
      <c r="L18" s="853">
        <f>L36/1000000</f>
        <v>3.7838999999999998E-2</v>
      </c>
      <c r="M18" s="853">
        <f>M36/1000000</f>
        <v>0</v>
      </c>
      <c r="N18" s="854" t="e">
        <f>N36</f>
        <v>#DIV/0!</v>
      </c>
    </row>
    <row r="19" spans="1:14" ht="17.25" x14ac:dyDescent="0.25">
      <c r="A19" s="852" t="s">
        <v>532</v>
      </c>
      <c r="B19" s="535" t="s">
        <v>355</v>
      </c>
      <c r="C19" s="853">
        <f>C56/1000000</f>
        <v>0.16444400000000001</v>
      </c>
      <c r="D19" s="853">
        <f>D56/1000000</f>
        <v>6.3758999999999996E-2</v>
      </c>
      <c r="E19" s="854">
        <f>E56</f>
        <v>257.91496102511019</v>
      </c>
      <c r="F19" s="853">
        <f>F56/1000000</f>
        <v>0.16444400000000001</v>
      </c>
      <c r="G19" s="853">
        <f>G56/1000000</f>
        <v>6.3758999999999996E-2</v>
      </c>
      <c r="H19" s="854">
        <f>H56</f>
        <v>257.91496102511019</v>
      </c>
      <c r="I19" s="853">
        <f>I56/1000000</f>
        <v>9.8395999999999997E-2</v>
      </c>
      <c r="J19" s="853">
        <f>J56/1000000</f>
        <v>5.7496999999999999E-2</v>
      </c>
      <c r="K19" s="854">
        <f>K56</f>
        <v>171.13240690818651</v>
      </c>
      <c r="L19" s="853">
        <f>L56/1000000</f>
        <v>7.5856000000000007E-2</v>
      </c>
      <c r="M19" s="853">
        <f>M56/1000000</f>
        <v>9.4730000000000005E-3</v>
      </c>
      <c r="N19" s="854">
        <f>N56</f>
        <v>800.7600548928533</v>
      </c>
    </row>
    <row r="20" spans="1:14" ht="17.25" x14ac:dyDescent="0.25">
      <c r="A20" s="855" t="s">
        <v>533</v>
      </c>
      <c r="B20" s="535" t="s">
        <v>356</v>
      </c>
      <c r="C20" s="856">
        <f>C70/1000000</f>
        <v>6.6657999999999995E-2</v>
      </c>
      <c r="D20" s="856">
        <f>D70/1000000</f>
        <v>8.3357000000000001E-2</v>
      </c>
      <c r="E20" s="854">
        <f>E70</f>
        <v>79.966889403409439</v>
      </c>
      <c r="F20" s="853">
        <f>F70/1000000</f>
        <v>6.6657999999999995E-2</v>
      </c>
      <c r="G20" s="853">
        <f>G70/1000000</f>
        <v>8.3357000000000001E-2</v>
      </c>
      <c r="H20" s="854">
        <f>H70</f>
        <v>79.966889403409439</v>
      </c>
      <c r="I20" s="853">
        <f>I70/1000000</f>
        <v>7.0343000000000003E-2</v>
      </c>
      <c r="J20" s="853">
        <f>J70/1000000</f>
        <v>2.9767999999999999E-2</v>
      </c>
      <c r="K20" s="854">
        <f>K70</f>
        <v>236.30408492340766</v>
      </c>
      <c r="L20" s="853">
        <f>L70/1000000</f>
        <v>3.2051000000000003E-2</v>
      </c>
      <c r="M20" s="853">
        <f>M70/1000000</f>
        <v>0</v>
      </c>
      <c r="N20" s="854" t="e">
        <f>N70</f>
        <v>#DIV/0!</v>
      </c>
    </row>
    <row r="21" spans="1:14" ht="17.25" x14ac:dyDescent="0.25">
      <c r="A21" s="852" t="s">
        <v>534</v>
      </c>
      <c r="B21" s="535" t="s">
        <v>357</v>
      </c>
      <c r="C21" s="853">
        <f>C80/1000000</f>
        <v>0.32022</v>
      </c>
      <c r="D21" s="853">
        <f>D80/1000000</f>
        <v>0.28705399999999998</v>
      </c>
      <c r="E21" s="854">
        <f>E80</f>
        <v>111.55392365199579</v>
      </c>
      <c r="F21" s="853">
        <f>F80/1000000</f>
        <v>0.32022</v>
      </c>
      <c r="G21" s="853">
        <f>G80/1000000</f>
        <v>0.28705399999999998</v>
      </c>
      <c r="H21" s="854">
        <f>H80</f>
        <v>111.55392365199579</v>
      </c>
      <c r="I21" s="853">
        <f>I80/1000000</f>
        <v>0.38313700000000001</v>
      </c>
      <c r="J21" s="853">
        <f>J80/1000000</f>
        <v>0.47671799999999998</v>
      </c>
      <c r="K21" s="854">
        <f>K80</f>
        <v>80.369736406009423</v>
      </c>
      <c r="L21" s="853">
        <f>L80/1000000</f>
        <v>0.12101199999999999</v>
      </c>
      <c r="M21" s="853">
        <f>M80/1000000</f>
        <v>0.13266</v>
      </c>
      <c r="N21" s="854">
        <f>N80</f>
        <v>91.219659279360769</v>
      </c>
    </row>
    <row r="22" spans="1:14" ht="17.25" x14ac:dyDescent="0.25">
      <c r="A22" s="855" t="s">
        <v>535</v>
      </c>
      <c r="B22" s="535" t="s">
        <v>358</v>
      </c>
      <c r="C22" s="854">
        <f>C160/1000000</f>
        <v>15.68870171</v>
      </c>
      <c r="D22" s="854">
        <f>D160/1000000</f>
        <v>16.126364464999998</v>
      </c>
      <c r="E22" s="854">
        <f>E160</f>
        <v>97.28604202174715</v>
      </c>
      <c r="F22" s="853">
        <f>F160/1000000</f>
        <v>15.49544071</v>
      </c>
      <c r="G22" s="853">
        <f>G160/1000000</f>
        <v>15.958641464999999</v>
      </c>
      <c r="H22" s="854">
        <f>H160</f>
        <v>97.097492565292114</v>
      </c>
      <c r="I22" s="853">
        <f>I160/1000000</f>
        <v>13.327501888</v>
      </c>
      <c r="J22" s="853">
        <f>J160/1000000</f>
        <v>14.015262528999999</v>
      </c>
      <c r="K22" s="854">
        <f>K160</f>
        <v>95.092773755918572</v>
      </c>
      <c r="L22" s="853">
        <f>L160/1000000</f>
        <v>5.8543974629999997</v>
      </c>
      <c r="M22" s="853">
        <f>M160/1000000</f>
        <v>6.7046667099999997</v>
      </c>
      <c r="N22" s="854">
        <f>N160</f>
        <v>87.318247367436996</v>
      </c>
    </row>
    <row r="23" spans="1:14" ht="17.25" x14ac:dyDescent="0.25">
      <c r="A23" s="852" t="s">
        <v>536</v>
      </c>
      <c r="B23" s="535" t="s">
        <v>359</v>
      </c>
      <c r="C23" s="853">
        <f>C96/1000000</f>
        <v>0.16184399999999999</v>
      </c>
      <c r="D23" s="853">
        <f>D96/1000000</f>
        <v>0.314998</v>
      </c>
      <c r="E23" s="854">
        <f>E96</f>
        <v>51.37937383729421</v>
      </c>
      <c r="F23" s="853">
        <f>F96/1000000</f>
        <v>0.16184399999999999</v>
      </c>
      <c r="G23" s="853">
        <f>G96/1000000</f>
        <v>0.314998</v>
      </c>
      <c r="H23" s="854">
        <f>H96</f>
        <v>51.37937383729421</v>
      </c>
      <c r="I23" s="853">
        <f>I96/1000000</f>
        <v>0.13656599999999999</v>
      </c>
      <c r="J23" s="853">
        <f>J96/1000000</f>
        <v>0.29505300000000001</v>
      </c>
      <c r="K23" s="854">
        <f>K96</f>
        <v>46.28524366808675</v>
      </c>
      <c r="L23" s="853">
        <f>L96/1000000</f>
        <v>5.3200999999999998E-2</v>
      </c>
      <c r="M23" s="853">
        <f>M96/1000000</f>
        <v>0.22686400000000001</v>
      </c>
      <c r="N23" s="854">
        <f>N96</f>
        <v>23.45061358346851</v>
      </c>
    </row>
    <row r="24" spans="1:14" ht="24" customHeight="1" x14ac:dyDescent="0.25">
      <c r="A24" s="855" t="s">
        <v>537</v>
      </c>
      <c r="B24" s="535" t="s">
        <v>360</v>
      </c>
      <c r="C24" s="856">
        <f>C126/1000000</f>
        <v>0</v>
      </c>
      <c r="D24" s="856">
        <f>D126/1000000</f>
        <v>9.3209999999999994E-3</v>
      </c>
      <c r="E24" s="854">
        <f>E126</f>
        <v>0</v>
      </c>
      <c r="F24" s="867">
        <f>F126/1000000</f>
        <v>0</v>
      </c>
      <c r="G24" s="867">
        <f>G126/1000000</f>
        <v>9.3209999999999994E-3</v>
      </c>
      <c r="H24" s="854">
        <f>H126</f>
        <v>0</v>
      </c>
      <c r="I24" s="856">
        <f>I126/1000000</f>
        <v>0</v>
      </c>
      <c r="J24" s="856">
        <f>J126/1000000</f>
        <v>9.3999999999999994E-5</v>
      </c>
      <c r="K24" s="854">
        <f>K126</f>
        <v>0</v>
      </c>
      <c r="L24" s="853">
        <f>L126/1000000</f>
        <v>0</v>
      </c>
      <c r="M24" s="853">
        <f>M126/1000000</f>
        <v>0</v>
      </c>
      <c r="N24" s="854" t="e">
        <f>N126</f>
        <v>#DIV/0!</v>
      </c>
    </row>
    <row r="25" spans="1:14" ht="42.75" customHeight="1" thickBot="1" x14ac:dyDescent="0.3">
      <c r="A25" s="852" t="s">
        <v>538</v>
      </c>
      <c r="B25" s="535" t="s">
        <v>361</v>
      </c>
      <c r="C25" s="853">
        <f>C255/1000000</f>
        <v>8.5008E-2</v>
      </c>
      <c r="D25" s="853">
        <f>D255/1000000</f>
        <v>7.9661999999999997E-2</v>
      </c>
      <c r="E25" s="854">
        <f>E255</f>
        <v>106.71085335542668</v>
      </c>
      <c r="F25" s="853">
        <f>F255/1000000</f>
        <v>5.5975999999999998E-2</v>
      </c>
      <c r="G25" s="853">
        <f>G255/1000000</f>
        <v>5.4640000000000001E-2</v>
      </c>
      <c r="H25" s="854">
        <f>H255</f>
        <v>102.44509516837481</v>
      </c>
      <c r="I25" s="853">
        <f>I255/1000000</f>
        <v>5.6251000000000002E-2</v>
      </c>
      <c r="J25" s="853">
        <f>J255/1000000</f>
        <v>4.9596000000000001E-2</v>
      </c>
      <c r="K25" s="854">
        <f>K255</f>
        <v>113.41842084039035</v>
      </c>
      <c r="L25" s="853">
        <f>L255/1000000</f>
        <v>0</v>
      </c>
      <c r="M25" s="856">
        <f>M255/1000000</f>
        <v>0</v>
      </c>
      <c r="N25" s="854" t="e">
        <f>N255</f>
        <v>#DIV/0!</v>
      </c>
    </row>
    <row r="26" spans="1:14" s="556" customFormat="1" ht="30" customHeight="1" thickBot="1" x14ac:dyDescent="0.3">
      <c r="A26" s="857">
        <v>2</v>
      </c>
      <c r="B26" s="462" t="s">
        <v>322</v>
      </c>
      <c r="C26" s="526">
        <f>C267/1000000</f>
        <v>20.653583158999997</v>
      </c>
      <c r="D26" s="526">
        <f>D267/1000000</f>
        <v>25.251722425000001</v>
      </c>
      <c r="E26" s="526">
        <f t="shared" ref="E26" si="4">C26/D26*100</f>
        <v>81.79078959996923</v>
      </c>
      <c r="F26" s="526">
        <f>F267/1000000</f>
        <v>20.653583158999997</v>
      </c>
      <c r="G26" s="526">
        <f>G267/1000000</f>
        <v>25.251722425000001</v>
      </c>
      <c r="H26" s="526">
        <f t="shared" ref="H26" si="5">F26/G26*100</f>
        <v>81.79078959996923</v>
      </c>
      <c r="I26" s="526">
        <f>I267/1000000</f>
        <v>20.653583158999997</v>
      </c>
      <c r="J26" s="526">
        <f>J267/1000000</f>
        <v>25.251722425000001</v>
      </c>
      <c r="K26" s="526">
        <f t="shared" ref="K26" si="6">I26/J26*100</f>
        <v>81.79078959996923</v>
      </c>
      <c r="L26" s="526">
        <f>L267/1000000</f>
        <v>0.75802230500000001</v>
      </c>
      <c r="M26" s="526">
        <f>M267/1000000</f>
        <v>2.4450895269999999</v>
      </c>
      <c r="N26" s="526">
        <f t="shared" ref="N26" si="7">L26/M26*100</f>
        <v>31.001822085838089</v>
      </c>
    </row>
    <row r="27" spans="1:14" s="556" customFormat="1" ht="27" customHeight="1" thickBot="1" x14ac:dyDescent="0.3">
      <c r="A27" s="857">
        <v>3</v>
      </c>
      <c r="B27" s="462" t="s">
        <v>321</v>
      </c>
      <c r="C27" s="558">
        <f>C287/1000000</f>
        <v>0.140872</v>
      </c>
      <c r="D27" s="558">
        <f>D287/1000000</f>
        <v>0.154669</v>
      </c>
      <c r="E27" s="529">
        <f>C27/D27*100</f>
        <v>91.079660436157212</v>
      </c>
      <c r="F27" s="559">
        <f>F287/1000000</f>
        <v>0.15395920000000002</v>
      </c>
      <c r="G27" s="559">
        <f>G287/1000000</f>
        <v>0.17772099999999999</v>
      </c>
      <c r="H27" s="529">
        <f>F27/G27*100</f>
        <v>86.629717365983765</v>
      </c>
      <c r="I27" s="558">
        <f>I287/1000000</f>
        <v>0.15395920000000002</v>
      </c>
      <c r="J27" s="558">
        <f>J287/1000000</f>
        <v>0.17772099999999999</v>
      </c>
      <c r="K27" s="529">
        <f>I27/J27*100</f>
        <v>86.629717365983765</v>
      </c>
      <c r="L27" s="558">
        <f>L287/1000000</f>
        <v>1.8164E-2</v>
      </c>
      <c r="M27" s="558">
        <f>M287/1000000</f>
        <v>3.0821999999999999E-2</v>
      </c>
      <c r="N27" s="529">
        <f>L27/M27*100</f>
        <v>58.931931737070919</v>
      </c>
    </row>
    <row r="28" spans="1:14" ht="33" customHeight="1" thickBot="1" x14ac:dyDescent="0.3">
      <c r="A28" s="460">
        <v>4</v>
      </c>
      <c r="B28" s="461" t="s">
        <v>517</v>
      </c>
      <c r="C28" s="477">
        <f>C295/1000000</f>
        <v>0</v>
      </c>
      <c r="D28" s="477">
        <f>D295/1000000</f>
        <v>0</v>
      </c>
      <c r="E28" s="533" t="e">
        <f>C28/D28*100</f>
        <v>#DIV/0!</v>
      </c>
      <c r="F28" s="477">
        <f>F295/1000000</f>
        <v>0</v>
      </c>
      <c r="G28" s="477">
        <f>G295/1000000</f>
        <v>0</v>
      </c>
      <c r="H28" s="533" t="e">
        <f>F28/G28*100</f>
        <v>#DIV/0!</v>
      </c>
      <c r="I28" s="477">
        <f>I295/1000000</f>
        <v>0</v>
      </c>
      <c r="J28" s="477">
        <f>J295/1000000</f>
        <v>0</v>
      </c>
      <c r="K28" s="533" t="e">
        <f>I28/J28*100</f>
        <v>#DIV/0!</v>
      </c>
      <c r="L28" s="459">
        <f>L295</f>
        <v>0</v>
      </c>
      <c r="M28" s="459">
        <f>M295</f>
        <v>0</v>
      </c>
      <c r="N28" s="410">
        <v>0</v>
      </c>
    </row>
    <row r="29" spans="1:14" ht="68.25" customHeight="1" x14ac:dyDescent="0.25"/>
    <row r="30" spans="1:14" x14ac:dyDescent="0.25">
      <c r="A30" s="941" t="s">
        <v>830</v>
      </c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s="560" customFormat="1" ht="21.75" customHeight="1" thickBot="1" x14ac:dyDescent="0.3">
      <c r="A31" s="1076"/>
      <c r="B31" s="1076"/>
      <c r="C31" s="1076"/>
      <c r="D31" s="1076"/>
      <c r="E31" s="1076"/>
      <c r="F31" s="1076"/>
      <c r="G31" s="1076"/>
      <c r="H31" s="1076"/>
      <c r="I31" s="1076"/>
      <c r="J31" s="1076"/>
      <c r="K31" s="1076"/>
      <c r="L31" s="1076"/>
      <c r="M31" s="1076"/>
      <c r="N31" s="1076"/>
    </row>
    <row r="32" spans="1:14" x14ac:dyDescent="0.25">
      <c r="A32" s="1037" t="s">
        <v>1</v>
      </c>
      <c r="B32" s="1023" t="s">
        <v>338</v>
      </c>
      <c r="C32" s="1040" t="s">
        <v>3</v>
      </c>
      <c r="D32" s="1041"/>
      <c r="E32" s="1041"/>
      <c r="F32" s="1041"/>
      <c r="G32" s="1042"/>
      <c r="H32" s="1040" t="s">
        <v>4</v>
      </c>
      <c r="I32" s="1041"/>
      <c r="J32" s="1041"/>
      <c r="K32" s="1042"/>
      <c r="L32" s="484"/>
      <c r="M32" s="484" t="s">
        <v>5</v>
      </c>
      <c r="N32" s="484"/>
    </row>
    <row r="33" spans="1:16" ht="87" customHeight="1" thickBot="1" x14ac:dyDescent="0.3">
      <c r="A33" s="1038"/>
      <c r="B33" s="1039"/>
      <c r="C33" s="486" t="s">
        <v>825</v>
      </c>
      <c r="D33" s="873" t="s">
        <v>826</v>
      </c>
      <c r="E33" s="486" t="s">
        <v>323</v>
      </c>
      <c r="F33" s="486" t="s">
        <v>827</v>
      </c>
      <c r="G33" s="873" t="s">
        <v>826</v>
      </c>
      <c r="H33" s="486" t="s">
        <v>323</v>
      </c>
      <c r="I33" s="486" t="s">
        <v>828</v>
      </c>
      <c r="J33" s="873" t="s">
        <v>826</v>
      </c>
      <c r="K33" s="486" t="s">
        <v>323</v>
      </c>
      <c r="L33" s="486" t="s">
        <v>828</v>
      </c>
      <c r="M33" s="873" t="s">
        <v>826</v>
      </c>
      <c r="N33" s="486" t="s">
        <v>323</v>
      </c>
    </row>
    <row r="34" spans="1:16" ht="15.75" customHeight="1" thickBot="1" x14ac:dyDescent="0.3">
      <c r="A34" s="487">
        <v>1</v>
      </c>
      <c r="B34" s="488">
        <v>2</v>
      </c>
      <c r="C34" s="488">
        <v>3</v>
      </c>
      <c r="D34" s="600">
        <v>4</v>
      </c>
      <c r="E34" s="490">
        <v>5</v>
      </c>
      <c r="F34" s="489">
        <v>6</v>
      </c>
      <c r="G34" s="489">
        <v>7</v>
      </c>
      <c r="H34" s="489">
        <v>8</v>
      </c>
      <c r="I34" s="489">
        <v>9</v>
      </c>
      <c r="J34" s="489">
        <v>10</v>
      </c>
      <c r="K34" s="489">
        <v>11</v>
      </c>
      <c r="L34" s="489">
        <v>12</v>
      </c>
      <c r="M34" s="489">
        <v>13</v>
      </c>
      <c r="N34" s="489">
        <v>14</v>
      </c>
    </row>
    <row r="35" spans="1:16" ht="15" customHeight="1" x14ac:dyDescent="0.25">
      <c r="A35" s="1043" t="s">
        <v>741</v>
      </c>
      <c r="B35" s="1044" t="s">
        <v>78</v>
      </c>
      <c r="C35" s="464">
        <f>C36+C56+C70</f>
        <v>291780</v>
      </c>
      <c r="D35" s="464">
        <f>D36+D56+D70</f>
        <v>203865</v>
      </c>
      <c r="E35" s="465">
        <f>C35/D35*100</f>
        <v>143.12412626002501</v>
      </c>
      <c r="F35" s="464">
        <f>F36+F56+F70</f>
        <v>291780</v>
      </c>
      <c r="G35" s="464">
        <f>G36+G56+G70</f>
        <v>203865</v>
      </c>
      <c r="H35" s="465">
        <f>F35/G35*100</f>
        <v>143.12412626002501</v>
      </c>
      <c r="I35" s="464">
        <f>I36+I56+I70</f>
        <v>255018</v>
      </c>
      <c r="J35" s="464">
        <f>J36+J56+J70</f>
        <v>124453</v>
      </c>
      <c r="K35" s="465">
        <f>I35/J35*100</f>
        <v>204.91109093392686</v>
      </c>
      <c r="L35" s="464">
        <f>L36+L56+L70</f>
        <v>145746</v>
      </c>
      <c r="M35" s="464">
        <f>M36+M56+M70</f>
        <v>9473</v>
      </c>
      <c r="N35" s="465">
        <f>L35/M35*100</f>
        <v>1538.5411168584396</v>
      </c>
    </row>
    <row r="36" spans="1:16" ht="17.25" x14ac:dyDescent="0.25">
      <c r="A36" s="1033" t="s">
        <v>740</v>
      </c>
      <c r="B36" s="1034"/>
      <c r="C36" s="254">
        <f>SUM(C37:C54)</f>
        <v>60678</v>
      </c>
      <c r="D36" s="254">
        <f>SUM(D37:D54)</f>
        <v>56749</v>
      </c>
      <c r="E36" s="452">
        <f>C36/D36*100</f>
        <v>106.92347001709281</v>
      </c>
      <c r="F36" s="254">
        <f>SUM(F37:F54)</f>
        <v>60678</v>
      </c>
      <c r="G36" s="254">
        <f>SUM(G37:G54)</f>
        <v>56749</v>
      </c>
      <c r="H36" s="254">
        <f>F36/G36*100</f>
        <v>106.92347001709281</v>
      </c>
      <c r="I36" s="254">
        <f>SUM(I37:I54)</f>
        <v>86279</v>
      </c>
      <c r="J36" s="254">
        <f>SUM(J37:J54)</f>
        <v>37188</v>
      </c>
      <c r="K36" s="254">
        <f>I36/J36*100</f>
        <v>232.00763687210929</v>
      </c>
      <c r="L36" s="254">
        <f>SUM(L37:L54)</f>
        <v>37839</v>
      </c>
      <c r="M36" s="254">
        <f>SUM(M37:M54)</f>
        <v>0</v>
      </c>
      <c r="N36" s="254" t="e">
        <f>L36/M36*100</f>
        <v>#DIV/0!</v>
      </c>
    </row>
    <row r="37" spans="1:16" ht="18" thickBot="1" x14ac:dyDescent="0.3">
      <c r="A37" s="253">
        <v>1</v>
      </c>
      <c r="B37" s="544" t="s">
        <v>577</v>
      </c>
      <c r="C37" s="247">
        <v>10762</v>
      </c>
      <c r="D37" s="600">
        <v>7705</v>
      </c>
      <c r="E37" s="425">
        <f>C37/D37*100</f>
        <v>139.67553536664502</v>
      </c>
      <c r="F37" s="247">
        <v>10762</v>
      </c>
      <c r="G37" s="247">
        <v>7705</v>
      </c>
      <c r="H37" s="425">
        <f>F37/G37*100</f>
        <v>139.67553536664502</v>
      </c>
      <c r="I37" s="247">
        <v>345</v>
      </c>
      <c r="J37" s="247">
        <v>1121</v>
      </c>
      <c r="K37" s="425">
        <f>I37/J37*100</f>
        <v>30.776092774308655</v>
      </c>
      <c r="L37" s="247">
        <v>0</v>
      </c>
      <c r="M37" s="247">
        <v>0</v>
      </c>
      <c r="N37" s="425" t="e">
        <f>L37/M37*100</f>
        <v>#DIV/0!</v>
      </c>
      <c r="O37" s="126">
        <v>71</v>
      </c>
      <c r="P37" s="126">
        <v>118</v>
      </c>
    </row>
    <row r="38" spans="1:16" s="806" customFormat="1" ht="17.25" x14ac:dyDescent="0.25">
      <c r="A38" s="793">
        <v>2</v>
      </c>
      <c r="B38" s="665" t="s">
        <v>578</v>
      </c>
      <c r="C38" s="666">
        <v>500</v>
      </c>
      <c r="D38" s="666">
        <v>12365</v>
      </c>
      <c r="E38" s="667">
        <f t="shared" ref="E38:E54" si="8">C38/D38*100</f>
        <v>4.0436716538617068</v>
      </c>
      <c r="F38" s="666">
        <v>500</v>
      </c>
      <c r="G38" s="666">
        <v>12365</v>
      </c>
      <c r="H38" s="667">
        <f t="shared" ref="H38:H54" si="9">F38/G38*100</f>
        <v>4.0436716538617068</v>
      </c>
      <c r="I38" s="666">
        <v>500</v>
      </c>
      <c r="J38" s="666">
        <v>12365</v>
      </c>
      <c r="K38" s="667">
        <f t="shared" ref="K38:K54" si="10">I38/J38*100</f>
        <v>4.0436716538617068</v>
      </c>
      <c r="L38" s="666">
        <v>0</v>
      </c>
      <c r="M38" s="666">
        <v>0</v>
      </c>
      <c r="N38" s="667" t="e">
        <f t="shared" ref="N38:N54" si="11">L38/M38*100</f>
        <v>#DIV/0!</v>
      </c>
      <c r="O38" s="806">
        <v>57</v>
      </c>
      <c r="P38" s="806">
        <v>211</v>
      </c>
    </row>
    <row r="39" spans="1:16" ht="17.25" x14ac:dyDescent="0.25">
      <c r="A39" s="253">
        <v>3</v>
      </c>
      <c r="B39" s="544" t="s">
        <v>579</v>
      </c>
      <c r="C39" s="247">
        <v>0</v>
      </c>
      <c r="D39" s="247">
        <v>0</v>
      </c>
      <c r="E39" s="425" t="e">
        <f t="shared" si="8"/>
        <v>#DIV/0!</v>
      </c>
      <c r="F39" s="247">
        <v>0</v>
      </c>
      <c r="G39" s="247">
        <v>0</v>
      </c>
      <c r="H39" s="425" t="e">
        <f t="shared" si="9"/>
        <v>#DIV/0!</v>
      </c>
      <c r="I39" s="247">
        <v>2892</v>
      </c>
      <c r="J39" s="247">
        <v>0</v>
      </c>
      <c r="K39" s="425" t="e">
        <f t="shared" si="10"/>
        <v>#DIV/0!</v>
      </c>
      <c r="L39" s="247">
        <v>0</v>
      </c>
      <c r="M39" s="247">
        <v>0</v>
      </c>
      <c r="N39" s="425" t="e">
        <f t="shared" si="11"/>
        <v>#DIV/0!</v>
      </c>
      <c r="O39" s="126">
        <v>12</v>
      </c>
      <c r="P39" s="126">
        <v>90</v>
      </c>
    </row>
    <row r="40" spans="1:16" ht="34.5" x14ac:dyDescent="0.25">
      <c r="A40" s="253">
        <v>4</v>
      </c>
      <c r="B40" s="544" t="s">
        <v>580</v>
      </c>
      <c r="C40" s="247">
        <v>0</v>
      </c>
      <c r="D40" s="247">
        <v>0</v>
      </c>
      <c r="E40" s="425" t="e">
        <f t="shared" si="8"/>
        <v>#DIV/0!</v>
      </c>
      <c r="F40" s="247">
        <v>0</v>
      </c>
      <c r="G40" s="247">
        <v>0</v>
      </c>
      <c r="H40" s="425" t="e">
        <f t="shared" si="9"/>
        <v>#DIV/0!</v>
      </c>
      <c r="I40" s="247">
        <v>0</v>
      </c>
      <c r="J40" s="247">
        <v>0</v>
      </c>
      <c r="K40" s="425" t="e">
        <f t="shared" si="10"/>
        <v>#DIV/0!</v>
      </c>
      <c r="L40" s="247">
        <v>0</v>
      </c>
      <c r="M40" s="247">
        <v>0</v>
      </c>
      <c r="N40" s="425" t="e">
        <f t="shared" si="11"/>
        <v>#DIV/0!</v>
      </c>
      <c r="O40" s="126">
        <v>13</v>
      </c>
      <c r="P40" s="126">
        <v>60</v>
      </c>
    </row>
    <row r="41" spans="1:16" ht="34.5" x14ac:dyDescent="0.25">
      <c r="A41" s="253">
        <v>5</v>
      </c>
      <c r="B41" s="544" t="s">
        <v>581</v>
      </c>
      <c r="C41" s="247">
        <v>3806</v>
      </c>
      <c r="D41" s="247">
        <v>511</v>
      </c>
      <c r="E41" s="425">
        <f t="shared" si="8"/>
        <v>744.81409001956945</v>
      </c>
      <c r="F41" s="247">
        <v>3806</v>
      </c>
      <c r="G41" s="247">
        <v>511</v>
      </c>
      <c r="H41" s="425">
        <f t="shared" si="9"/>
        <v>744.81409001956945</v>
      </c>
      <c r="I41" s="247">
        <v>3938</v>
      </c>
      <c r="J41" s="247">
        <v>916</v>
      </c>
      <c r="K41" s="425">
        <f t="shared" si="10"/>
        <v>429.91266375545854</v>
      </c>
      <c r="L41" s="247">
        <v>0</v>
      </c>
      <c r="M41" s="247">
        <v>0</v>
      </c>
      <c r="N41" s="425" t="e">
        <f t="shared" si="11"/>
        <v>#DIV/0!</v>
      </c>
      <c r="O41" s="126">
        <v>50</v>
      </c>
      <c r="P41" s="126">
        <v>65</v>
      </c>
    </row>
    <row r="42" spans="1:16" ht="17.25" x14ac:dyDescent="0.25">
      <c r="A42" s="253">
        <v>6</v>
      </c>
      <c r="B42" s="544" t="s">
        <v>582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733</v>
      </c>
      <c r="J42" s="247">
        <v>3763</v>
      </c>
      <c r="K42" s="425">
        <f t="shared" si="10"/>
        <v>19.479138984852511</v>
      </c>
      <c r="L42" s="282">
        <v>0</v>
      </c>
      <c r="M42" s="247">
        <v>0</v>
      </c>
      <c r="N42" s="425" t="e">
        <f t="shared" si="11"/>
        <v>#DIV/0!</v>
      </c>
      <c r="O42" s="126">
        <v>64</v>
      </c>
      <c r="P42" s="126">
        <v>85</v>
      </c>
    </row>
    <row r="43" spans="1:16" ht="17.25" x14ac:dyDescent="0.25">
      <c r="A43" s="253">
        <v>7</v>
      </c>
      <c r="B43" s="544" t="s">
        <v>583</v>
      </c>
      <c r="C43" s="247">
        <v>0</v>
      </c>
      <c r="D43" s="247">
        <v>0</v>
      </c>
      <c r="E43" s="425" t="e">
        <f t="shared" si="8"/>
        <v>#DIV/0!</v>
      </c>
      <c r="F43" s="247">
        <v>0</v>
      </c>
      <c r="G43" s="247">
        <v>0</v>
      </c>
      <c r="H43" s="425" t="e">
        <f t="shared" si="9"/>
        <v>#DIV/0!</v>
      </c>
      <c r="I43" s="247">
        <v>0</v>
      </c>
      <c r="J43" s="247">
        <v>0</v>
      </c>
      <c r="K43" s="425" t="e">
        <f t="shared" si="10"/>
        <v>#DIV/0!</v>
      </c>
      <c r="L43" s="247">
        <v>0</v>
      </c>
      <c r="M43" s="247">
        <v>0</v>
      </c>
      <c r="N43" s="425" t="e">
        <f t="shared" si="11"/>
        <v>#DIV/0!</v>
      </c>
      <c r="O43" s="126">
        <v>0</v>
      </c>
      <c r="P43" s="126">
        <v>0</v>
      </c>
    </row>
    <row r="44" spans="1:16" ht="51.75" x14ac:dyDescent="0.25">
      <c r="A44" s="253">
        <v>8</v>
      </c>
      <c r="B44" s="544" t="s">
        <v>584</v>
      </c>
      <c r="C44" s="247">
        <v>7965</v>
      </c>
      <c r="D44" s="247">
        <v>16662</v>
      </c>
      <c r="E44" s="425">
        <f t="shared" si="8"/>
        <v>47.803384947785382</v>
      </c>
      <c r="F44" s="247">
        <v>7965</v>
      </c>
      <c r="G44" s="247">
        <v>16662</v>
      </c>
      <c r="H44" s="425">
        <f t="shared" si="9"/>
        <v>47.803384947785382</v>
      </c>
      <c r="I44" s="247">
        <v>6451</v>
      </c>
      <c r="J44" s="247">
        <v>15340</v>
      </c>
      <c r="K44" s="425">
        <f t="shared" si="10"/>
        <v>42.053455019556715</v>
      </c>
      <c r="L44" s="247">
        <v>0</v>
      </c>
      <c r="M44" s="247">
        <v>0</v>
      </c>
      <c r="N44" s="425" t="e">
        <f t="shared" si="11"/>
        <v>#DIV/0!</v>
      </c>
      <c r="O44" s="126">
        <v>38</v>
      </c>
      <c r="P44" s="126">
        <v>128</v>
      </c>
    </row>
    <row r="45" spans="1:16" ht="17.25" x14ac:dyDescent="0.25">
      <c r="A45" s="253">
        <v>9</v>
      </c>
      <c r="B45" s="544" t="s">
        <v>585</v>
      </c>
      <c r="C45" s="247">
        <v>10166</v>
      </c>
      <c r="D45" s="247">
        <v>7871</v>
      </c>
      <c r="E45" s="425">
        <f t="shared" si="8"/>
        <v>129.15766738660906</v>
      </c>
      <c r="F45" s="247">
        <v>10166</v>
      </c>
      <c r="G45" s="247">
        <v>7871</v>
      </c>
      <c r="H45" s="425">
        <f t="shared" si="9"/>
        <v>129.15766738660906</v>
      </c>
      <c r="I45" s="247">
        <v>10435</v>
      </c>
      <c r="J45" s="247">
        <v>0</v>
      </c>
      <c r="K45" s="425" t="e">
        <f t="shared" si="10"/>
        <v>#DIV/0!</v>
      </c>
      <c r="L45" s="247">
        <v>0</v>
      </c>
      <c r="M45" s="247">
        <v>0</v>
      </c>
      <c r="N45" s="425" t="e">
        <f t="shared" si="11"/>
        <v>#DIV/0!</v>
      </c>
      <c r="O45" s="126">
        <v>52</v>
      </c>
      <c r="P45" s="126">
        <v>130</v>
      </c>
    </row>
    <row r="46" spans="1:16" ht="17.25" x14ac:dyDescent="0.25">
      <c r="A46" s="253">
        <v>10</v>
      </c>
      <c r="B46" s="544" t="s">
        <v>381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 t="shared" si="9"/>
        <v>#DIV/0!</v>
      </c>
      <c r="I46" s="247">
        <v>37889</v>
      </c>
      <c r="J46" s="247">
        <v>1458</v>
      </c>
      <c r="K46" s="425">
        <f t="shared" si="10"/>
        <v>2598.6968449931414</v>
      </c>
      <c r="L46" s="247">
        <v>37839</v>
      </c>
      <c r="M46" s="247">
        <v>0</v>
      </c>
      <c r="N46" s="425" t="e">
        <f t="shared" si="11"/>
        <v>#DIV/0!</v>
      </c>
      <c r="O46" s="126">
        <v>92</v>
      </c>
      <c r="P46" s="126">
        <v>84</v>
      </c>
    </row>
    <row r="47" spans="1:16" ht="17.25" x14ac:dyDescent="0.25">
      <c r="A47" s="253">
        <v>11</v>
      </c>
      <c r="B47" s="544" t="s">
        <v>586</v>
      </c>
      <c r="C47" s="247">
        <v>0</v>
      </c>
      <c r="D47" s="247">
        <v>0</v>
      </c>
      <c r="E47" s="425" t="e">
        <f t="shared" si="8"/>
        <v>#DIV/0!</v>
      </c>
      <c r="F47" s="247">
        <v>0</v>
      </c>
      <c r="G47" s="247">
        <v>0</v>
      </c>
      <c r="H47" s="425" t="e">
        <f>F47/G47*100</f>
        <v>#DIV/0!</v>
      </c>
      <c r="I47" s="247">
        <v>0</v>
      </c>
      <c r="J47" s="247">
        <v>0</v>
      </c>
      <c r="K47" s="425" t="e">
        <f t="shared" si="10"/>
        <v>#DIV/0!</v>
      </c>
      <c r="L47" s="247">
        <v>0</v>
      </c>
      <c r="M47" s="247">
        <v>0</v>
      </c>
      <c r="N47" s="425" t="e">
        <f t="shared" si="11"/>
        <v>#DIV/0!</v>
      </c>
      <c r="O47" s="126">
        <v>0</v>
      </c>
      <c r="P47" s="126">
        <v>0</v>
      </c>
    </row>
    <row r="48" spans="1:16" ht="17.25" x14ac:dyDescent="0.25">
      <c r="A48" s="664">
        <v>12</v>
      </c>
      <c r="B48" s="665" t="s">
        <v>587</v>
      </c>
      <c r="C48" s="247">
        <v>0</v>
      </c>
      <c r="D48" s="247">
        <v>0</v>
      </c>
      <c r="E48" s="425" t="e">
        <f t="shared" si="8"/>
        <v>#DIV/0!</v>
      </c>
      <c r="F48" s="247">
        <v>0</v>
      </c>
      <c r="G48" s="247">
        <v>0</v>
      </c>
      <c r="H48" s="425" t="e">
        <f>F48/G48*100</f>
        <v>#DIV/0!</v>
      </c>
      <c r="I48" s="247">
        <v>0</v>
      </c>
      <c r="J48" s="247">
        <v>0</v>
      </c>
      <c r="K48" s="425" t="e">
        <f t="shared" si="10"/>
        <v>#DIV/0!</v>
      </c>
      <c r="L48" s="247">
        <v>0</v>
      </c>
      <c r="M48" s="247">
        <v>0</v>
      </c>
      <c r="N48" s="425" t="e">
        <f t="shared" si="11"/>
        <v>#DIV/0!</v>
      </c>
      <c r="O48" s="126">
        <v>22</v>
      </c>
      <c r="P48" s="126">
        <v>121</v>
      </c>
    </row>
    <row r="49" spans="1:16" ht="34.5" x14ac:dyDescent="0.25">
      <c r="A49" s="664">
        <v>13</v>
      </c>
      <c r="B49" s="665" t="s">
        <v>588</v>
      </c>
      <c r="C49" s="247">
        <v>19885</v>
      </c>
      <c r="D49" s="247">
        <v>9885</v>
      </c>
      <c r="E49" s="425">
        <f t="shared" si="8"/>
        <v>201.16337885685383</v>
      </c>
      <c r="F49" s="247">
        <v>19885</v>
      </c>
      <c r="G49" s="247">
        <v>9885</v>
      </c>
      <c r="H49" s="425">
        <f>F49/G49*100</f>
        <v>201.16337885685383</v>
      </c>
      <c r="I49" s="247">
        <v>15324</v>
      </c>
      <c r="J49" s="247">
        <v>1000</v>
      </c>
      <c r="K49" s="425">
        <f t="shared" si="10"/>
        <v>1532.4</v>
      </c>
      <c r="L49" s="247">
        <v>0</v>
      </c>
      <c r="M49" s="247">
        <v>0</v>
      </c>
      <c r="N49" s="425" t="e">
        <f t="shared" si="11"/>
        <v>#DIV/0!</v>
      </c>
      <c r="O49" s="126">
        <v>44</v>
      </c>
      <c r="P49" s="126">
        <v>150</v>
      </c>
    </row>
    <row r="50" spans="1:16" ht="17.25" x14ac:dyDescent="0.25">
      <c r="A50" s="664">
        <v>14</v>
      </c>
      <c r="B50" s="665" t="s">
        <v>589</v>
      </c>
      <c r="C50" s="247">
        <v>431</v>
      </c>
      <c r="D50" s="247">
        <v>1750</v>
      </c>
      <c r="E50" s="425">
        <f t="shared" si="8"/>
        <v>24.628571428571426</v>
      </c>
      <c r="F50" s="247">
        <v>431</v>
      </c>
      <c r="G50" s="247">
        <v>1750</v>
      </c>
      <c r="H50" s="425">
        <f t="shared" si="9"/>
        <v>24.628571428571426</v>
      </c>
      <c r="I50" s="247">
        <v>609</v>
      </c>
      <c r="J50" s="247">
        <v>1225</v>
      </c>
      <c r="K50" s="425">
        <f t="shared" si="10"/>
        <v>49.714285714285715</v>
      </c>
      <c r="L50" s="247">
        <v>0</v>
      </c>
      <c r="M50" s="247">
        <v>0</v>
      </c>
      <c r="N50" s="425" t="e">
        <f t="shared" si="11"/>
        <v>#DIV/0!</v>
      </c>
      <c r="O50" s="126">
        <v>14</v>
      </c>
      <c r="P50" s="126">
        <v>80</v>
      </c>
    </row>
    <row r="51" spans="1:16" ht="17.25" x14ac:dyDescent="0.25">
      <c r="A51" s="664">
        <v>15</v>
      </c>
      <c r="B51" s="665" t="s">
        <v>760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16</v>
      </c>
      <c r="B52" s="544" t="s">
        <v>591</v>
      </c>
      <c r="C52" s="247">
        <v>0</v>
      </c>
      <c r="D52" s="247">
        <v>0</v>
      </c>
      <c r="E52" s="425" t="e">
        <f t="shared" si="8"/>
        <v>#DIV/0!</v>
      </c>
      <c r="F52" s="247">
        <v>0</v>
      </c>
      <c r="G52" s="247">
        <v>0</v>
      </c>
      <c r="H52" s="425" t="e">
        <f t="shared" si="9"/>
        <v>#DIV/0!</v>
      </c>
      <c r="I52" s="247">
        <v>0</v>
      </c>
      <c r="J52" s="247">
        <v>0</v>
      </c>
      <c r="K52" s="425" t="e">
        <f t="shared" si="10"/>
        <v>#DIV/0!</v>
      </c>
      <c r="L52" s="247">
        <v>0</v>
      </c>
      <c r="M52" s="247">
        <v>0</v>
      </c>
      <c r="N52" s="425" t="e">
        <f t="shared" si="11"/>
        <v>#DIV/0!</v>
      </c>
      <c r="O52" s="126">
        <v>0</v>
      </c>
      <c r="P52" s="126">
        <v>0</v>
      </c>
    </row>
    <row r="53" spans="1:16" ht="17.25" x14ac:dyDescent="0.25">
      <c r="A53" s="253">
        <v>17</v>
      </c>
      <c r="B53" s="544" t="s">
        <v>761</v>
      </c>
      <c r="C53" s="247">
        <v>7163</v>
      </c>
      <c r="D53" s="247">
        <v>0</v>
      </c>
      <c r="E53" s="425" t="e">
        <f t="shared" si="8"/>
        <v>#DIV/0!</v>
      </c>
      <c r="F53" s="247">
        <v>7163</v>
      </c>
      <c r="G53" s="247">
        <v>0</v>
      </c>
      <c r="H53" s="425" t="e">
        <f t="shared" si="9"/>
        <v>#DIV/0!</v>
      </c>
      <c r="I53" s="247">
        <v>7163</v>
      </c>
      <c r="J53" s="247">
        <v>0</v>
      </c>
      <c r="K53" s="425" t="e">
        <f t="shared" si="10"/>
        <v>#DIV/0!</v>
      </c>
      <c r="L53" s="247">
        <v>0</v>
      </c>
      <c r="M53" s="247">
        <v>0</v>
      </c>
      <c r="N53" s="425" t="e">
        <f t="shared" si="11"/>
        <v>#DIV/0!</v>
      </c>
      <c r="O53" s="126">
        <v>4</v>
      </c>
      <c r="P53" s="126">
        <v>66</v>
      </c>
    </row>
    <row r="54" spans="1:16" s="668" customFormat="1" ht="17.25" x14ac:dyDescent="0.25">
      <c r="A54" s="664">
        <v>18</v>
      </c>
      <c r="B54" s="665" t="s">
        <v>593</v>
      </c>
      <c r="C54" s="666">
        <v>0</v>
      </c>
      <c r="D54" s="666">
        <v>0</v>
      </c>
      <c r="E54" s="667" t="e">
        <f t="shared" si="8"/>
        <v>#DIV/0!</v>
      </c>
      <c r="F54" s="666">
        <v>0</v>
      </c>
      <c r="G54" s="666">
        <v>0</v>
      </c>
      <c r="H54" s="667" t="e">
        <f t="shared" si="9"/>
        <v>#DIV/0!</v>
      </c>
      <c r="I54" s="666">
        <v>0</v>
      </c>
      <c r="J54" s="666">
        <v>0</v>
      </c>
      <c r="K54" s="667" t="e">
        <f t="shared" si="10"/>
        <v>#DIV/0!</v>
      </c>
      <c r="L54" s="666">
        <v>0</v>
      </c>
      <c r="M54" s="666">
        <v>0</v>
      </c>
      <c r="N54" s="667" t="e">
        <f t="shared" si="11"/>
        <v>#DIV/0!</v>
      </c>
      <c r="P54" s="668">
        <v>87</v>
      </c>
    </row>
    <row r="55" spans="1:16" s="561" customFormat="1" x14ac:dyDescent="0.25"/>
    <row r="56" spans="1:16" ht="17.25" x14ac:dyDescent="0.25">
      <c r="A56" s="1033" t="s">
        <v>739</v>
      </c>
      <c r="B56" s="1034"/>
      <c r="C56" s="450">
        <f>SUM(C57:C68)</f>
        <v>164444</v>
      </c>
      <c r="D56" s="450">
        <f>SUM(D57:D68)</f>
        <v>63759</v>
      </c>
      <c r="E56" s="453">
        <f>C56/D56*100</f>
        <v>257.91496102511019</v>
      </c>
      <c r="F56" s="450">
        <f>SUM(F57:F68)</f>
        <v>164444</v>
      </c>
      <c r="G56" s="450">
        <f>SUM(G57:G68)</f>
        <v>63759</v>
      </c>
      <c r="H56" s="453">
        <f>F56/G56*100</f>
        <v>257.91496102511019</v>
      </c>
      <c r="I56" s="450">
        <f>SUM(I57:I68)</f>
        <v>98396</v>
      </c>
      <c r="J56" s="450">
        <f>SUM(J57:J68)</f>
        <v>57497</v>
      </c>
      <c r="K56" s="453">
        <f>I56/J56*100</f>
        <v>171.13240690818651</v>
      </c>
      <c r="L56" s="450">
        <f>SUM(L57:L68)</f>
        <v>75856</v>
      </c>
      <c r="M56" s="450">
        <f>SUM(M57:M68)</f>
        <v>9473</v>
      </c>
      <c r="N56" s="453">
        <f>L56/M56*100</f>
        <v>800.7600548928533</v>
      </c>
    </row>
    <row r="57" spans="1:16" ht="17.25" x14ac:dyDescent="0.25">
      <c r="A57" s="253">
        <v>1</v>
      </c>
      <c r="B57" s="544" t="s">
        <v>594</v>
      </c>
      <c r="C57" s="247">
        <v>0</v>
      </c>
      <c r="D57" s="247">
        <v>0</v>
      </c>
      <c r="E57" s="425" t="e">
        <f t="shared" ref="E57:E65" si="12">C57/D57*100</f>
        <v>#DIV/0!</v>
      </c>
      <c r="F57" s="247">
        <v>0</v>
      </c>
      <c r="G57" s="247">
        <v>0</v>
      </c>
      <c r="H57" s="425" t="e">
        <f t="shared" ref="H57:H68" si="13">F57/G57*100</f>
        <v>#DIV/0!</v>
      </c>
      <c r="I57" s="247">
        <v>0</v>
      </c>
      <c r="J57" s="247">
        <v>0</v>
      </c>
      <c r="K57" s="425" t="e">
        <f t="shared" ref="K57:K68" si="14">I57/J57*100</f>
        <v>#DIV/0!</v>
      </c>
      <c r="L57" s="247">
        <v>0</v>
      </c>
      <c r="M57" s="247">
        <v>0</v>
      </c>
      <c r="N57" s="247" t="e">
        <f t="shared" ref="N57:N68" si="15">L57/M57*100</f>
        <v>#DIV/0!</v>
      </c>
      <c r="O57" s="126">
        <v>138</v>
      </c>
      <c r="P57" s="126">
        <v>94</v>
      </c>
    </row>
    <row r="58" spans="1:16" ht="17.25" x14ac:dyDescent="0.25">
      <c r="A58" s="253">
        <v>2</v>
      </c>
      <c r="B58" s="544" t="s">
        <v>595</v>
      </c>
      <c r="C58" s="247">
        <v>0</v>
      </c>
      <c r="D58" s="247">
        <v>4923</v>
      </c>
      <c r="E58" s="425">
        <f t="shared" si="12"/>
        <v>0</v>
      </c>
      <c r="F58" s="247">
        <v>0</v>
      </c>
      <c r="G58" s="247">
        <v>4923</v>
      </c>
      <c r="H58" s="425">
        <f t="shared" si="13"/>
        <v>0</v>
      </c>
      <c r="I58" s="247">
        <v>206</v>
      </c>
      <c r="J58" s="247">
        <v>3992</v>
      </c>
      <c r="K58" s="425">
        <f t="shared" si="14"/>
        <v>5.1603206412825653</v>
      </c>
      <c r="L58" s="247">
        <v>0</v>
      </c>
      <c r="M58" s="247">
        <v>0</v>
      </c>
      <c r="N58" s="247" t="e">
        <f t="shared" si="15"/>
        <v>#DIV/0!</v>
      </c>
      <c r="O58" s="126">
        <v>97</v>
      </c>
      <c r="P58" s="126">
        <v>105</v>
      </c>
    </row>
    <row r="59" spans="1:16" ht="17.25" x14ac:dyDescent="0.25">
      <c r="A59" s="253">
        <v>3</v>
      </c>
      <c r="B59" s="544" t="s">
        <v>596</v>
      </c>
      <c r="C59" s="247">
        <v>3397</v>
      </c>
      <c r="D59" s="247">
        <v>11004</v>
      </c>
      <c r="E59" s="425">
        <f t="shared" si="12"/>
        <v>30.870592511813889</v>
      </c>
      <c r="F59" s="247">
        <v>3397</v>
      </c>
      <c r="G59" s="247">
        <v>11004</v>
      </c>
      <c r="H59" s="425">
        <f t="shared" si="13"/>
        <v>30.870592511813889</v>
      </c>
      <c r="I59" s="247">
        <v>3397</v>
      </c>
      <c r="J59" s="247">
        <v>11004</v>
      </c>
      <c r="K59" s="425">
        <f t="shared" si="14"/>
        <v>30.870592511813889</v>
      </c>
      <c r="L59" s="247">
        <v>0</v>
      </c>
      <c r="M59" s="247">
        <v>0</v>
      </c>
      <c r="N59" s="247" t="e">
        <f t="shared" si="15"/>
        <v>#DIV/0!</v>
      </c>
      <c r="O59" s="126">
        <v>89</v>
      </c>
      <c r="P59" s="126">
        <v>130</v>
      </c>
    </row>
    <row r="60" spans="1:16" ht="17.25" x14ac:dyDescent="0.25">
      <c r="A60" s="253">
        <v>4</v>
      </c>
      <c r="B60" s="544" t="s">
        <v>597</v>
      </c>
      <c r="C60" s="247">
        <v>15970</v>
      </c>
      <c r="D60" s="247">
        <v>11665</v>
      </c>
      <c r="E60" s="425">
        <f t="shared" si="12"/>
        <v>136.90527218174026</v>
      </c>
      <c r="F60" s="247">
        <v>15970</v>
      </c>
      <c r="G60" s="247">
        <v>11665</v>
      </c>
      <c r="H60" s="425">
        <f t="shared" si="13"/>
        <v>136.90527218174026</v>
      </c>
      <c r="I60" s="247">
        <v>15970</v>
      </c>
      <c r="J60" s="247">
        <v>11665</v>
      </c>
      <c r="K60" s="425">
        <f t="shared" si="14"/>
        <v>136.90527218174026</v>
      </c>
      <c r="L60" s="247">
        <v>0</v>
      </c>
      <c r="M60" s="247">
        <v>0</v>
      </c>
      <c r="N60" s="247" t="e">
        <f t="shared" si="15"/>
        <v>#DIV/0!</v>
      </c>
      <c r="O60" s="126">
        <v>68</v>
      </c>
      <c r="P60" s="126">
        <v>71</v>
      </c>
    </row>
    <row r="61" spans="1:16" ht="17.25" x14ac:dyDescent="0.25">
      <c r="A61" s="253">
        <v>5</v>
      </c>
      <c r="B61" s="544" t="s">
        <v>598</v>
      </c>
      <c r="C61" s="247">
        <v>0</v>
      </c>
      <c r="D61" s="247">
        <v>0</v>
      </c>
      <c r="E61" s="425" t="e">
        <f t="shared" si="12"/>
        <v>#DIV/0!</v>
      </c>
      <c r="F61" s="247">
        <v>0</v>
      </c>
      <c r="G61" s="247">
        <v>0</v>
      </c>
      <c r="H61" s="425" t="e">
        <f t="shared" si="13"/>
        <v>#DIV/0!</v>
      </c>
      <c r="I61" s="247">
        <v>0</v>
      </c>
      <c r="J61" s="247">
        <v>0</v>
      </c>
      <c r="K61" s="425" t="e">
        <f t="shared" si="14"/>
        <v>#DIV/0!</v>
      </c>
      <c r="L61" s="247">
        <v>0</v>
      </c>
      <c r="M61" s="247">
        <v>0</v>
      </c>
      <c r="N61" s="247" t="e">
        <f t="shared" si="15"/>
        <v>#DIV/0!</v>
      </c>
      <c r="O61" s="126">
        <v>35</v>
      </c>
    </row>
    <row r="62" spans="1:16" ht="17.25" x14ac:dyDescent="0.25">
      <c r="A62" s="664">
        <v>6</v>
      </c>
      <c r="B62" s="665" t="s">
        <v>599</v>
      </c>
      <c r="C62" s="247">
        <v>0</v>
      </c>
      <c r="D62" s="247">
        <v>701</v>
      </c>
      <c r="E62" s="425">
        <f t="shared" si="12"/>
        <v>0</v>
      </c>
      <c r="F62" s="247">
        <v>0</v>
      </c>
      <c r="G62" s="247">
        <v>701</v>
      </c>
      <c r="H62" s="425">
        <f t="shared" si="13"/>
        <v>0</v>
      </c>
      <c r="I62" s="247">
        <v>0</v>
      </c>
      <c r="J62" s="247">
        <v>5434</v>
      </c>
      <c r="K62" s="425">
        <f t="shared" si="14"/>
        <v>0</v>
      </c>
      <c r="L62" s="247">
        <v>0</v>
      </c>
      <c r="M62" s="247">
        <v>5434</v>
      </c>
      <c r="N62" s="247">
        <f t="shared" si="15"/>
        <v>0</v>
      </c>
      <c r="O62" s="126">
        <v>31</v>
      </c>
      <c r="P62" s="126">
        <v>71</v>
      </c>
    </row>
    <row r="63" spans="1:16" ht="17.25" x14ac:dyDescent="0.25">
      <c r="A63" s="253">
        <v>7</v>
      </c>
      <c r="B63" s="544" t="s">
        <v>600</v>
      </c>
      <c r="C63" s="247">
        <v>1654</v>
      </c>
      <c r="D63" s="247">
        <v>10089</v>
      </c>
      <c r="E63" s="425">
        <f t="shared" si="12"/>
        <v>16.39409257607295</v>
      </c>
      <c r="F63" s="247">
        <v>1654</v>
      </c>
      <c r="G63" s="247">
        <v>10089</v>
      </c>
      <c r="H63" s="425">
        <f t="shared" si="13"/>
        <v>16.39409257607295</v>
      </c>
      <c r="I63" s="247">
        <v>0</v>
      </c>
      <c r="J63" s="247">
        <v>25</v>
      </c>
      <c r="K63" s="425">
        <f t="shared" si="14"/>
        <v>0</v>
      </c>
      <c r="L63" s="247">
        <v>0</v>
      </c>
      <c r="M63" s="247">
        <v>0</v>
      </c>
      <c r="N63" s="247" t="e">
        <f t="shared" si="15"/>
        <v>#DIV/0!</v>
      </c>
      <c r="O63" s="126">
        <v>36</v>
      </c>
      <c r="P63" s="126">
        <v>92</v>
      </c>
    </row>
    <row r="64" spans="1:16" ht="17.25" x14ac:dyDescent="0.25">
      <c r="A64" s="253">
        <v>8</v>
      </c>
      <c r="B64" s="544" t="s">
        <v>601</v>
      </c>
      <c r="C64" s="247">
        <v>64600</v>
      </c>
      <c r="D64" s="247">
        <v>0</v>
      </c>
      <c r="E64" s="425" t="e">
        <f t="shared" si="12"/>
        <v>#DIV/0!</v>
      </c>
      <c r="F64" s="247">
        <v>64600</v>
      </c>
      <c r="G64" s="247">
        <v>0</v>
      </c>
      <c r="H64" s="425" t="e">
        <f t="shared" si="13"/>
        <v>#DIV/0!</v>
      </c>
      <c r="I64" s="247">
        <v>0</v>
      </c>
      <c r="J64" s="247">
        <v>0</v>
      </c>
      <c r="K64" s="425" t="e">
        <f t="shared" si="14"/>
        <v>#DIV/0!</v>
      </c>
      <c r="L64" s="247">
        <v>0</v>
      </c>
      <c r="M64" s="247">
        <v>0</v>
      </c>
      <c r="N64" s="247" t="e">
        <f t="shared" si="15"/>
        <v>#DIV/0!</v>
      </c>
      <c r="O64" s="126">
        <v>30</v>
      </c>
      <c r="P64" s="126">
        <v>90</v>
      </c>
    </row>
    <row r="65" spans="1:16" ht="17.25" x14ac:dyDescent="0.25">
      <c r="A65" s="253">
        <v>9</v>
      </c>
      <c r="B65" s="544" t="s">
        <v>602</v>
      </c>
      <c r="C65" s="247">
        <v>0</v>
      </c>
      <c r="D65" s="247">
        <v>0</v>
      </c>
      <c r="E65" s="425" t="e">
        <f t="shared" si="12"/>
        <v>#DIV/0!</v>
      </c>
      <c r="F65" s="247">
        <v>0</v>
      </c>
      <c r="G65" s="247">
        <v>0</v>
      </c>
      <c r="H65" s="425" t="e">
        <f t="shared" si="13"/>
        <v>#DIV/0!</v>
      </c>
      <c r="I65" s="247">
        <v>0</v>
      </c>
      <c r="J65" s="247">
        <v>0</v>
      </c>
      <c r="K65" s="425" t="e">
        <f t="shared" si="14"/>
        <v>#DIV/0!</v>
      </c>
      <c r="L65" s="247">
        <v>0</v>
      </c>
      <c r="M65" s="247">
        <v>0</v>
      </c>
      <c r="N65" s="247" t="e">
        <f t="shared" si="15"/>
        <v>#DIV/0!</v>
      </c>
      <c r="O65" s="126">
        <v>0</v>
      </c>
      <c r="P65" s="126">
        <v>0</v>
      </c>
    </row>
    <row r="66" spans="1:16" ht="17.25" x14ac:dyDescent="0.25">
      <c r="A66" s="253">
        <v>10</v>
      </c>
      <c r="B66" s="544" t="s">
        <v>625</v>
      </c>
      <c r="C66" s="247">
        <v>0</v>
      </c>
      <c r="D66" s="247">
        <v>0</v>
      </c>
      <c r="E66" s="425" t="e">
        <f>C66/D66*100</f>
        <v>#DIV/0!</v>
      </c>
      <c r="F66" s="247">
        <v>0</v>
      </c>
      <c r="G66" s="247">
        <v>0</v>
      </c>
      <c r="H66" s="425" t="e">
        <f t="shared" si="13"/>
        <v>#DIV/0!</v>
      </c>
      <c r="I66" s="247">
        <v>0</v>
      </c>
      <c r="J66" s="247">
        <v>0</v>
      </c>
      <c r="K66" s="425" t="e">
        <f t="shared" si="14"/>
        <v>#DIV/0!</v>
      </c>
      <c r="L66" s="247">
        <v>0</v>
      </c>
      <c r="M66" s="247">
        <v>0</v>
      </c>
      <c r="N66" s="247" t="e">
        <f t="shared" si="15"/>
        <v>#DIV/0!</v>
      </c>
      <c r="O66" s="126">
        <v>166</v>
      </c>
      <c r="P66" s="126">
        <v>82</v>
      </c>
    </row>
    <row r="67" spans="1:16" ht="17.25" x14ac:dyDescent="0.25">
      <c r="A67" s="253">
        <v>11</v>
      </c>
      <c r="B67" s="544" t="s">
        <v>605</v>
      </c>
      <c r="C67" s="247">
        <v>2192</v>
      </c>
      <c r="D67" s="247">
        <v>4039</v>
      </c>
      <c r="E67" s="425">
        <f>C67/D67*100</f>
        <v>54.270859123545435</v>
      </c>
      <c r="F67" s="247">
        <v>2192</v>
      </c>
      <c r="G67" s="247">
        <v>4039</v>
      </c>
      <c r="H67" s="425">
        <f t="shared" si="13"/>
        <v>54.270859123545435</v>
      </c>
      <c r="I67" s="247">
        <v>2192</v>
      </c>
      <c r="J67" s="247">
        <v>4039</v>
      </c>
      <c r="K67" s="425">
        <f t="shared" si="14"/>
        <v>54.270859123545435</v>
      </c>
      <c r="L67" s="247">
        <v>2192</v>
      </c>
      <c r="M67" s="247">
        <v>4039</v>
      </c>
      <c r="N67" s="247">
        <f t="shared" si="15"/>
        <v>54.270859123545435</v>
      </c>
      <c r="O67" s="126">
        <v>68</v>
      </c>
      <c r="P67" s="126">
        <v>144</v>
      </c>
    </row>
    <row r="68" spans="1:16" s="668" customFormat="1" ht="34.5" x14ac:dyDescent="0.25">
      <c r="A68" s="664">
        <v>12</v>
      </c>
      <c r="B68" s="665" t="s">
        <v>603</v>
      </c>
      <c r="C68" s="666">
        <v>76631</v>
      </c>
      <c r="D68" s="666">
        <v>21338</v>
      </c>
      <c r="E68" s="667">
        <f>C68/D68*100</f>
        <v>359.12925297591153</v>
      </c>
      <c r="F68" s="666">
        <v>76631</v>
      </c>
      <c r="G68" s="666">
        <v>21338</v>
      </c>
      <c r="H68" s="667">
        <f t="shared" si="13"/>
        <v>359.12925297591153</v>
      </c>
      <c r="I68" s="666">
        <v>76631</v>
      </c>
      <c r="J68" s="666">
        <v>21338</v>
      </c>
      <c r="K68" s="667">
        <f t="shared" si="14"/>
        <v>359.12925297591153</v>
      </c>
      <c r="L68" s="666">
        <v>73664</v>
      </c>
      <c r="M68" s="666">
        <v>0</v>
      </c>
      <c r="N68" s="666" t="e">
        <f t="shared" si="15"/>
        <v>#DIV/0!</v>
      </c>
      <c r="O68" s="668">
        <v>60</v>
      </c>
      <c r="P68" s="668">
        <v>90</v>
      </c>
    </row>
    <row r="70" spans="1:16" ht="17.25" x14ac:dyDescent="0.25">
      <c r="A70" s="1033" t="s">
        <v>356</v>
      </c>
      <c r="B70" s="1034"/>
      <c r="C70" s="450">
        <f>SUM(C71:C78)</f>
        <v>66658</v>
      </c>
      <c r="D70" s="450">
        <f>SUM(D71:D78)</f>
        <v>83357</v>
      </c>
      <c r="E70" s="453">
        <f>C70/D70*100</f>
        <v>79.966889403409439</v>
      </c>
      <c r="F70" s="450">
        <f>SUM(F71:F78)</f>
        <v>66658</v>
      </c>
      <c r="G70" s="450">
        <f>SUM(G71:G78)</f>
        <v>83357</v>
      </c>
      <c r="H70" s="453">
        <f>F70/G70*100</f>
        <v>79.966889403409439</v>
      </c>
      <c r="I70" s="450">
        <f>SUM(I71:I78)</f>
        <v>70343</v>
      </c>
      <c r="J70" s="450">
        <f>SUM(J71:J78)</f>
        <v>29768</v>
      </c>
      <c r="K70" s="453">
        <f>I70/J70*100</f>
        <v>236.30408492340766</v>
      </c>
      <c r="L70" s="450">
        <f>SUM(L71:L78)</f>
        <v>32051</v>
      </c>
      <c r="M70" s="450">
        <f>SUM(M71:M78)</f>
        <v>0</v>
      </c>
      <c r="N70" s="453" t="e">
        <f>L70/M70*100</f>
        <v>#DIV/0!</v>
      </c>
    </row>
    <row r="71" spans="1:16" ht="17.25" x14ac:dyDescent="0.25">
      <c r="A71" s="253">
        <v>1</v>
      </c>
      <c r="B71" s="544" t="s">
        <v>606</v>
      </c>
      <c r="C71" s="247">
        <v>0</v>
      </c>
      <c r="D71" s="247">
        <v>21</v>
      </c>
      <c r="E71" s="425">
        <f t="shared" ref="E71:E78" si="16">C71/D71*100</f>
        <v>0</v>
      </c>
      <c r="F71" s="247">
        <v>0</v>
      </c>
      <c r="G71" s="247">
        <v>21</v>
      </c>
      <c r="H71" s="425">
        <f t="shared" ref="H71:H78" si="17">F71/G71*100</f>
        <v>0</v>
      </c>
      <c r="I71" s="247">
        <v>0</v>
      </c>
      <c r="J71" s="247">
        <v>21</v>
      </c>
      <c r="K71" s="425">
        <f t="shared" ref="K71:K78" si="18">I71/J71*100</f>
        <v>0</v>
      </c>
      <c r="L71" s="247">
        <v>0</v>
      </c>
      <c r="M71" s="247">
        <v>0</v>
      </c>
      <c r="N71" s="247" t="e">
        <f t="shared" ref="N71:N78" si="19">L71/M71*100</f>
        <v>#DIV/0!</v>
      </c>
      <c r="O71" s="126">
        <v>98</v>
      </c>
      <c r="P71" s="126">
        <v>55</v>
      </c>
    </row>
    <row r="72" spans="1:16" s="668" customFormat="1" ht="17.25" x14ac:dyDescent="0.25">
      <c r="A72" s="664">
        <v>2</v>
      </c>
      <c r="B72" s="665" t="s">
        <v>607</v>
      </c>
      <c r="C72" s="666">
        <v>0</v>
      </c>
      <c r="D72" s="666">
        <v>19291</v>
      </c>
      <c r="E72" s="667">
        <f t="shared" si="16"/>
        <v>0</v>
      </c>
      <c r="F72" s="666">
        <v>0</v>
      </c>
      <c r="G72" s="666">
        <v>19291</v>
      </c>
      <c r="H72" s="667">
        <f t="shared" si="17"/>
        <v>0</v>
      </c>
      <c r="I72" s="666">
        <v>0</v>
      </c>
      <c r="J72" s="666">
        <v>0</v>
      </c>
      <c r="K72" s="667" t="e">
        <f t="shared" si="18"/>
        <v>#DIV/0!</v>
      </c>
      <c r="L72" s="666">
        <v>0</v>
      </c>
      <c r="M72" s="666">
        <v>0</v>
      </c>
      <c r="N72" s="666" t="e">
        <f t="shared" si="19"/>
        <v>#DIV/0!</v>
      </c>
      <c r="O72" s="668">
        <v>4</v>
      </c>
      <c r="P72" s="668">
        <v>113</v>
      </c>
    </row>
    <row r="73" spans="1:16" s="668" customFormat="1" ht="17.25" x14ac:dyDescent="0.25">
      <c r="A73" s="664">
        <v>3</v>
      </c>
      <c r="B73" s="665" t="s">
        <v>608</v>
      </c>
      <c r="C73" s="666">
        <v>0</v>
      </c>
      <c r="D73" s="666">
        <v>0</v>
      </c>
      <c r="E73" s="667" t="e">
        <f t="shared" si="16"/>
        <v>#DIV/0!</v>
      </c>
      <c r="F73" s="666">
        <v>0</v>
      </c>
      <c r="G73" s="666">
        <v>0</v>
      </c>
      <c r="H73" s="667" t="e">
        <f t="shared" si="17"/>
        <v>#DIV/0!</v>
      </c>
      <c r="I73" s="666">
        <v>45</v>
      </c>
      <c r="J73" s="666">
        <v>102</v>
      </c>
      <c r="K73" s="667">
        <f t="shared" si="18"/>
        <v>44.117647058823529</v>
      </c>
      <c r="L73" s="666">
        <v>0</v>
      </c>
      <c r="M73" s="666">
        <v>0</v>
      </c>
      <c r="N73" s="666" t="e">
        <f t="shared" si="19"/>
        <v>#DIV/0!</v>
      </c>
      <c r="O73" s="668">
        <v>32</v>
      </c>
      <c r="P73" s="668">
        <v>45</v>
      </c>
    </row>
    <row r="74" spans="1:16" s="668" customFormat="1" ht="17.25" x14ac:dyDescent="0.25">
      <c r="A74" s="664">
        <v>4</v>
      </c>
      <c r="B74" s="665" t="s">
        <v>609</v>
      </c>
      <c r="C74" s="666">
        <v>0</v>
      </c>
      <c r="D74" s="666">
        <v>2955</v>
      </c>
      <c r="E74" s="667">
        <f t="shared" si="16"/>
        <v>0</v>
      </c>
      <c r="F74" s="666">
        <v>0</v>
      </c>
      <c r="G74" s="666">
        <v>2955</v>
      </c>
      <c r="H74" s="667">
        <f t="shared" si="17"/>
        <v>0</v>
      </c>
      <c r="I74" s="666">
        <v>0</v>
      </c>
      <c r="J74" s="666">
        <v>0</v>
      </c>
      <c r="K74" s="667" t="e">
        <f t="shared" si="18"/>
        <v>#DIV/0!</v>
      </c>
      <c r="L74" s="666">
        <v>0</v>
      </c>
      <c r="M74" s="666">
        <v>0</v>
      </c>
      <c r="N74" s="666" t="e">
        <f t="shared" si="19"/>
        <v>#DIV/0!</v>
      </c>
      <c r="O74" s="668">
        <v>33</v>
      </c>
      <c r="P74" s="668">
        <v>65</v>
      </c>
    </row>
    <row r="75" spans="1:16" s="668" customFormat="1" ht="17.25" x14ac:dyDescent="0.25">
      <c r="A75" s="664">
        <v>5</v>
      </c>
      <c r="B75" s="665" t="s">
        <v>610</v>
      </c>
      <c r="C75" s="666">
        <v>218</v>
      </c>
      <c r="D75" s="666">
        <v>208</v>
      </c>
      <c r="E75" s="667">
        <f t="shared" si="16"/>
        <v>104.80769230769231</v>
      </c>
      <c r="F75" s="666">
        <v>218</v>
      </c>
      <c r="G75" s="666">
        <v>208</v>
      </c>
      <c r="H75" s="667">
        <f t="shared" si="17"/>
        <v>104.80769230769231</v>
      </c>
      <c r="I75" s="666">
        <v>218</v>
      </c>
      <c r="J75" s="666">
        <v>208</v>
      </c>
      <c r="K75" s="667">
        <f t="shared" si="18"/>
        <v>104.80769230769231</v>
      </c>
      <c r="L75" s="666">
        <v>0</v>
      </c>
      <c r="M75" s="666">
        <v>0</v>
      </c>
      <c r="N75" s="666" t="e">
        <f t="shared" si="19"/>
        <v>#DIV/0!</v>
      </c>
      <c r="O75" s="668">
        <v>66</v>
      </c>
      <c r="P75" s="668">
        <v>120</v>
      </c>
    </row>
    <row r="76" spans="1:16" s="668" customFormat="1" ht="17.25" x14ac:dyDescent="0.25">
      <c r="A76" s="793">
        <v>6</v>
      </c>
      <c r="B76" s="665" t="s">
        <v>611</v>
      </c>
      <c r="C76" s="666">
        <v>0</v>
      </c>
      <c r="D76" s="666">
        <v>0</v>
      </c>
      <c r="E76" s="667" t="e">
        <f t="shared" si="16"/>
        <v>#DIV/0!</v>
      </c>
      <c r="F76" s="666">
        <v>0</v>
      </c>
      <c r="G76" s="666">
        <v>0</v>
      </c>
      <c r="H76" s="667" t="e">
        <f t="shared" si="17"/>
        <v>#DIV/0!</v>
      </c>
      <c r="I76" s="666">
        <v>283</v>
      </c>
      <c r="J76" s="666">
        <v>33</v>
      </c>
      <c r="K76" s="667">
        <f t="shared" si="18"/>
        <v>857.57575757575762</v>
      </c>
      <c r="L76" s="666">
        <v>0</v>
      </c>
      <c r="M76" s="666">
        <v>0</v>
      </c>
      <c r="N76" s="666" t="e">
        <f t="shared" si="19"/>
        <v>#DIV/0!</v>
      </c>
      <c r="O76" s="668">
        <v>6</v>
      </c>
      <c r="P76" s="668">
        <v>95</v>
      </c>
    </row>
    <row r="77" spans="1:16" s="668" customFormat="1" ht="17.25" x14ac:dyDescent="0.25">
      <c r="A77" s="664">
        <v>7</v>
      </c>
      <c r="B77" s="665" t="s">
        <v>612</v>
      </c>
      <c r="C77" s="666">
        <v>58415</v>
      </c>
      <c r="D77" s="666">
        <v>58207</v>
      </c>
      <c r="E77" s="667">
        <f t="shared" si="16"/>
        <v>100.35734533647155</v>
      </c>
      <c r="F77" s="666">
        <v>58415</v>
      </c>
      <c r="G77" s="666">
        <v>58207</v>
      </c>
      <c r="H77" s="667">
        <f t="shared" si="17"/>
        <v>100.35734533647155</v>
      </c>
      <c r="I77" s="666">
        <v>61772</v>
      </c>
      <c r="J77" s="666">
        <v>26729</v>
      </c>
      <c r="K77" s="667">
        <f t="shared" si="18"/>
        <v>231.10479254742043</v>
      </c>
      <c r="L77" s="666">
        <v>32051</v>
      </c>
      <c r="M77" s="666">
        <v>0</v>
      </c>
      <c r="N77" s="666" t="e">
        <f t="shared" si="19"/>
        <v>#DIV/0!</v>
      </c>
      <c r="O77" s="668">
        <v>132</v>
      </c>
      <c r="P77" s="668">
        <v>251</v>
      </c>
    </row>
    <row r="78" spans="1:16" ht="34.5" x14ac:dyDescent="0.25">
      <c r="A78" s="253">
        <v>8</v>
      </c>
      <c r="B78" s="544" t="s">
        <v>613</v>
      </c>
      <c r="C78" s="247">
        <v>8025</v>
      </c>
      <c r="D78" s="247">
        <v>2675</v>
      </c>
      <c r="E78" s="425">
        <f t="shared" si="16"/>
        <v>300</v>
      </c>
      <c r="F78" s="247">
        <v>8025</v>
      </c>
      <c r="G78" s="247">
        <v>2675</v>
      </c>
      <c r="H78" s="425">
        <f t="shared" si="17"/>
        <v>300</v>
      </c>
      <c r="I78" s="247">
        <v>8025</v>
      </c>
      <c r="J78" s="247">
        <v>2675</v>
      </c>
      <c r="K78" s="425">
        <f t="shared" si="18"/>
        <v>300</v>
      </c>
      <c r="L78" s="247">
        <v>0</v>
      </c>
      <c r="M78" s="247">
        <v>0</v>
      </c>
      <c r="N78" s="247" t="e">
        <f t="shared" si="19"/>
        <v>#DIV/0!</v>
      </c>
      <c r="O78" s="126">
        <v>23</v>
      </c>
      <c r="P78" s="126">
        <v>40</v>
      </c>
    </row>
    <row r="79" spans="1:16" s="127" customFormat="1" x14ac:dyDescent="0.25">
      <c r="C79" s="445"/>
      <c r="D79" s="445"/>
      <c r="E79" s="445"/>
      <c r="F79" s="445"/>
      <c r="G79" s="445"/>
      <c r="H79" s="445"/>
      <c r="I79" s="445"/>
      <c r="J79" s="445"/>
      <c r="K79" s="445"/>
      <c r="L79" s="445"/>
      <c r="M79" s="445"/>
      <c r="N79" s="445"/>
    </row>
    <row r="80" spans="1:16" ht="17.25" x14ac:dyDescent="0.25">
      <c r="A80" s="1033" t="s">
        <v>731</v>
      </c>
      <c r="B80" s="1034"/>
      <c r="C80" s="450">
        <f>SUM(C81:C94)</f>
        <v>320220</v>
      </c>
      <c r="D80" s="450">
        <f>SUM(D81:D94)</f>
        <v>287054</v>
      </c>
      <c r="E80" s="453">
        <f>C80/D80*100</f>
        <v>111.55392365199579</v>
      </c>
      <c r="F80" s="450">
        <f>SUM(F81:F94)</f>
        <v>320220</v>
      </c>
      <c r="G80" s="450">
        <f>SUM(G81:G94)</f>
        <v>287054</v>
      </c>
      <c r="H80" s="453">
        <f>F80/G80*100</f>
        <v>111.55392365199579</v>
      </c>
      <c r="I80" s="450">
        <f>SUM(I81:I94)</f>
        <v>383137</v>
      </c>
      <c r="J80" s="450">
        <f>SUM(J81:J94)</f>
        <v>476718</v>
      </c>
      <c r="K80" s="453">
        <f>I80/J80*100</f>
        <v>80.369736406009423</v>
      </c>
      <c r="L80" s="450">
        <f>SUM(L81:L94)</f>
        <v>121012</v>
      </c>
      <c r="M80" s="450">
        <f>SUM(M81:M94)</f>
        <v>132660</v>
      </c>
      <c r="N80" s="453">
        <f>L80/M80*100</f>
        <v>91.219659279360769</v>
      </c>
    </row>
    <row r="81" spans="1:16" ht="17.25" x14ac:dyDescent="0.25">
      <c r="A81" s="260">
        <v>1</v>
      </c>
      <c r="B81" s="544" t="s">
        <v>614</v>
      </c>
      <c r="C81" s="247">
        <v>0</v>
      </c>
      <c r="D81" s="247">
        <v>0</v>
      </c>
      <c r="E81" s="425" t="e">
        <f>C81/D81*100</f>
        <v>#DIV/0!</v>
      </c>
      <c r="F81" s="247">
        <v>0</v>
      </c>
      <c r="G81" s="247">
        <v>0</v>
      </c>
      <c r="H81" s="425" t="e">
        <f t="shared" ref="H81:H94" si="20">F81/G81*100</f>
        <v>#DIV/0!</v>
      </c>
      <c r="I81" s="247">
        <v>0</v>
      </c>
      <c r="J81" s="247">
        <v>0</v>
      </c>
      <c r="K81" s="425" t="e">
        <f t="shared" ref="K81:K94" si="21">I81/J81*100</f>
        <v>#DIV/0!</v>
      </c>
      <c r="L81" s="247">
        <v>0</v>
      </c>
      <c r="M81" s="247">
        <v>0</v>
      </c>
      <c r="N81" s="247" t="e">
        <f t="shared" ref="N81:N94" si="22">L81/M81*100</f>
        <v>#DIV/0!</v>
      </c>
      <c r="O81" s="126">
        <v>2136</v>
      </c>
      <c r="P81" s="126">
        <v>113</v>
      </c>
    </row>
    <row r="82" spans="1:16" s="668" customFormat="1" ht="17.25" x14ac:dyDescent="0.25">
      <c r="A82" s="794">
        <v>2</v>
      </c>
      <c r="B82" s="665" t="s">
        <v>615</v>
      </c>
      <c r="C82" s="666">
        <v>2707</v>
      </c>
      <c r="D82" s="666">
        <v>0</v>
      </c>
      <c r="E82" s="667" t="e">
        <f t="shared" ref="E82:E94" si="23">C82/D82*100</f>
        <v>#DIV/0!</v>
      </c>
      <c r="F82" s="666">
        <v>2707</v>
      </c>
      <c r="G82" s="666">
        <v>0</v>
      </c>
      <c r="H82" s="667" t="e">
        <f t="shared" si="20"/>
        <v>#DIV/0!</v>
      </c>
      <c r="I82" s="666">
        <v>2001</v>
      </c>
      <c r="J82" s="666">
        <v>60</v>
      </c>
      <c r="K82" s="667">
        <f t="shared" si="21"/>
        <v>3335</v>
      </c>
      <c r="L82" s="666">
        <v>0</v>
      </c>
      <c r="M82" s="666">
        <v>0</v>
      </c>
      <c r="N82" s="666" t="e">
        <f t="shared" si="22"/>
        <v>#DIV/0!</v>
      </c>
      <c r="O82" s="668">
        <v>290</v>
      </c>
      <c r="P82" s="668">
        <v>130</v>
      </c>
    </row>
    <row r="83" spans="1:16" s="668" customFormat="1" ht="17.25" x14ac:dyDescent="0.25">
      <c r="A83" s="795">
        <v>3</v>
      </c>
      <c r="B83" s="665" t="s">
        <v>616</v>
      </c>
      <c r="C83" s="666">
        <v>0</v>
      </c>
      <c r="D83" s="666">
        <v>0</v>
      </c>
      <c r="E83" s="667" t="e">
        <f t="shared" si="23"/>
        <v>#DIV/0!</v>
      </c>
      <c r="F83" s="666">
        <v>0</v>
      </c>
      <c r="G83" s="666">
        <v>0</v>
      </c>
      <c r="H83" s="667" t="e">
        <f t="shared" si="20"/>
        <v>#DIV/0!</v>
      </c>
      <c r="I83" s="666">
        <v>12743</v>
      </c>
      <c r="J83" s="666">
        <v>79438</v>
      </c>
      <c r="K83" s="667">
        <f t="shared" si="21"/>
        <v>16.041441123895364</v>
      </c>
      <c r="L83" s="666">
        <v>0</v>
      </c>
      <c r="M83" s="666">
        <v>18917</v>
      </c>
      <c r="N83" s="666">
        <f t="shared" si="22"/>
        <v>0</v>
      </c>
      <c r="O83" s="668">
        <v>32</v>
      </c>
      <c r="P83" s="668">
        <v>365</v>
      </c>
    </row>
    <row r="84" spans="1:16" s="668" customFormat="1" ht="17.25" x14ac:dyDescent="0.25">
      <c r="A84" s="794">
        <v>4</v>
      </c>
      <c r="B84" s="665" t="s">
        <v>604</v>
      </c>
      <c r="C84" s="666">
        <v>1411</v>
      </c>
      <c r="D84" s="666">
        <v>1451</v>
      </c>
      <c r="E84" s="667">
        <f>C84/D84*100</f>
        <v>97.243280496209508</v>
      </c>
      <c r="F84" s="666">
        <v>1411</v>
      </c>
      <c r="G84" s="666">
        <v>1451</v>
      </c>
      <c r="H84" s="667">
        <f>F84/G84*100</f>
        <v>97.243280496209508</v>
      </c>
      <c r="I84" s="666">
        <v>1411</v>
      </c>
      <c r="J84" s="666">
        <v>1451</v>
      </c>
      <c r="K84" s="667">
        <f>I84/J84*100</f>
        <v>97.243280496209508</v>
      </c>
      <c r="L84" s="666">
        <v>1411</v>
      </c>
      <c r="M84" s="666">
        <v>1451</v>
      </c>
      <c r="N84" s="666">
        <f>L84/M84*100</f>
        <v>97.243280496209508</v>
      </c>
      <c r="O84" s="668">
        <v>44</v>
      </c>
      <c r="P84" s="668">
        <v>67</v>
      </c>
    </row>
    <row r="85" spans="1:16" s="668" customFormat="1" ht="17.25" x14ac:dyDescent="0.25">
      <c r="A85" s="795">
        <v>5</v>
      </c>
      <c r="B85" s="665" t="s">
        <v>775</v>
      </c>
      <c r="C85" s="666">
        <v>14800</v>
      </c>
      <c r="D85" s="666">
        <v>9997</v>
      </c>
      <c r="E85" s="667">
        <f t="shared" si="23"/>
        <v>148.04441332399719</v>
      </c>
      <c r="F85" s="666">
        <v>14800</v>
      </c>
      <c r="G85" s="666">
        <v>9997</v>
      </c>
      <c r="H85" s="667">
        <f t="shared" si="20"/>
        <v>148.04441332399719</v>
      </c>
      <c r="I85" s="666">
        <v>13326</v>
      </c>
      <c r="J85" s="666">
        <v>13660</v>
      </c>
      <c r="K85" s="667">
        <f t="shared" si="21"/>
        <v>97.55490483162518</v>
      </c>
      <c r="L85" s="666">
        <v>6434</v>
      </c>
      <c r="M85" s="666">
        <v>4585</v>
      </c>
      <c r="N85" s="666">
        <f t="shared" si="22"/>
        <v>140.32715376226827</v>
      </c>
      <c r="O85" s="668">
        <v>79</v>
      </c>
      <c r="P85" s="668">
        <v>72</v>
      </c>
    </row>
    <row r="86" spans="1:16" s="668" customFormat="1" ht="17.25" x14ac:dyDescent="0.25">
      <c r="A86" s="794">
        <v>6</v>
      </c>
      <c r="B86" s="665" t="s">
        <v>619</v>
      </c>
      <c r="C86" s="666">
        <v>0</v>
      </c>
      <c r="D86" s="666">
        <v>0</v>
      </c>
      <c r="E86" s="667" t="e">
        <f t="shared" si="23"/>
        <v>#DIV/0!</v>
      </c>
      <c r="F86" s="666">
        <v>0</v>
      </c>
      <c r="G86" s="666">
        <v>0</v>
      </c>
      <c r="H86" s="667" t="e">
        <f t="shared" si="20"/>
        <v>#DIV/0!</v>
      </c>
      <c r="I86" s="666">
        <v>0</v>
      </c>
      <c r="J86" s="666">
        <v>0</v>
      </c>
      <c r="K86" s="667" t="e">
        <f t="shared" si="21"/>
        <v>#DIV/0!</v>
      </c>
      <c r="L86" s="666">
        <v>0</v>
      </c>
      <c r="M86" s="666">
        <v>0</v>
      </c>
      <c r="N86" s="666" t="e">
        <f t="shared" si="22"/>
        <v>#DIV/0!</v>
      </c>
    </row>
    <row r="87" spans="1:16" s="668" customFormat="1" ht="17.25" x14ac:dyDescent="0.25">
      <c r="A87" s="795">
        <v>7</v>
      </c>
      <c r="B87" s="665" t="s">
        <v>620</v>
      </c>
      <c r="C87" s="666">
        <v>7132</v>
      </c>
      <c r="D87" s="666">
        <v>10945</v>
      </c>
      <c r="E87" s="667">
        <f t="shared" si="23"/>
        <v>65.16217450890818</v>
      </c>
      <c r="F87" s="666">
        <v>7132</v>
      </c>
      <c r="G87" s="666">
        <v>10945</v>
      </c>
      <c r="H87" s="667">
        <f t="shared" si="20"/>
        <v>65.16217450890818</v>
      </c>
      <c r="I87" s="666">
        <v>17596</v>
      </c>
      <c r="J87" s="666">
        <v>33147</v>
      </c>
      <c r="K87" s="667">
        <f t="shared" si="21"/>
        <v>53.084743717380157</v>
      </c>
      <c r="L87" s="666">
        <v>0</v>
      </c>
      <c r="M87" s="666">
        <v>0</v>
      </c>
      <c r="N87" s="666" t="e">
        <f t="shared" si="22"/>
        <v>#DIV/0!</v>
      </c>
      <c r="O87" s="668">
        <v>66</v>
      </c>
      <c r="P87" s="668">
        <v>70</v>
      </c>
    </row>
    <row r="88" spans="1:16" s="668" customFormat="1" ht="17.25" x14ac:dyDescent="0.25">
      <c r="A88" s="794">
        <v>8</v>
      </c>
      <c r="B88" s="665" t="s">
        <v>621</v>
      </c>
      <c r="C88" s="666">
        <v>89523</v>
      </c>
      <c r="D88" s="666">
        <v>73847</v>
      </c>
      <c r="E88" s="667">
        <f t="shared" si="23"/>
        <v>121.22767343290859</v>
      </c>
      <c r="F88" s="666">
        <v>89523</v>
      </c>
      <c r="G88" s="666">
        <v>73847</v>
      </c>
      <c r="H88" s="667">
        <f t="shared" si="20"/>
        <v>121.22767343290859</v>
      </c>
      <c r="I88" s="666">
        <v>89523</v>
      </c>
      <c r="J88" s="666">
        <v>73847</v>
      </c>
      <c r="K88" s="667">
        <f t="shared" si="21"/>
        <v>121.22767343290859</v>
      </c>
      <c r="L88" s="666">
        <v>49191</v>
      </c>
      <c r="M88" s="666">
        <v>42597</v>
      </c>
      <c r="N88" s="666">
        <f t="shared" si="22"/>
        <v>115.47996337770266</v>
      </c>
      <c r="O88" s="668">
        <v>108</v>
      </c>
      <c r="P88" s="668">
        <v>259</v>
      </c>
    </row>
    <row r="89" spans="1:16" s="668" customFormat="1" ht="17.25" x14ac:dyDescent="0.25">
      <c r="A89" s="795">
        <v>9</v>
      </c>
      <c r="B89" s="665" t="s">
        <v>622</v>
      </c>
      <c r="C89" s="666">
        <v>60682</v>
      </c>
      <c r="D89" s="666">
        <v>63613</v>
      </c>
      <c r="E89" s="667">
        <f t="shared" si="23"/>
        <v>95.392451228522475</v>
      </c>
      <c r="F89" s="666">
        <v>60682</v>
      </c>
      <c r="G89" s="666">
        <v>63613</v>
      </c>
      <c r="H89" s="667">
        <f t="shared" si="20"/>
        <v>95.392451228522475</v>
      </c>
      <c r="I89" s="666">
        <v>29871</v>
      </c>
      <c r="J89" s="666">
        <v>39195</v>
      </c>
      <c r="K89" s="667">
        <f t="shared" si="21"/>
        <v>76.211251435132027</v>
      </c>
      <c r="L89" s="666">
        <v>1970</v>
      </c>
      <c r="M89" s="666">
        <v>2805</v>
      </c>
      <c r="N89" s="666">
        <f t="shared" si="22"/>
        <v>70.231729055258469</v>
      </c>
      <c r="O89" s="668">
        <v>82</v>
      </c>
      <c r="P89" s="668">
        <v>180</v>
      </c>
    </row>
    <row r="90" spans="1:16" s="668" customFormat="1" ht="17.25" x14ac:dyDescent="0.25">
      <c r="A90" s="794">
        <v>10</v>
      </c>
      <c r="B90" s="665" t="s">
        <v>623</v>
      </c>
      <c r="C90" s="666">
        <v>0</v>
      </c>
      <c r="D90" s="666">
        <v>8569</v>
      </c>
      <c r="E90" s="667">
        <f t="shared" si="23"/>
        <v>0</v>
      </c>
      <c r="F90" s="666">
        <v>0</v>
      </c>
      <c r="G90" s="666">
        <v>8569</v>
      </c>
      <c r="H90" s="667">
        <f t="shared" si="20"/>
        <v>0</v>
      </c>
      <c r="I90" s="666">
        <v>0</v>
      </c>
      <c r="J90" s="666">
        <v>8569</v>
      </c>
      <c r="K90" s="667">
        <f t="shared" si="21"/>
        <v>0</v>
      </c>
      <c r="L90" s="666">
        <v>0</v>
      </c>
      <c r="M90" s="666">
        <v>3790</v>
      </c>
      <c r="N90" s="666">
        <f t="shared" si="22"/>
        <v>0</v>
      </c>
      <c r="O90" s="668">
        <v>12</v>
      </c>
      <c r="P90" s="668">
        <v>142</v>
      </c>
    </row>
    <row r="91" spans="1:16" s="668" customFormat="1" ht="17.25" x14ac:dyDescent="0.25">
      <c r="A91" s="795">
        <v>11</v>
      </c>
      <c r="B91" s="665" t="s">
        <v>624</v>
      </c>
      <c r="C91" s="666">
        <v>25710</v>
      </c>
      <c r="D91" s="666">
        <v>29003</v>
      </c>
      <c r="E91" s="667">
        <f t="shared" si="23"/>
        <v>88.646002137709885</v>
      </c>
      <c r="F91" s="666">
        <v>25710</v>
      </c>
      <c r="G91" s="666">
        <v>29003</v>
      </c>
      <c r="H91" s="667">
        <f t="shared" si="20"/>
        <v>88.646002137709885</v>
      </c>
      <c r="I91" s="666">
        <v>109036</v>
      </c>
      <c r="J91" s="666">
        <v>162580</v>
      </c>
      <c r="K91" s="667">
        <f t="shared" si="21"/>
        <v>67.066059785951524</v>
      </c>
      <c r="L91" s="666">
        <v>16641</v>
      </c>
      <c r="M91" s="666">
        <v>13646</v>
      </c>
      <c r="N91" s="666">
        <f t="shared" si="22"/>
        <v>121.94782353803313</v>
      </c>
      <c r="O91" s="668">
        <v>58</v>
      </c>
      <c r="P91" s="668">
        <v>250</v>
      </c>
    </row>
    <row r="92" spans="1:16" s="668" customFormat="1" ht="34.5" x14ac:dyDescent="0.25">
      <c r="A92" s="795">
        <v>12</v>
      </c>
      <c r="B92" s="665" t="s">
        <v>762</v>
      </c>
      <c r="C92" s="666">
        <v>1760</v>
      </c>
      <c r="D92" s="666">
        <v>26</v>
      </c>
      <c r="E92" s="667">
        <f t="shared" si="23"/>
        <v>6769.2307692307695</v>
      </c>
      <c r="F92" s="666">
        <v>1760</v>
      </c>
      <c r="G92" s="666">
        <v>26</v>
      </c>
      <c r="H92" s="667">
        <f t="shared" si="20"/>
        <v>6769.2307692307695</v>
      </c>
      <c r="I92" s="666">
        <v>3905</v>
      </c>
      <c r="J92" s="666">
        <v>961</v>
      </c>
      <c r="K92" s="667">
        <f t="shared" si="21"/>
        <v>406.34755463059315</v>
      </c>
      <c r="L92" s="666">
        <v>0</v>
      </c>
      <c r="M92" s="666">
        <v>0</v>
      </c>
      <c r="N92" s="666" t="e">
        <f t="shared" si="22"/>
        <v>#DIV/0!</v>
      </c>
      <c r="O92" s="668">
        <v>16</v>
      </c>
    </row>
    <row r="93" spans="1:16" s="668" customFormat="1" ht="17.25" x14ac:dyDescent="0.25">
      <c r="A93" s="794">
        <v>13</v>
      </c>
      <c r="B93" s="665" t="s">
        <v>626</v>
      </c>
      <c r="C93" s="666">
        <v>12364</v>
      </c>
      <c r="D93" s="666">
        <v>0</v>
      </c>
      <c r="E93" s="667" t="e">
        <f t="shared" si="23"/>
        <v>#DIV/0!</v>
      </c>
      <c r="F93" s="666">
        <v>12364</v>
      </c>
      <c r="G93" s="666">
        <v>0</v>
      </c>
      <c r="H93" s="667" t="e">
        <f t="shared" si="20"/>
        <v>#DIV/0!</v>
      </c>
      <c r="I93" s="666">
        <v>16158</v>
      </c>
      <c r="J93" s="666">
        <v>0</v>
      </c>
      <c r="K93" s="667" t="e">
        <f t="shared" si="21"/>
        <v>#DIV/0!</v>
      </c>
      <c r="L93" s="666">
        <v>0</v>
      </c>
      <c r="M93" s="666">
        <v>0</v>
      </c>
      <c r="N93" s="666" t="e">
        <f t="shared" si="22"/>
        <v>#DIV/0!</v>
      </c>
      <c r="O93" s="668">
        <v>29</v>
      </c>
    </row>
    <row r="94" spans="1:16" ht="17.25" x14ac:dyDescent="0.25">
      <c r="A94" s="260">
        <v>14</v>
      </c>
      <c r="B94" s="544" t="s">
        <v>617</v>
      </c>
      <c r="C94" s="247">
        <v>104131</v>
      </c>
      <c r="D94" s="247">
        <v>89603</v>
      </c>
      <c r="E94" s="425">
        <f t="shared" si="23"/>
        <v>116.21374284343158</v>
      </c>
      <c r="F94" s="247">
        <v>104131</v>
      </c>
      <c r="G94" s="247">
        <v>89603</v>
      </c>
      <c r="H94" s="425">
        <f t="shared" si="20"/>
        <v>116.21374284343158</v>
      </c>
      <c r="I94" s="247">
        <v>87567</v>
      </c>
      <c r="J94" s="247">
        <v>63810</v>
      </c>
      <c r="K94" s="425">
        <f t="shared" si="21"/>
        <v>137.23084156088387</v>
      </c>
      <c r="L94" s="247">
        <v>45365</v>
      </c>
      <c r="M94" s="247">
        <v>44869</v>
      </c>
      <c r="N94" s="247">
        <f t="shared" si="22"/>
        <v>101.10544028170898</v>
      </c>
      <c r="O94" s="126">
        <v>180</v>
      </c>
      <c r="P94" s="126">
        <v>40</v>
      </c>
    </row>
    <row r="95" spans="1:16" x14ac:dyDescent="0.25">
      <c r="A95" s="1107"/>
      <c r="B95" s="1108"/>
    </row>
    <row r="96" spans="1:16" ht="17.25" x14ac:dyDescent="0.25">
      <c r="A96" s="1105" t="s">
        <v>738</v>
      </c>
      <c r="B96" s="1106"/>
      <c r="C96" s="450">
        <f>SUM(C97:C124)</f>
        <v>161844</v>
      </c>
      <c r="D96" s="450">
        <f>SUM(D97:D124)</f>
        <v>314998</v>
      </c>
      <c r="E96" s="453">
        <f>C96/D96*100</f>
        <v>51.37937383729421</v>
      </c>
      <c r="F96" s="450">
        <f>SUM(F97:F124)</f>
        <v>161844</v>
      </c>
      <c r="G96" s="450">
        <f>SUM(G97:G124)</f>
        <v>314998</v>
      </c>
      <c r="H96" s="453">
        <f>F96/G96*100</f>
        <v>51.37937383729421</v>
      </c>
      <c r="I96" s="450">
        <f>SUM(I97:I124)</f>
        <v>136566</v>
      </c>
      <c r="J96" s="450">
        <f>SUM(J97:J124)</f>
        <v>295053</v>
      </c>
      <c r="K96" s="453">
        <f>I96/J96*100</f>
        <v>46.28524366808675</v>
      </c>
      <c r="L96" s="450">
        <f>SUM(L97:L124)</f>
        <v>53201</v>
      </c>
      <c r="M96" s="450">
        <f>SUM(M97:M124)</f>
        <v>226864</v>
      </c>
      <c r="N96" s="453">
        <f>L96/M96*100</f>
        <v>23.45061358346851</v>
      </c>
    </row>
    <row r="97" spans="1:16" ht="17.25" x14ac:dyDescent="0.25">
      <c r="A97" s="265">
        <v>1</v>
      </c>
      <c r="B97" s="544" t="s">
        <v>627</v>
      </c>
      <c r="C97" s="247">
        <v>18665</v>
      </c>
      <c r="D97" s="247">
        <v>51716</v>
      </c>
      <c r="E97" s="425">
        <f t="shared" ref="E97:E124" si="24">C97/D97*100</f>
        <v>36.091345038286022</v>
      </c>
      <c r="F97" s="247">
        <v>18665</v>
      </c>
      <c r="G97" s="247">
        <v>51716</v>
      </c>
      <c r="H97" s="425">
        <f t="shared" ref="H97:H124" si="25">F97/G97*100</f>
        <v>36.091345038286022</v>
      </c>
      <c r="I97" s="247">
        <v>29786</v>
      </c>
      <c r="J97" s="247">
        <v>44683</v>
      </c>
      <c r="K97" s="425">
        <f t="shared" ref="K97:K124" si="26">I97/J97*100</f>
        <v>66.66069869972921</v>
      </c>
      <c r="L97" s="247">
        <v>29786</v>
      </c>
      <c r="M97" s="247">
        <v>44683</v>
      </c>
      <c r="N97" s="425">
        <f t="shared" ref="N97:N124" si="27">L97/M97*100</f>
        <v>66.66069869972921</v>
      </c>
      <c r="O97" s="126">
        <v>320</v>
      </c>
      <c r="P97" s="126">
        <v>108</v>
      </c>
    </row>
    <row r="98" spans="1:16" ht="17.25" x14ac:dyDescent="0.25">
      <c r="A98" s="265">
        <v>2</v>
      </c>
      <c r="B98" s="544" t="s">
        <v>628</v>
      </c>
      <c r="C98" s="247">
        <v>0</v>
      </c>
      <c r="D98" s="247">
        <v>0</v>
      </c>
      <c r="E98" s="425" t="e">
        <f t="shared" si="24"/>
        <v>#DIV/0!</v>
      </c>
      <c r="F98" s="247">
        <v>0</v>
      </c>
      <c r="G98" s="247">
        <v>0</v>
      </c>
      <c r="H98" s="425" t="e">
        <f t="shared" si="25"/>
        <v>#DIV/0!</v>
      </c>
      <c r="I98" s="247">
        <v>0</v>
      </c>
      <c r="J98" s="247">
        <v>0</v>
      </c>
      <c r="K98" s="425" t="e">
        <f t="shared" si="26"/>
        <v>#DIV/0!</v>
      </c>
      <c r="L98" s="247">
        <v>0</v>
      </c>
      <c r="M98" s="247">
        <v>0</v>
      </c>
      <c r="N98" s="425" t="e">
        <f t="shared" si="27"/>
        <v>#DIV/0!</v>
      </c>
    </row>
    <row r="99" spans="1:16" ht="17.25" x14ac:dyDescent="0.25">
      <c r="A99" s="265">
        <v>3</v>
      </c>
      <c r="B99" s="544" t="s">
        <v>629</v>
      </c>
      <c r="C99" s="247">
        <v>0</v>
      </c>
      <c r="D99" s="247">
        <v>0</v>
      </c>
      <c r="E99" s="425" t="e">
        <f t="shared" si="24"/>
        <v>#DIV/0!</v>
      </c>
      <c r="F99" s="247">
        <v>0</v>
      </c>
      <c r="G99" s="247">
        <v>0</v>
      </c>
      <c r="H99" s="425" t="e">
        <f t="shared" si="25"/>
        <v>#DIV/0!</v>
      </c>
      <c r="I99" s="247">
        <v>0</v>
      </c>
      <c r="J99" s="247">
        <v>0</v>
      </c>
      <c r="K99" s="425" t="e">
        <f t="shared" si="26"/>
        <v>#DIV/0!</v>
      </c>
      <c r="L99" s="247">
        <v>0</v>
      </c>
      <c r="M99" s="247">
        <v>0</v>
      </c>
      <c r="N99" s="425" t="e">
        <f t="shared" si="27"/>
        <v>#DIV/0!</v>
      </c>
      <c r="O99" s="562"/>
    </row>
    <row r="100" spans="1:16" ht="17.25" x14ac:dyDescent="0.25">
      <c r="A100" s="265">
        <v>4</v>
      </c>
      <c r="B100" s="544" t="s">
        <v>630</v>
      </c>
      <c r="C100" s="247">
        <v>3113</v>
      </c>
      <c r="D100" s="247">
        <v>2475</v>
      </c>
      <c r="E100" s="425">
        <f t="shared" si="24"/>
        <v>125.77777777777779</v>
      </c>
      <c r="F100" s="247">
        <v>3113</v>
      </c>
      <c r="G100" s="247">
        <v>2475</v>
      </c>
      <c r="H100" s="425">
        <f t="shared" si="25"/>
        <v>125.77777777777779</v>
      </c>
      <c r="I100" s="247">
        <v>4247</v>
      </c>
      <c r="J100" s="247">
        <v>24</v>
      </c>
      <c r="K100" s="425">
        <f t="shared" si="26"/>
        <v>17695.833333333336</v>
      </c>
      <c r="L100" s="247">
        <v>0</v>
      </c>
      <c r="M100" s="247">
        <v>0</v>
      </c>
      <c r="N100" s="425" t="e">
        <f t="shared" si="27"/>
        <v>#DIV/0!</v>
      </c>
      <c r="O100" s="126">
        <v>19</v>
      </c>
      <c r="P100" s="126">
        <v>140</v>
      </c>
    </row>
    <row r="101" spans="1:16" ht="17.25" x14ac:dyDescent="0.25">
      <c r="A101" s="265">
        <v>5</v>
      </c>
      <c r="B101" s="544" t="s">
        <v>631</v>
      </c>
      <c r="C101" s="247">
        <v>13332</v>
      </c>
      <c r="D101" s="247">
        <v>31558</v>
      </c>
      <c r="E101" s="425">
        <f t="shared" si="24"/>
        <v>42.246023195386272</v>
      </c>
      <c r="F101" s="247">
        <v>13332</v>
      </c>
      <c r="G101" s="247">
        <v>31558</v>
      </c>
      <c r="H101" s="425">
        <f t="shared" si="25"/>
        <v>42.246023195386272</v>
      </c>
      <c r="I101" s="247">
        <v>0</v>
      </c>
      <c r="J101" s="247">
        <v>28946</v>
      </c>
      <c r="K101" s="425">
        <f t="shared" si="26"/>
        <v>0</v>
      </c>
      <c r="L101" s="247">
        <v>0</v>
      </c>
      <c r="M101" s="247">
        <v>28946</v>
      </c>
      <c r="N101" s="425">
        <f t="shared" si="27"/>
        <v>0</v>
      </c>
      <c r="O101" s="126">
        <v>359</v>
      </c>
      <c r="P101" s="126">
        <v>52</v>
      </c>
    </row>
    <row r="102" spans="1:16" ht="17.25" x14ac:dyDescent="0.25">
      <c r="A102" s="265">
        <v>6</v>
      </c>
      <c r="B102" s="544" t="s">
        <v>632</v>
      </c>
      <c r="C102" s="247">
        <v>0</v>
      </c>
      <c r="D102" s="247">
        <v>0</v>
      </c>
      <c r="E102" s="425" t="e">
        <f t="shared" si="24"/>
        <v>#DIV/0!</v>
      </c>
      <c r="F102" s="247">
        <v>0</v>
      </c>
      <c r="G102" s="247">
        <v>0</v>
      </c>
      <c r="H102" s="425" t="e">
        <f t="shared" si="25"/>
        <v>#DIV/0!</v>
      </c>
      <c r="I102" s="247">
        <v>0</v>
      </c>
      <c r="J102" s="247">
        <v>0</v>
      </c>
      <c r="K102" s="425" t="e">
        <f t="shared" si="26"/>
        <v>#DIV/0!</v>
      </c>
      <c r="L102" s="247">
        <v>0</v>
      </c>
      <c r="M102" s="247">
        <v>0</v>
      </c>
      <c r="N102" s="425" t="e">
        <f t="shared" si="27"/>
        <v>#DIV/0!</v>
      </c>
    </row>
    <row r="103" spans="1:16" ht="17.25" x14ac:dyDescent="0.25">
      <c r="A103" s="265">
        <v>7</v>
      </c>
      <c r="B103" s="544" t="s">
        <v>633</v>
      </c>
      <c r="C103" s="247">
        <v>0</v>
      </c>
      <c r="D103" s="247">
        <v>0</v>
      </c>
      <c r="E103" s="425" t="e">
        <f t="shared" si="24"/>
        <v>#DIV/0!</v>
      </c>
      <c r="F103" s="247">
        <v>0</v>
      </c>
      <c r="G103" s="247">
        <v>0</v>
      </c>
      <c r="H103" s="425" t="e">
        <f t="shared" si="25"/>
        <v>#DIV/0!</v>
      </c>
      <c r="I103" s="247">
        <v>0</v>
      </c>
      <c r="J103" s="247">
        <v>0</v>
      </c>
      <c r="K103" s="425" t="e">
        <f t="shared" si="26"/>
        <v>#DIV/0!</v>
      </c>
      <c r="L103" s="247">
        <v>0</v>
      </c>
      <c r="M103" s="247">
        <v>0</v>
      </c>
      <c r="N103" s="425" t="e">
        <f t="shared" si="27"/>
        <v>#DIV/0!</v>
      </c>
    </row>
    <row r="104" spans="1:16" s="797" customFormat="1" ht="17.25" x14ac:dyDescent="0.25">
      <c r="A104" s="796">
        <v>8</v>
      </c>
      <c r="B104" s="665" t="s">
        <v>634</v>
      </c>
      <c r="C104" s="666">
        <v>9555</v>
      </c>
      <c r="D104" s="666">
        <v>10296</v>
      </c>
      <c r="E104" s="667">
        <f t="shared" si="24"/>
        <v>92.803030303030297</v>
      </c>
      <c r="F104" s="666">
        <v>9555</v>
      </c>
      <c r="G104" s="666">
        <v>10296</v>
      </c>
      <c r="H104" s="667">
        <f t="shared" si="25"/>
        <v>92.803030303030297</v>
      </c>
      <c r="I104" s="666">
        <v>9792</v>
      </c>
      <c r="J104" s="666">
        <v>13864</v>
      </c>
      <c r="K104" s="667">
        <f t="shared" si="26"/>
        <v>70.628967109059431</v>
      </c>
      <c r="L104" s="666">
        <v>0</v>
      </c>
      <c r="M104" s="666">
        <v>0</v>
      </c>
      <c r="N104" s="667" t="e">
        <f t="shared" si="27"/>
        <v>#DIV/0!</v>
      </c>
      <c r="O104" s="797">
        <v>94</v>
      </c>
      <c r="P104" s="797">
        <v>98</v>
      </c>
    </row>
    <row r="105" spans="1:16" s="797" customFormat="1" ht="17.25" x14ac:dyDescent="0.25">
      <c r="A105" s="796">
        <v>9</v>
      </c>
      <c r="B105" s="665" t="s">
        <v>635</v>
      </c>
      <c r="C105" s="666">
        <v>0</v>
      </c>
      <c r="D105" s="666">
        <v>0</v>
      </c>
      <c r="E105" s="667" t="e">
        <f t="shared" si="24"/>
        <v>#DIV/0!</v>
      </c>
      <c r="F105" s="666">
        <v>0</v>
      </c>
      <c r="G105" s="666">
        <v>0</v>
      </c>
      <c r="H105" s="667" t="e">
        <f t="shared" si="25"/>
        <v>#DIV/0!</v>
      </c>
      <c r="I105" s="666">
        <v>0</v>
      </c>
      <c r="J105" s="666">
        <v>0</v>
      </c>
      <c r="K105" s="667" t="e">
        <f t="shared" si="26"/>
        <v>#DIV/0!</v>
      </c>
      <c r="L105" s="666">
        <v>0</v>
      </c>
      <c r="M105" s="666">
        <v>0</v>
      </c>
      <c r="N105" s="667" t="e">
        <f t="shared" si="27"/>
        <v>#DIV/0!</v>
      </c>
    </row>
    <row r="106" spans="1:16" s="797" customFormat="1" ht="17.25" x14ac:dyDescent="0.25">
      <c r="A106" s="796">
        <v>10</v>
      </c>
      <c r="B106" s="665" t="s">
        <v>831</v>
      </c>
      <c r="C106" s="247">
        <v>23100</v>
      </c>
      <c r="D106" s="247">
        <v>0</v>
      </c>
      <c r="E106" s="667" t="e">
        <f t="shared" si="24"/>
        <v>#DIV/0!</v>
      </c>
      <c r="F106" s="666">
        <v>23100</v>
      </c>
      <c r="G106" s="666">
        <v>0</v>
      </c>
      <c r="H106" s="667" t="e">
        <f t="shared" si="25"/>
        <v>#DIV/0!</v>
      </c>
      <c r="I106" s="247">
        <v>23100</v>
      </c>
      <c r="J106" s="247">
        <v>0</v>
      </c>
      <c r="K106" s="667" t="e">
        <f t="shared" si="26"/>
        <v>#DIV/0!</v>
      </c>
      <c r="L106" s="247">
        <v>0</v>
      </c>
      <c r="M106" s="247">
        <v>0</v>
      </c>
      <c r="N106" s="667" t="e">
        <f t="shared" si="27"/>
        <v>#DIV/0!</v>
      </c>
      <c r="O106" s="797">
        <v>80</v>
      </c>
      <c r="P106" s="797">
        <v>69</v>
      </c>
    </row>
    <row r="107" spans="1:16" ht="17.25" x14ac:dyDescent="0.25">
      <c r="A107" s="265">
        <v>11</v>
      </c>
      <c r="B107" s="544" t="s">
        <v>637</v>
      </c>
      <c r="C107" s="247">
        <v>0</v>
      </c>
      <c r="D107" s="247">
        <v>0</v>
      </c>
      <c r="E107" s="425" t="e">
        <f t="shared" si="24"/>
        <v>#DIV/0!</v>
      </c>
      <c r="F107" s="247">
        <v>0</v>
      </c>
      <c r="G107" s="247">
        <v>0</v>
      </c>
      <c r="H107" s="425" t="e">
        <f t="shared" si="25"/>
        <v>#DIV/0!</v>
      </c>
      <c r="I107" s="247">
        <v>0</v>
      </c>
      <c r="J107" s="247">
        <v>0</v>
      </c>
      <c r="K107" s="425" t="e">
        <f t="shared" si="26"/>
        <v>#DIV/0!</v>
      </c>
      <c r="L107" s="247">
        <v>0</v>
      </c>
      <c r="M107" s="247">
        <v>0</v>
      </c>
      <c r="N107" s="425" t="e">
        <f t="shared" si="27"/>
        <v>#DIV/0!</v>
      </c>
    </row>
    <row r="108" spans="1:16" ht="17.25" x14ac:dyDescent="0.25">
      <c r="A108" s="265">
        <v>12</v>
      </c>
      <c r="B108" s="544" t="s">
        <v>638</v>
      </c>
      <c r="C108" s="247">
        <v>0</v>
      </c>
      <c r="D108" s="247">
        <v>0</v>
      </c>
      <c r="E108" s="425" t="e">
        <f t="shared" si="24"/>
        <v>#DIV/0!</v>
      </c>
      <c r="F108" s="247">
        <v>0</v>
      </c>
      <c r="G108" s="247">
        <v>0</v>
      </c>
      <c r="H108" s="425" t="e">
        <f t="shared" si="25"/>
        <v>#DIV/0!</v>
      </c>
      <c r="I108" s="247">
        <v>0</v>
      </c>
      <c r="J108" s="247">
        <v>0</v>
      </c>
      <c r="K108" s="425" t="e">
        <f t="shared" si="26"/>
        <v>#DIV/0!</v>
      </c>
      <c r="L108" s="247">
        <v>0</v>
      </c>
      <c r="M108" s="247">
        <v>0</v>
      </c>
      <c r="N108" s="425" t="e">
        <f t="shared" si="27"/>
        <v>#DIV/0!</v>
      </c>
      <c r="O108" s="126">
        <v>8</v>
      </c>
      <c r="P108" s="126">
        <v>58</v>
      </c>
    </row>
    <row r="109" spans="1:16" ht="17.25" x14ac:dyDescent="0.25">
      <c r="A109" s="265">
        <v>13</v>
      </c>
      <c r="B109" s="544" t="s">
        <v>639</v>
      </c>
      <c r="C109" s="247">
        <v>826</v>
      </c>
      <c r="D109" s="247">
        <v>5202</v>
      </c>
      <c r="E109" s="425">
        <f t="shared" si="24"/>
        <v>15.878508266051519</v>
      </c>
      <c r="F109" s="247">
        <v>826</v>
      </c>
      <c r="G109" s="247">
        <v>5202</v>
      </c>
      <c r="H109" s="425">
        <f t="shared" si="25"/>
        <v>15.878508266051519</v>
      </c>
      <c r="I109" s="247">
        <v>6881</v>
      </c>
      <c r="J109" s="247">
        <v>11800</v>
      </c>
      <c r="K109" s="425">
        <f t="shared" si="26"/>
        <v>58.313559322033903</v>
      </c>
      <c r="L109" s="247">
        <v>6881</v>
      </c>
      <c r="M109" s="247">
        <v>11539</v>
      </c>
      <c r="N109" s="425">
        <f t="shared" si="27"/>
        <v>59.632550480977557</v>
      </c>
      <c r="O109" s="126">
        <v>60</v>
      </c>
      <c r="P109" s="126">
        <v>45</v>
      </c>
    </row>
    <row r="110" spans="1:16" ht="17.25" x14ac:dyDescent="0.25">
      <c r="A110" s="796">
        <v>14</v>
      </c>
      <c r="B110" s="665" t="s">
        <v>640</v>
      </c>
      <c r="C110" s="247">
        <v>0</v>
      </c>
      <c r="D110" s="247">
        <v>0</v>
      </c>
      <c r="E110" s="425" t="e">
        <f t="shared" si="24"/>
        <v>#DIV/0!</v>
      </c>
      <c r="F110" s="247">
        <v>0</v>
      </c>
      <c r="G110" s="247">
        <v>0</v>
      </c>
      <c r="H110" s="425" t="e">
        <f>F110/G110*100</f>
        <v>#DIV/0!</v>
      </c>
      <c r="I110" s="247">
        <v>0</v>
      </c>
      <c r="J110" s="247">
        <v>0</v>
      </c>
      <c r="K110" s="425" t="e">
        <f t="shared" si="26"/>
        <v>#DIV/0!</v>
      </c>
      <c r="L110" s="247">
        <v>0</v>
      </c>
      <c r="M110" s="247">
        <v>0</v>
      </c>
      <c r="N110" s="425" t="e">
        <f t="shared" si="27"/>
        <v>#DIV/0!</v>
      </c>
    </row>
    <row r="111" spans="1:16" ht="17.25" x14ac:dyDescent="0.25">
      <c r="A111" s="796">
        <v>15</v>
      </c>
      <c r="B111" s="665" t="s">
        <v>641</v>
      </c>
      <c r="C111" s="247">
        <v>2892</v>
      </c>
      <c r="D111" s="247">
        <v>13517</v>
      </c>
      <c r="E111" s="425">
        <f t="shared" si="24"/>
        <v>21.395280017755418</v>
      </c>
      <c r="F111" s="247">
        <v>2892</v>
      </c>
      <c r="G111" s="247">
        <v>13517</v>
      </c>
      <c r="H111" s="425">
        <f t="shared" si="25"/>
        <v>21.395280017755418</v>
      </c>
      <c r="I111" s="247">
        <v>0</v>
      </c>
      <c r="J111" s="247">
        <v>13517</v>
      </c>
      <c r="K111" s="425">
        <f t="shared" si="26"/>
        <v>0</v>
      </c>
      <c r="L111" s="247">
        <v>0</v>
      </c>
      <c r="M111" s="247">
        <v>13517</v>
      </c>
      <c r="N111" s="425">
        <f t="shared" si="27"/>
        <v>0</v>
      </c>
      <c r="O111" s="126">
        <v>54</v>
      </c>
      <c r="P111" s="126">
        <v>70</v>
      </c>
    </row>
    <row r="112" spans="1:16" ht="17.25" x14ac:dyDescent="0.25">
      <c r="A112" s="265">
        <v>16</v>
      </c>
      <c r="B112" s="544" t="s">
        <v>642</v>
      </c>
      <c r="C112" s="247">
        <v>0</v>
      </c>
      <c r="D112" s="247">
        <v>3850</v>
      </c>
      <c r="E112" s="425">
        <f t="shared" si="24"/>
        <v>0</v>
      </c>
      <c r="F112" s="247">
        <v>0</v>
      </c>
      <c r="G112" s="247">
        <v>3850</v>
      </c>
      <c r="H112" s="425">
        <f t="shared" si="25"/>
        <v>0</v>
      </c>
      <c r="I112" s="247">
        <v>0</v>
      </c>
      <c r="J112" s="247">
        <v>3834</v>
      </c>
      <c r="K112" s="425">
        <f t="shared" si="26"/>
        <v>0</v>
      </c>
      <c r="L112" s="247">
        <v>0</v>
      </c>
      <c r="M112" s="247">
        <v>0</v>
      </c>
      <c r="N112" s="425" t="e">
        <f t="shared" si="27"/>
        <v>#DIV/0!</v>
      </c>
      <c r="O112" s="126">
        <v>37</v>
      </c>
      <c r="P112" s="126">
        <v>76</v>
      </c>
    </row>
    <row r="113" spans="1:16" ht="34.5" x14ac:dyDescent="0.25">
      <c r="A113" s="265">
        <v>17</v>
      </c>
      <c r="B113" s="544" t="s">
        <v>643</v>
      </c>
      <c r="C113" s="247">
        <v>50304</v>
      </c>
      <c r="D113" s="247">
        <v>41204</v>
      </c>
      <c r="E113" s="425">
        <f t="shared" si="24"/>
        <v>122.08523444325795</v>
      </c>
      <c r="F113" s="247">
        <v>50304</v>
      </c>
      <c r="G113" s="247">
        <v>41204</v>
      </c>
      <c r="H113" s="425">
        <f t="shared" si="25"/>
        <v>122.08523444325795</v>
      </c>
      <c r="I113" s="247">
        <v>10848</v>
      </c>
      <c r="J113" s="247">
        <v>27553</v>
      </c>
      <c r="K113" s="425">
        <f t="shared" si="26"/>
        <v>39.371393314702573</v>
      </c>
      <c r="L113" s="247">
        <v>0</v>
      </c>
      <c r="M113" s="247">
        <v>0</v>
      </c>
      <c r="N113" s="425" t="e">
        <f t="shared" si="27"/>
        <v>#DIV/0!</v>
      </c>
      <c r="O113" s="126">
        <v>181</v>
      </c>
      <c r="P113" s="126">
        <v>120</v>
      </c>
    </row>
    <row r="114" spans="1:16" ht="34.5" x14ac:dyDescent="0.25">
      <c r="A114" s="265">
        <v>18</v>
      </c>
      <c r="B114" s="544" t="s">
        <v>644</v>
      </c>
      <c r="C114" s="247">
        <v>14985</v>
      </c>
      <c r="D114" s="247">
        <v>123592</v>
      </c>
      <c r="E114" s="425">
        <f t="shared" si="24"/>
        <v>12.124571169654994</v>
      </c>
      <c r="F114" s="247">
        <v>14985</v>
      </c>
      <c r="G114" s="247">
        <v>123592</v>
      </c>
      <c r="H114" s="425">
        <f t="shared" si="25"/>
        <v>12.124571169654994</v>
      </c>
      <c r="I114" s="247">
        <v>14985</v>
      </c>
      <c r="J114" s="247">
        <v>123592</v>
      </c>
      <c r="K114" s="425">
        <f t="shared" si="26"/>
        <v>12.124571169654994</v>
      </c>
      <c r="L114" s="247">
        <v>14985</v>
      </c>
      <c r="M114" s="247">
        <v>123592</v>
      </c>
      <c r="N114" s="425">
        <f t="shared" si="27"/>
        <v>12.124571169654994</v>
      </c>
      <c r="O114" s="126">
        <v>765</v>
      </c>
      <c r="P114" s="126">
        <v>59</v>
      </c>
    </row>
    <row r="115" spans="1:16" ht="17.25" x14ac:dyDescent="0.25">
      <c r="A115" s="265">
        <v>19</v>
      </c>
      <c r="B115" s="665" t="s">
        <v>645</v>
      </c>
      <c r="C115" s="247">
        <v>0</v>
      </c>
      <c r="D115" s="247">
        <v>0</v>
      </c>
      <c r="E115" s="425" t="e">
        <f t="shared" si="24"/>
        <v>#DIV/0!</v>
      </c>
      <c r="F115" s="247">
        <v>0</v>
      </c>
      <c r="G115" s="247">
        <v>0</v>
      </c>
      <c r="H115" s="425" t="e">
        <f t="shared" si="25"/>
        <v>#DIV/0!</v>
      </c>
      <c r="I115" s="247">
        <v>0</v>
      </c>
      <c r="J115" s="247">
        <v>0</v>
      </c>
      <c r="K115" s="425" t="e">
        <f t="shared" si="26"/>
        <v>#DIV/0!</v>
      </c>
      <c r="L115" s="247">
        <v>0</v>
      </c>
      <c r="M115" s="247">
        <v>0</v>
      </c>
      <c r="N115" s="425" t="e">
        <f t="shared" si="27"/>
        <v>#DIV/0!</v>
      </c>
      <c r="O115" s="126">
        <v>28</v>
      </c>
      <c r="P115" s="126">
        <v>67</v>
      </c>
    </row>
    <row r="116" spans="1:16" ht="34.5" x14ac:dyDescent="0.25">
      <c r="A116" s="265">
        <v>20</v>
      </c>
      <c r="B116" s="544" t="s">
        <v>646</v>
      </c>
      <c r="C116" s="247">
        <v>0</v>
      </c>
      <c r="D116" s="247">
        <v>0</v>
      </c>
      <c r="E116" s="425" t="e">
        <f t="shared" si="24"/>
        <v>#DIV/0!</v>
      </c>
      <c r="F116" s="247">
        <v>0</v>
      </c>
      <c r="G116" s="247">
        <v>0</v>
      </c>
      <c r="H116" s="425" t="e">
        <f t="shared" si="25"/>
        <v>#DIV/0!</v>
      </c>
      <c r="I116" s="247">
        <v>0</v>
      </c>
      <c r="J116" s="247">
        <v>0</v>
      </c>
      <c r="K116" s="425" t="e">
        <f t="shared" si="26"/>
        <v>#DIV/0!</v>
      </c>
      <c r="L116" s="247">
        <v>0</v>
      </c>
      <c r="M116" s="247">
        <v>0</v>
      </c>
      <c r="N116" s="425" t="e">
        <f t="shared" si="27"/>
        <v>#DIV/0!</v>
      </c>
    </row>
    <row r="117" spans="1:16" ht="17.25" x14ac:dyDescent="0.25">
      <c r="A117" s="265">
        <v>21</v>
      </c>
      <c r="B117" s="544" t="s">
        <v>647</v>
      </c>
      <c r="C117" s="247">
        <v>1549</v>
      </c>
      <c r="D117" s="247">
        <v>4587</v>
      </c>
      <c r="E117" s="425">
        <f t="shared" si="24"/>
        <v>33.769348157837364</v>
      </c>
      <c r="F117" s="247">
        <v>1549</v>
      </c>
      <c r="G117" s="247">
        <v>4587</v>
      </c>
      <c r="H117" s="425">
        <f t="shared" si="25"/>
        <v>33.769348157837364</v>
      </c>
      <c r="I117" s="247">
        <v>1549</v>
      </c>
      <c r="J117" s="247">
        <v>4587</v>
      </c>
      <c r="K117" s="425">
        <f t="shared" si="26"/>
        <v>33.769348157837364</v>
      </c>
      <c r="L117" s="247">
        <v>1549</v>
      </c>
      <c r="M117" s="247">
        <v>4587</v>
      </c>
      <c r="N117" s="425">
        <f t="shared" si="27"/>
        <v>33.769348157837364</v>
      </c>
      <c r="O117" s="126">
        <v>16</v>
      </c>
      <c r="P117" s="126">
        <v>70</v>
      </c>
    </row>
    <row r="118" spans="1:16" ht="17.25" x14ac:dyDescent="0.25">
      <c r="A118" s="265">
        <v>22</v>
      </c>
      <c r="B118" s="544" t="s">
        <v>648</v>
      </c>
      <c r="C118" s="247">
        <v>0</v>
      </c>
      <c r="D118" s="247">
        <v>0</v>
      </c>
      <c r="E118" s="425" t="e">
        <f t="shared" si="24"/>
        <v>#DIV/0!</v>
      </c>
      <c r="F118" s="247">
        <v>0</v>
      </c>
      <c r="G118" s="247">
        <v>0</v>
      </c>
      <c r="H118" s="425" t="e">
        <f t="shared" si="25"/>
        <v>#DIV/0!</v>
      </c>
      <c r="I118" s="247">
        <v>897</v>
      </c>
      <c r="J118" s="247">
        <v>2187</v>
      </c>
      <c r="K118" s="425">
        <f t="shared" si="26"/>
        <v>41.015089163237313</v>
      </c>
      <c r="L118" s="247">
        <v>0</v>
      </c>
      <c r="M118" s="247">
        <v>0</v>
      </c>
      <c r="N118" s="425" t="e">
        <f t="shared" si="27"/>
        <v>#DIV/0!</v>
      </c>
      <c r="O118" s="126">
        <v>13</v>
      </c>
      <c r="P118" s="126">
        <v>95</v>
      </c>
    </row>
    <row r="119" spans="1:16" ht="17.25" x14ac:dyDescent="0.25">
      <c r="A119" s="265">
        <v>23</v>
      </c>
      <c r="B119" s="665" t="s">
        <v>649</v>
      </c>
      <c r="C119" s="247">
        <v>8818</v>
      </c>
      <c r="D119" s="247">
        <v>4210</v>
      </c>
      <c r="E119" s="425">
        <f t="shared" si="24"/>
        <v>209.45368171021377</v>
      </c>
      <c r="F119" s="247">
        <v>8818</v>
      </c>
      <c r="G119" s="247">
        <v>4210</v>
      </c>
      <c r="H119" s="425">
        <f t="shared" si="25"/>
        <v>209.45368171021377</v>
      </c>
      <c r="I119" s="247">
        <v>5597</v>
      </c>
      <c r="J119" s="247">
        <v>4576</v>
      </c>
      <c r="K119" s="425">
        <f t="shared" si="26"/>
        <v>122.31206293706293</v>
      </c>
      <c r="L119" s="247">
        <v>0</v>
      </c>
      <c r="M119" s="247">
        <v>0</v>
      </c>
      <c r="N119" s="425" t="e">
        <f t="shared" si="27"/>
        <v>#DIV/0!</v>
      </c>
      <c r="O119" s="126">
        <v>13</v>
      </c>
      <c r="P119" s="126">
        <v>80</v>
      </c>
    </row>
    <row r="120" spans="1:16" ht="17.25" x14ac:dyDescent="0.25">
      <c r="A120" s="265">
        <v>24</v>
      </c>
      <c r="B120" s="544" t="s">
        <v>650</v>
      </c>
      <c r="C120" s="247">
        <v>5181</v>
      </c>
      <c r="D120" s="247">
        <v>12078</v>
      </c>
      <c r="E120" s="425">
        <f t="shared" si="24"/>
        <v>42.896174863387976</v>
      </c>
      <c r="F120" s="247">
        <v>5181</v>
      </c>
      <c r="G120" s="247">
        <v>12078</v>
      </c>
      <c r="H120" s="425">
        <f t="shared" si="25"/>
        <v>42.896174863387976</v>
      </c>
      <c r="I120" s="247">
        <v>17976</v>
      </c>
      <c r="J120" s="247">
        <v>4356</v>
      </c>
      <c r="K120" s="425">
        <f t="shared" si="26"/>
        <v>412.67217630853992</v>
      </c>
      <c r="L120" s="247">
        <v>0</v>
      </c>
      <c r="M120" s="247">
        <v>0</v>
      </c>
      <c r="N120" s="425" t="e">
        <f t="shared" si="27"/>
        <v>#DIV/0!</v>
      </c>
      <c r="O120" s="126">
        <v>48</v>
      </c>
      <c r="P120" s="126">
        <v>70</v>
      </c>
    </row>
    <row r="121" spans="1:16" ht="34.5" x14ac:dyDescent="0.25">
      <c r="A121" s="265">
        <v>25</v>
      </c>
      <c r="B121" s="544" t="s">
        <v>651</v>
      </c>
      <c r="C121" s="247">
        <v>102</v>
      </c>
      <c r="D121" s="247">
        <v>1536</v>
      </c>
      <c r="E121" s="425">
        <f t="shared" si="24"/>
        <v>6.640625</v>
      </c>
      <c r="F121" s="247">
        <v>102</v>
      </c>
      <c r="G121" s="247">
        <v>1536</v>
      </c>
      <c r="H121" s="425">
        <f t="shared" si="25"/>
        <v>6.640625</v>
      </c>
      <c r="I121" s="247">
        <v>102</v>
      </c>
      <c r="J121" s="247">
        <v>1441</v>
      </c>
      <c r="K121" s="425">
        <f t="shared" si="26"/>
        <v>7.0784177654406655</v>
      </c>
      <c r="L121" s="247">
        <v>0</v>
      </c>
      <c r="M121" s="247">
        <v>0</v>
      </c>
      <c r="N121" s="425" t="e">
        <f t="shared" si="27"/>
        <v>#DIV/0!</v>
      </c>
      <c r="O121" s="126">
        <v>23</v>
      </c>
      <c r="P121" s="126">
        <v>69</v>
      </c>
    </row>
    <row r="122" spans="1:16" s="668" customFormat="1" ht="17.25" x14ac:dyDescent="0.25">
      <c r="A122" s="796">
        <v>26</v>
      </c>
      <c r="B122" s="665" t="s">
        <v>228</v>
      </c>
      <c r="C122" s="666">
        <v>0</v>
      </c>
      <c r="D122" s="666">
        <v>1275</v>
      </c>
      <c r="E122" s="667">
        <f t="shared" si="24"/>
        <v>0</v>
      </c>
      <c r="F122" s="666">
        <v>0</v>
      </c>
      <c r="G122" s="666">
        <v>1275</v>
      </c>
      <c r="H122" s="667">
        <f t="shared" si="25"/>
        <v>0</v>
      </c>
      <c r="I122" s="666">
        <v>743</v>
      </c>
      <c r="J122" s="666">
        <v>1024</v>
      </c>
      <c r="K122" s="667">
        <f t="shared" si="26"/>
        <v>72.55859375</v>
      </c>
      <c r="L122" s="666">
        <v>0</v>
      </c>
      <c r="M122" s="666">
        <v>0</v>
      </c>
      <c r="N122" s="667" t="e">
        <f t="shared" si="27"/>
        <v>#DIV/0!</v>
      </c>
      <c r="O122" s="668">
        <v>15</v>
      </c>
      <c r="P122" s="668">
        <v>65</v>
      </c>
    </row>
    <row r="123" spans="1:16" s="668" customFormat="1" ht="34.5" x14ac:dyDescent="0.25">
      <c r="A123" s="796">
        <v>27</v>
      </c>
      <c r="B123" s="665" t="s">
        <v>784</v>
      </c>
      <c r="C123" s="666">
        <v>7092</v>
      </c>
      <c r="D123" s="666">
        <v>3408</v>
      </c>
      <c r="E123" s="667">
        <f t="shared" si="24"/>
        <v>208.09859154929575</v>
      </c>
      <c r="F123" s="666">
        <v>7092</v>
      </c>
      <c r="G123" s="666">
        <v>3408</v>
      </c>
      <c r="H123" s="667">
        <f t="shared" si="25"/>
        <v>208.09859154929575</v>
      </c>
      <c r="I123" s="666">
        <v>7733</v>
      </c>
      <c r="J123" s="666">
        <v>4575</v>
      </c>
      <c r="K123" s="667">
        <f t="shared" si="26"/>
        <v>169.0273224043716</v>
      </c>
      <c r="L123" s="666">
        <v>0</v>
      </c>
      <c r="M123" s="666">
        <v>0</v>
      </c>
      <c r="N123" s="667" t="e">
        <f t="shared" si="27"/>
        <v>#DIV/0!</v>
      </c>
      <c r="O123" s="668">
        <v>38</v>
      </c>
    </row>
    <row r="124" spans="1:16" s="563" customFormat="1" ht="17.25" x14ac:dyDescent="0.25">
      <c r="A124" s="265">
        <v>28</v>
      </c>
      <c r="B124" s="544" t="s">
        <v>238</v>
      </c>
      <c r="C124" s="247">
        <v>2330</v>
      </c>
      <c r="D124" s="247">
        <v>4494</v>
      </c>
      <c r="E124" s="425">
        <f t="shared" si="24"/>
        <v>51.846906987093902</v>
      </c>
      <c r="F124" s="247">
        <v>2330</v>
      </c>
      <c r="G124" s="247">
        <v>4494</v>
      </c>
      <c r="H124" s="425">
        <f t="shared" si="25"/>
        <v>51.846906987093902</v>
      </c>
      <c r="I124" s="247">
        <v>2330</v>
      </c>
      <c r="J124" s="247">
        <v>4494</v>
      </c>
      <c r="K124" s="425">
        <f t="shared" si="26"/>
        <v>51.846906987093902</v>
      </c>
      <c r="L124" s="247">
        <v>0</v>
      </c>
      <c r="M124" s="247">
        <v>0</v>
      </c>
      <c r="N124" s="425" t="e">
        <f t="shared" si="27"/>
        <v>#DIV/0!</v>
      </c>
      <c r="O124" s="646">
        <v>37</v>
      </c>
      <c r="P124" s="646">
        <v>75</v>
      </c>
    </row>
    <row r="126" spans="1:16" ht="17.25" x14ac:dyDescent="0.25">
      <c r="A126" s="353"/>
      <c r="B126" s="868" t="s">
        <v>360</v>
      </c>
      <c r="C126" s="463">
        <f>SUM(C127:C132)</f>
        <v>0</v>
      </c>
      <c r="D126" s="454">
        <f>SUM(D127:D132)</f>
        <v>9321</v>
      </c>
      <c r="E126" s="453">
        <f>C126/D126*100</f>
        <v>0</v>
      </c>
      <c r="F126" s="454">
        <f>SUM(F127:F132)</f>
        <v>0</v>
      </c>
      <c r="G126" s="454">
        <f>SUM(G127:G132)</f>
        <v>9321</v>
      </c>
      <c r="H126" s="453">
        <f>F126/G126*100</f>
        <v>0</v>
      </c>
      <c r="I126" s="454">
        <f>SUM(I127:I132)</f>
        <v>0</v>
      </c>
      <c r="J126" s="454">
        <f>SUM(J127:J132)</f>
        <v>94</v>
      </c>
      <c r="K126" s="453">
        <f>I126/J126*100</f>
        <v>0</v>
      </c>
      <c r="L126" s="454">
        <f>SUM(L127:L132)</f>
        <v>0</v>
      </c>
      <c r="M126" s="454">
        <f>SUM(M127:M132)</f>
        <v>0</v>
      </c>
      <c r="N126" s="453" t="e">
        <f>L126/M126*100</f>
        <v>#DIV/0!</v>
      </c>
    </row>
    <row r="127" spans="1:16" ht="17.25" x14ac:dyDescent="0.25">
      <c r="A127" s="252">
        <v>1</v>
      </c>
      <c r="B127" s="544" t="s">
        <v>652</v>
      </c>
      <c r="C127" s="247">
        <v>0</v>
      </c>
      <c r="D127" s="247">
        <v>9321</v>
      </c>
      <c r="E127" s="425">
        <f t="shared" ref="E127:E132" si="28">C127/D127*100</f>
        <v>0</v>
      </c>
      <c r="F127" s="247">
        <v>0</v>
      </c>
      <c r="G127" s="247">
        <v>9321</v>
      </c>
      <c r="H127" s="425">
        <f t="shared" ref="H127:H132" si="29">F127/G127*100</f>
        <v>0</v>
      </c>
      <c r="I127" s="247">
        <v>0</v>
      </c>
      <c r="J127" s="247">
        <v>94</v>
      </c>
      <c r="K127" s="425">
        <f t="shared" ref="K127:K132" si="30">I127/J127*100</f>
        <v>0</v>
      </c>
      <c r="L127" s="247">
        <v>0</v>
      </c>
      <c r="M127" s="247">
        <v>0</v>
      </c>
      <c r="N127" s="808" t="e">
        <f t="shared" ref="N127:N132" si="31">L127/M127*100</f>
        <v>#DIV/0!</v>
      </c>
      <c r="O127" s="126">
        <v>69</v>
      </c>
      <c r="P127" s="126">
        <v>80</v>
      </c>
    </row>
    <row r="128" spans="1:16" ht="17.25" x14ac:dyDescent="0.25">
      <c r="A128" s="252">
        <v>2</v>
      </c>
      <c r="B128" s="544" t="s">
        <v>653</v>
      </c>
      <c r="C128" s="247">
        <v>0</v>
      </c>
      <c r="D128" s="247">
        <v>0</v>
      </c>
      <c r="E128" s="425" t="e">
        <f t="shared" si="28"/>
        <v>#DIV/0!</v>
      </c>
      <c r="F128" s="247">
        <v>0</v>
      </c>
      <c r="G128" s="247">
        <v>0</v>
      </c>
      <c r="H128" s="425" t="e">
        <f t="shared" si="29"/>
        <v>#DIV/0!</v>
      </c>
      <c r="I128" s="247">
        <v>0</v>
      </c>
      <c r="J128" s="247">
        <v>0</v>
      </c>
      <c r="K128" s="425" t="e">
        <f t="shared" si="30"/>
        <v>#DIV/0!</v>
      </c>
      <c r="L128" s="247">
        <v>0</v>
      </c>
      <c r="M128" s="247">
        <v>0</v>
      </c>
      <c r="N128" s="808" t="e">
        <f t="shared" si="31"/>
        <v>#DIV/0!</v>
      </c>
    </row>
    <row r="129" spans="1:16" ht="17.25" x14ac:dyDescent="0.25">
      <c r="A129" s="252">
        <v>3</v>
      </c>
      <c r="B129" s="544" t="s">
        <v>654</v>
      </c>
      <c r="C129" s="247">
        <v>0</v>
      </c>
      <c r="D129" s="247">
        <v>0</v>
      </c>
      <c r="E129" s="425" t="e">
        <f t="shared" si="28"/>
        <v>#DIV/0!</v>
      </c>
      <c r="F129" s="247">
        <v>0</v>
      </c>
      <c r="G129" s="247">
        <v>0</v>
      </c>
      <c r="H129" s="425" t="e">
        <f t="shared" si="29"/>
        <v>#DIV/0!</v>
      </c>
      <c r="I129" s="247">
        <v>0</v>
      </c>
      <c r="J129" s="247">
        <v>0</v>
      </c>
      <c r="K129" s="425" t="e">
        <f t="shared" si="30"/>
        <v>#DIV/0!</v>
      </c>
      <c r="L129" s="247">
        <v>0</v>
      </c>
      <c r="M129" s="247">
        <v>0</v>
      </c>
      <c r="N129" s="808" t="e">
        <f t="shared" si="31"/>
        <v>#DIV/0!</v>
      </c>
    </row>
    <row r="130" spans="1:16" s="668" customFormat="1" ht="17.25" x14ac:dyDescent="0.25">
      <c r="A130" s="793">
        <v>4</v>
      </c>
      <c r="B130" s="665" t="s">
        <v>796</v>
      </c>
      <c r="C130" s="666">
        <v>0</v>
      </c>
      <c r="D130" s="666">
        <v>0</v>
      </c>
      <c r="E130" s="667" t="e">
        <f t="shared" si="28"/>
        <v>#DIV/0!</v>
      </c>
      <c r="F130" s="666">
        <v>0</v>
      </c>
      <c r="G130" s="666">
        <v>0</v>
      </c>
      <c r="H130" s="667" t="e">
        <f t="shared" si="29"/>
        <v>#DIV/0!</v>
      </c>
      <c r="I130" s="666">
        <v>0</v>
      </c>
      <c r="J130" s="666">
        <v>0</v>
      </c>
      <c r="K130" s="667" t="e">
        <f t="shared" si="30"/>
        <v>#DIV/0!</v>
      </c>
      <c r="L130" s="666">
        <v>0</v>
      </c>
      <c r="M130" s="666">
        <v>0</v>
      </c>
      <c r="N130" s="808" t="e">
        <f t="shared" si="31"/>
        <v>#DIV/0!</v>
      </c>
      <c r="O130" s="668">
        <v>8</v>
      </c>
      <c r="P130" s="668">
        <v>70</v>
      </c>
    </row>
    <row r="131" spans="1:16" ht="17.25" x14ac:dyDescent="0.25">
      <c r="A131" s="252">
        <v>5</v>
      </c>
      <c r="B131" s="544" t="s">
        <v>656</v>
      </c>
      <c r="C131" s="247">
        <v>0</v>
      </c>
      <c r="D131" s="247">
        <v>0</v>
      </c>
      <c r="E131" s="425" t="e">
        <f t="shared" si="28"/>
        <v>#DIV/0!</v>
      </c>
      <c r="F131" s="247">
        <v>0</v>
      </c>
      <c r="G131" s="247">
        <v>0</v>
      </c>
      <c r="H131" s="425" t="e">
        <f t="shared" si="29"/>
        <v>#DIV/0!</v>
      </c>
      <c r="I131" s="247">
        <v>0</v>
      </c>
      <c r="J131" s="247">
        <v>0</v>
      </c>
      <c r="K131" s="425" t="e">
        <f t="shared" si="30"/>
        <v>#DIV/0!</v>
      </c>
      <c r="L131" s="247">
        <v>0</v>
      </c>
      <c r="M131" s="247">
        <v>0</v>
      </c>
      <c r="N131" s="808" t="e">
        <f t="shared" si="31"/>
        <v>#DIV/0!</v>
      </c>
    </row>
    <row r="132" spans="1:16" ht="17.25" x14ac:dyDescent="0.25">
      <c r="A132" s="793">
        <v>6</v>
      </c>
      <c r="B132" s="665" t="s">
        <v>657</v>
      </c>
      <c r="C132" s="247">
        <v>0</v>
      </c>
      <c r="D132" s="247">
        <v>0</v>
      </c>
      <c r="E132" s="425" t="e">
        <f t="shared" si="28"/>
        <v>#DIV/0!</v>
      </c>
      <c r="F132" s="247">
        <v>0</v>
      </c>
      <c r="G132" s="247">
        <v>0</v>
      </c>
      <c r="H132" s="425" t="e">
        <f t="shared" si="29"/>
        <v>#DIV/0!</v>
      </c>
      <c r="I132" s="247">
        <v>0</v>
      </c>
      <c r="J132" s="247">
        <v>0</v>
      </c>
      <c r="K132" s="425" t="e">
        <f t="shared" si="30"/>
        <v>#DIV/0!</v>
      </c>
      <c r="L132" s="247">
        <v>0</v>
      </c>
      <c r="M132" s="247">
        <v>0</v>
      </c>
      <c r="N132" s="808" t="e">
        <f t="shared" si="31"/>
        <v>#DIV/0!</v>
      </c>
      <c r="O132" s="126">
        <v>21</v>
      </c>
      <c r="P132" s="126">
        <v>100</v>
      </c>
    </row>
    <row r="133" spans="1:16" ht="12.75" customHeight="1" x14ac:dyDescent="0.25">
      <c r="A133" s="564"/>
      <c r="B133" s="565"/>
      <c r="C133" s="445"/>
      <c r="D133" s="445"/>
      <c r="E133" s="439"/>
      <c r="F133" s="445"/>
      <c r="G133" s="445"/>
      <c r="H133" s="439"/>
      <c r="I133" s="445"/>
      <c r="J133" s="445"/>
      <c r="K133" s="439"/>
      <c r="L133" s="445"/>
      <c r="M133" s="445"/>
      <c r="N133" s="439"/>
    </row>
    <row r="134" spans="1:16" s="599" customFormat="1" x14ac:dyDescent="0.25">
      <c r="A134" s="1043" t="s">
        <v>737</v>
      </c>
      <c r="B134" s="1044" t="s">
        <v>78</v>
      </c>
      <c r="C134" s="345">
        <f>C135+C145</f>
        <v>30128834</v>
      </c>
      <c r="D134" s="345">
        <f>D135+D145</f>
        <v>26599921</v>
      </c>
      <c r="E134" s="467">
        <f>C134/D134*100</f>
        <v>113.26662962645642</v>
      </c>
      <c r="F134" s="345">
        <f>F135+F145</f>
        <v>30128834</v>
      </c>
      <c r="G134" s="345">
        <f>G135+G145</f>
        <v>26599921</v>
      </c>
      <c r="H134" s="467">
        <f>F134/G134*100</f>
        <v>113.26662962645642</v>
      </c>
      <c r="I134" s="345">
        <f>I135+I145</f>
        <v>22865155</v>
      </c>
      <c r="J134" s="345">
        <f>J135+J145</f>
        <v>24021191</v>
      </c>
      <c r="K134" s="467">
        <f>I134/J134*100</f>
        <v>95.187432629797584</v>
      </c>
      <c r="L134" s="345">
        <f>L135+L145</f>
        <v>18024980</v>
      </c>
      <c r="M134" s="345">
        <f>M135+M145</f>
        <v>19487425</v>
      </c>
      <c r="N134" s="467">
        <f>L134/M134*100</f>
        <v>92.495442573864935</v>
      </c>
    </row>
    <row r="135" spans="1:16" x14ac:dyDescent="0.25">
      <c r="A135" s="1033" t="s">
        <v>365</v>
      </c>
      <c r="B135" s="1034" t="s">
        <v>135</v>
      </c>
      <c r="C135" s="254">
        <f>SUM(C136:C143)</f>
        <v>14441323</v>
      </c>
      <c r="D135" s="254">
        <f>SUM(D136:D143)</f>
        <v>14123944</v>
      </c>
      <c r="E135" s="451">
        <f>C135/D135*100</f>
        <v>102.24709896895654</v>
      </c>
      <c r="F135" s="254">
        <f>SUM(F136:F143)</f>
        <v>14441323</v>
      </c>
      <c r="G135" s="254">
        <f>SUM(G136:G143)</f>
        <v>14123944</v>
      </c>
      <c r="H135" s="451">
        <f>F135/G135*100</f>
        <v>102.24709896895654</v>
      </c>
      <c r="I135" s="254">
        <f>SUM(I136:I143)</f>
        <v>11536405</v>
      </c>
      <c r="J135" s="254">
        <f>SUM(J136:J143)</f>
        <v>12107426</v>
      </c>
      <c r="K135" s="451">
        <f>I135/J135*100</f>
        <v>95.283712657009005</v>
      </c>
      <c r="L135" s="254">
        <f>SUM(L136:L143)</f>
        <v>7571599</v>
      </c>
      <c r="M135" s="254">
        <f>SUM(M136:M143)</f>
        <v>7997552</v>
      </c>
      <c r="N135" s="451">
        <f>L135/M135*100</f>
        <v>94.673957731065713</v>
      </c>
    </row>
    <row r="136" spans="1:16" ht="17.25" x14ac:dyDescent="0.25">
      <c r="A136" s="748">
        <v>1</v>
      </c>
      <c r="B136" s="665" t="s">
        <v>658</v>
      </c>
      <c r="C136" s="247">
        <v>10267426</v>
      </c>
      <c r="D136" s="247">
        <v>9774396</v>
      </c>
      <c r="E136" s="425">
        <f t="shared" ref="E136:E143" si="32">C136/D136*100</f>
        <v>105.04409684240336</v>
      </c>
      <c r="F136" s="247">
        <v>10267426</v>
      </c>
      <c r="G136" s="247">
        <v>9774396</v>
      </c>
      <c r="H136" s="425">
        <f t="shared" ref="H136:H143" si="33">F136/G136*100</f>
        <v>105.04409684240336</v>
      </c>
      <c r="I136" s="247">
        <v>9401198</v>
      </c>
      <c r="J136" s="247">
        <v>9339423</v>
      </c>
      <c r="K136" s="425">
        <f t="shared" ref="K136:K143" si="34">I136/J136*100</f>
        <v>100.66144343178374</v>
      </c>
      <c r="L136" s="247">
        <v>5495936</v>
      </c>
      <c r="M136" s="247">
        <v>5279528</v>
      </c>
      <c r="N136" s="425">
        <f t="shared" ref="N136:N143" si="35">L136/M136*100</f>
        <v>104.09900278964332</v>
      </c>
      <c r="O136" s="126">
        <v>3032</v>
      </c>
      <c r="P136" s="126">
        <v>145</v>
      </c>
    </row>
    <row r="137" spans="1:16" ht="17.25" x14ac:dyDescent="0.25">
      <c r="A137" s="748">
        <v>2</v>
      </c>
      <c r="B137" s="665" t="s">
        <v>659</v>
      </c>
      <c r="C137" s="247">
        <v>2156033</v>
      </c>
      <c r="D137" s="247">
        <v>2197021</v>
      </c>
      <c r="E137" s="425">
        <f t="shared" si="32"/>
        <v>98.134382875721258</v>
      </c>
      <c r="F137" s="247">
        <v>2156033</v>
      </c>
      <c r="G137" s="247">
        <v>2197021</v>
      </c>
      <c r="H137" s="425">
        <f t="shared" si="33"/>
        <v>98.134382875721258</v>
      </c>
      <c r="I137" s="247">
        <v>1672206</v>
      </c>
      <c r="J137" s="247">
        <v>1954513</v>
      </c>
      <c r="K137" s="425">
        <f t="shared" si="34"/>
        <v>85.556146211358026</v>
      </c>
      <c r="L137" s="247">
        <v>1672206</v>
      </c>
      <c r="M137" s="247">
        <v>1954513</v>
      </c>
      <c r="N137" s="425">
        <f t="shared" si="35"/>
        <v>85.556146211358026</v>
      </c>
      <c r="O137" s="126">
        <v>1012</v>
      </c>
      <c r="P137" s="126">
        <v>120</v>
      </c>
    </row>
    <row r="138" spans="1:16" ht="34.5" x14ac:dyDescent="0.25">
      <c r="A138" s="748">
        <v>3</v>
      </c>
      <c r="B138" s="665" t="s">
        <v>660</v>
      </c>
      <c r="C138" s="247">
        <v>1176996</v>
      </c>
      <c r="D138" s="247">
        <v>1537212</v>
      </c>
      <c r="E138" s="425">
        <f t="shared" si="32"/>
        <v>76.566927658644346</v>
      </c>
      <c r="F138" s="247">
        <v>1176996</v>
      </c>
      <c r="G138" s="247">
        <v>1537212</v>
      </c>
      <c r="H138" s="425">
        <f t="shared" si="33"/>
        <v>76.566927658644346</v>
      </c>
      <c r="I138" s="247">
        <v>0</v>
      </c>
      <c r="J138" s="247">
        <v>179135</v>
      </c>
      <c r="K138" s="425">
        <f t="shared" si="34"/>
        <v>0</v>
      </c>
      <c r="L138" s="247">
        <v>0</v>
      </c>
      <c r="M138" s="247">
        <v>179135</v>
      </c>
      <c r="N138" s="425">
        <f t="shared" si="35"/>
        <v>0</v>
      </c>
      <c r="O138" s="126">
        <v>1060</v>
      </c>
      <c r="P138" s="126">
        <v>306</v>
      </c>
    </row>
    <row r="139" spans="1:16" ht="17.25" x14ac:dyDescent="0.25">
      <c r="A139" s="272">
        <v>4</v>
      </c>
      <c r="B139" s="544" t="s">
        <v>661</v>
      </c>
      <c r="C139" s="247">
        <v>561121</v>
      </c>
      <c r="D139" s="247">
        <v>615315</v>
      </c>
      <c r="E139" s="425">
        <f t="shared" si="32"/>
        <v>91.192478649147176</v>
      </c>
      <c r="F139" s="247">
        <v>561121</v>
      </c>
      <c r="G139" s="247">
        <v>615315</v>
      </c>
      <c r="H139" s="425">
        <f t="shared" si="33"/>
        <v>91.192478649147176</v>
      </c>
      <c r="I139" s="247">
        <v>403457</v>
      </c>
      <c r="J139" s="247">
        <v>584376</v>
      </c>
      <c r="K139" s="425">
        <f t="shared" si="34"/>
        <v>69.040651909044854</v>
      </c>
      <c r="L139" s="247">
        <v>403457</v>
      </c>
      <c r="M139" s="247">
        <v>584376</v>
      </c>
      <c r="N139" s="425">
        <f t="shared" si="35"/>
        <v>69.040651909044854</v>
      </c>
      <c r="O139" s="126">
        <v>696</v>
      </c>
      <c r="P139" s="126">
        <v>286</v>
      </c>
    </row>
    <row r="140" spans="1:16" ht="17.25" x14ac:dyDescent="0.25">
      <c r="A140" s="272">
        <v>5</v>
      </c>
      <c r="B140" s="544" t="s">
        <v>662</v>
      </c>
      <c r="C140" s="247">
        <v>279267</v>
      </c>
      <c r="D140" s="247">
        <v>0</v>
      </c>
      <c r="E140" s="425" t="e">
        <f t="shared" si="32"/>
        <v>#DIV/0!</v>
      </c>
      <c r="F140" s="247">
        <v>279267</v>
      </c>
      <c r="G140" s="247">
        <v>0</v>
      </c>
      <c r="H140" s="425" t="e">
        <f t="shared" si="33"/>
        <v>#DIV/0!</v>
      </c>
      <c r="I140" s="247">
        <v>0</v>
      </c>
      <c r="J140" s="247">
        <v>0</v>
      </c>
      <c r="K140" s="425" t="e">
        <f t="shared" si="34"/>
        <v>#DIV/0!</v>
      </c>
      <c r="L140" s="247">
        <v>0</v>
      </c>
      <c r="M140" s="247">
        <v>0</v>
      </c>
      <c r="N140" s="425" t="e">
        <f t="shared" si="35"/>
        <v>#DIV/0!</v>
      </c>
      <c r="O140" s="126">
        <v>402</v>
      </c>
      <c r="P140" s="126">
        <v>189</v>
      </c>
    </row>
    <row r="141" spans="1:16" s="668" customFormat="1" ht="17.25" x14ac:dyDescent="0.25">
      <c r="A141" s="748">
        <v>6</v>
      </c>
      <c r="B141" s="869" t="s">
        <v>798</v>
      </c>
      <c r="C141" s="666">
        <v>0</v>
      </c>
      <c r="D141" s="666">
        <v>0</v>
      </c>
      <c r="E141" s="667" t="e">
        <f t="shared" si="32"/>
        <v>#DIV/0!</v>
      </c>
      <c r="F141" s="666">
        <v>0</v>
      </c>
      <c r="G141" s="666">
        <v>0</v>
      </c>
      <c r="H141" s="667" t="e">
        <f t="shared" si="33"/>
        <v>#DIV/0!</v>
      </c>
      <c r="I141" s="666">
        <v>59064</v>
      </c>
      <c r="J141" s="666">
        <v>49979</v>
      </c>
      <c r="K141" s="667">
        <f t="shared" si="34"/>
        <v>118.17763460653474</v>
      </c>
      <c r="L141" s="666">
        <v>0</v>
      </c>
      <c r="M141" s="666">
        <v>0</v>
      </c>
      <c r="N141" s="667" t="e">
        <f t="shared" si="35"/>
        <v>#DIV/0!</v>
      </c>
      <c r="O141" s="668">
        <v>416</v>
      </c>
    </row>
    <row r="142" spans="1:16" s="668" customFormat="1" ht="17.25" x14ac:dyDescent="0.25">
      <c r="A142" s="748">
        <v>7</v>
      </c>
      <c r="B142" s="665" t="s">
        <v>664</v>
      </c>
      <c r="C142" s="666">
        <v>0</v>
      </c>
      <c r="D142" s="666">
        <v>0</v>
      </c>
      <c r="E142" s="667" t="e">
        <f t="shared" si="32"/>
        <v>#DIV/0!</v>
      </c>
      <c r="F142" s="666">
        <v>0</v>
      </c>
      <c r="G142" s="666">
        <v>0</v>
      </c>
      <c r="H142" s="667" t="e">
        <f t="shared" si="33"/>
        <v>#DIV/0!</v>
      </c>
      <c r="I142" s="666">
        <v>0</v>
      </c>
      <c r="J142" s="666">
        <v>0</v>
      </c>
      <c r="K142" s="667" t="e">
        <f t="shared" si="34"/>
        <v>#DIV/0!</v>
      </c>
      <c r="L142" s="666">
        <v>0</v>
      </c>
      <c r="M142" s="666">
        <v>0</v>
      </c>
      <c r="N142" s="667" t="e">
        <f t="shared" si="35"/>
        <v>#DIV/0!</v>
      </c>
    </row>
    <row r="143" spans="1:16" s="668" customFormat="1" ht="17.25" x14ac:dyDescent="0.25">
      <c r="A143" s="748">
        <v>8</v>
      </c>
      <c r="B143" s="665" t="s">
        <v>665</v>
      </c>
      <c r="C143" s="666">
        <v>480</v>
      </c>
      <c r="D143" s="666">
        <v>0</v>
      </c>
      <c r="E143" s="667" t="e">
        <f t="shared" si="32"/>
        <v>#DIV/0!</v>
      </c>
      <c r="F143" s="666">
        <v>480</v>
      </c>
      <c r="G143" s="666">
        <v>0</v>
      </c>
      <c r="H143" s="667" t="e">
        <f t="shared" si="33"/>
        <v>#DIV/0!</v>
      </c>
      <c r="I143" s="666">
        <v>480</v>
      </c>
      <c r="J143" s="666">
        <v>0</v>
      </c>
      <c r="K143" s="667" t="e">
        <f t="shared" si="34"/>
        <v>#DIV/0!</v>
      </c>
      <c r="L143" s="666">
        <v>0</v>
      </c>
      <c r="M143" s="666">
        <v>0</v>
      </c>
      <c r="N143" s="667" t="e">
        <f t="shared" si="35"/>
        <v>#DIV/0!</v>
      </c>
      <c r="O143" s="668">
        <v>28</v>
      </c>
      <c r="P143" s="668">
        <v>95</v>
      </c>
    </row>
    <row r="144" spans="1:16" ht="9.75" customHeight="1" x14ac:dyDescent="0.25">
      <c r="B144" s="566"/>
    </row>
    <row r="145" spans="1:16" ht="17.25" x14ac:dyDescent="0.25">
      <c r="A145" s="492"/>
      <c r="B145" s="495" t="s">
        <v>15</v>
      </c>
      <c r="C145" s="254">
        <f>SUM(C146:C153)</f>
        <v>15687511</v>
      </c>
      <c r="D145" s="254">
        <f>SUM(D146:D153)</f>
        <v>12475977</v>
      </c>
      <c r="E145" s="451">
        <f>C145/D145*100</f>
        <v>125.74174351235179</v>
      </c>
      <c r="F145" s="254">
        <f>SUM(F146:F153)</f>
        <v>15687511</v>
      </c>
      <c r="G145" s="254">
        <f>SUM(G146:G153)</f>
        <v>12475977</v>
      </c>
      <c r="H145" s="451">
        <f>F145/G145*100</f>
        <v>125.74174351235179</v>
      </c>
      <c r="I145" s="254">
        <f>SUM(I146:I153)</f>
        <v>11328750</v>
      </c>
      <c r="J145" s="254">
        <f>SUM(J146:J153)</f>
        <v>11913765</v>
      </c>
      <c r="K145" s="451">
        <f>I145/J145*100</f>
        <v>95.089587548520555</v>
      </c>
      <c r="L145" s="254">
        <f>SUM(L146:L153)</f>
        <v>10453381</v>
      </c>
      <c r="M145" s="254">
        <f>SUM(M146:M153)</f>
        <v>11489873</v>
      </c>
      <c r="N145" s="451">
        <f>L145/M145*100</f>
        <v>90.979082188288757</v>
      </c>
    </row>
    <row r="146" spans="1:16" ht="17.25" x14ac:dyDescent="0.25">
      <c r="A146" s="272">
        <v>1</v>
      </c>
      <c r="B146" s="544" t="s">
        <v>666</v>
      </c>
      <c r="C146" s="247">
        <v>1702797</v>
      </c>
      <c r="D146" s="247">
        <v>1605846</v>
      </c>
      <c r="E146" s="425">
        <f t="shared" ref="E146:E153" si="36">C146/D146*100</f>
        <v>106.03737842856663</v>
      </c>
      <c r="F146" s="247">
        <v>1702797</v>
      </c>
      <c r="G146" s="247">
        <v>1605846</v>
      </c>
      <c r="H146" s="425">
        <f t="shared" ref="H146:H153" si="37">F146/G146*100</f>
        <v>106.03737842856663</v>
      </c>
      <c r="I146" s="247">
        <v>1528892</v>
      </c>
      <c r="J146" s="247">
        <v>1633287</v>
      </c>
      <c r="K146" s="425">
        <f t="shared" ref="K146:K153" si="38">I146/J146*100</f>
        <v>93.608288071845308</v>
      </c>
      <c r="L146" s="247">
        <v>1528892</v>
      </c>
      <c r="M146" s="247">
        <v>1633287</v>
      </c>
      <c r="N146" s="425">
        <f t="shared" ref="N146:N153" si="39">L146/M146*100</f>
        <v>93.608288071845308</v>
      </c>
      <c r="O146" s="126">
        <v>516</v>
      </c>
      <c r="P146" s="126">
        <v>150</v>
      </c>
    </row>
    <row r="147" spans="1:16" ht="36.75" customHeight="1" x14ac:dyDescent="0.25">
      <c r="A147" s="272">
        <v>2</v>
      </c>
      <c r="B147" s="544" t="s">
        <v>797</v>
      </c>
      <c r="C147" s="247">
        <v>2493084</v>
      </c>
      <c r="D147" s="247">
        <v>3072023</v>
      </c>
      <c r="E147" s="425">
        <f t="shared" si="36"/>
        <v>81.154470523169906</v>
      </c>
      <c r="F147" s="247">
        <v>2493084</v>
      </c>
      <c r="G147" s="247">
        <v>3072023</v>
      </c>
      <c r="H147" s="425">
        <f t="shared" si="37"/>
        <v>81.154470523169906</v>
      </c>
      <c r="I147" s="247">
        <v>1891615</v>
      </c>
      <c r="J147" s="247">
        <v>3110539</v>
      </c>
      <c r="K147" s="425">
        <f t="shared" si="38"/>
        <v>60.81309380785774</v>
      </c>
      <c r="L147" s="247">
        <v>1888714</v>
      </c>
      <c r="M147" s="247">
        <v>3108480</v>
      </c>
      <c r="N147" s="425">
        <f t="shared" si="39"/>
        <v>60.76004992793905</v>
      </c>
      <c r="O147" s="126">
        <v>658</v>
      </c>
      <c r="P147" s="126">
        <v>176</v>
      </c>
    </row>
    <row r="148" spans="1:16" ht="17.25" hidden="1" x14ac:dyDescent="0.25">
      <c r="A148" s="272">
        <v>3</v>
      </c>
      <c r="B148" s="544" t="s">
        <v>668</v>
      </c>
      <c r="C148" s="247">
        <v>2550053</v>
      </c>
      <c r="D148" s="247">
        <v>2340086</v>
      </c>
      <c r="E148" s="425">
        <f t="shared" si="36"/>
        <v>108.97261895502986</v>
      </c>
      <c r="F148" s="247">
        <v>2550053</v>
      </c>
      <c r="G148" s="247">
        <v>2340086</v>
      </c>
      <c r="H148" s="425">
        <f t="shared" si="37"/>
        <v>108.97261895502986</v>
      </c>
      <c r="I148" s="247">
        <v>2248136</v>
      </c>
      <c r="J148" s="247">
        <v>2387101</v>
      </c>
      <c r="K148" s="425">
        <f t="shared" si="38"/>
        <v>94.178503548865351</v>
      </c>
      <c r="L148" s="247">
        <v>2248136</v>
      </c>
      <c r="M148" s="247">
        <v>2387101</v>
      </c>
      <c r="N148" s="425">
        <f t="shared" si="39"/>
        <v>94.178503548865351</v>
      </c>
      <c r="O148" s="126">
        <v>549</v>
      </c>
      <c r="P148" s="126">
        <v>180</v>
      </c>
    </row>
    <row r="149" spans="1:16" ht="17.25" x14ac:dyDescent="0.25">
      <c r="A149" s="272">
        <v>4</v>
      </c>
      <c r="B149" s="544" t="s">
        <v>669</v>
      </c>
      <c r="C149" s="247">
        <v>390979</v>
      </c>
      <c r="D149" s="247">
        <v>461172</v>
      </c>
      <c r="E149" s="425">
        <f t="shared" si="36"/>
        <v>84.779431535305704</v>
      </c>
      <c r="F149" s="247">
        <v>390979</v>
      </c>
      <c r="G149" s="247">
        <v>461172</v>
      </c>
      <c r="H149" s="425">
        <f t="shared" si="37"/>
        <v>84.779431535305704</v>
      </c>
      <c r="I149" s="247">
        <v>358665</v>
      </c>
      <c r="J149" s="247">
        <v>314896</v>
      </c>
      <c r="K149" s="425">
        <f t="shared" si="38"/>
        <v>113.8995096793862</v>
      </c>
      <c r="L149" s="247">
        <v>0</v>
      </c>
      <c r="M149" s="247">
        <v>0</v>
      </c>
      <c r="N149" s="425" t="e">
        <f t="shared" si="39"/>
        <v>#DIV/0!</v>
      </c>
      <c r="O149" s="126">
        <v>375</v>
      </c>
      <c r="P149" s="126">
        <v>60</v>
      </c>
    </row>
    <row r="150" spans="1:16" ht="34.5" x14ac:dyDescent="0.25">
      <c r="A150" s="272">
        <v>5</v>
      </c>
      <c r="B150" s="544" t="s">
        <v>670</v>
      </c>
      <c r="C150" s="247">
        <v>4171518</v>
      </c>
      <c r="D150" s="247">
        <v>1949005</v>
      </c>
      <c r="E150" s="425">
        <f t="shared" si="36"/>
        <v>214.03321181833809</v>
      </c>
      <c r="F150" s="247">
        <v>4171518</v>
      </c>
      <c r="G150" s="247">
        <v>1949005</v>
      </c>
      <c r="H150" s="425">
        <f t="shared" si="37"/>
        <v>214.03321181833809</v>
      </c>
      <c r="I150" s="247">
        <v>2325757</v>
      </c>
      <c r="J150" s="247">
        <v>1135755</v>
      </c>
      <c r="K150" s="425">
        <f t="shared" si="38"/>
        <v>204.77629418316451</v>
      </c>
      <c r="L150" s="247">
        <v>2325757</v>
      </c>
      <c r="M150" s="247">
        <v>1135755</v>
      </c>
      <c r="N150" s="425">
        <f t="shared" si="39"/>
        <v>204.77629418316451</v>
      </c>
      <c r="O150" s="126">
        <v>1019</v>
      </c>
      <c r="P150" s="126">
        <v>100</v>
      </c>
    </row>
    <row r="151" spans="1:16" ht="17.25" x14ac:dyDescent="0.25">
      <c r="A151" s="272">
        <v>6</v>
      </c>
      <c r="B151" s="544" t="s">
        <v>231</v>
      </c>
      <c r="C151" s="247">
        <v>3744077</v>
      </c>
      <c r="D151" s="247">
        <v>2728679</v>
      </c>
      <c r="E151" s="425">
        <f t="shared" si="36"/>
        <v>137.21207221516346</v>
      </c>
      <c r="F151" s="247">
        <v>3744077</v>
      </c>
      <c r="G151" s="247">
        <v>2728679</v>
      </c>
      <c r="H151" s="425">
        <f t="shared" si="37"/>
        <v>137.21207221516346</v>
      </c>
      <c r="I151" s="247">
        <v>2461882</v>
      </c>
      <c r="J151" s="247">
        <v>3228511</v>
      </c>
      <c r="K151" s="425">
        <f t="shared" si="38"/>
        <v>76.25440954049715</v>
      </c>
      <c r="L151" s="247">
        <v>2461882</v>
      </c>
      <c r="M151" s="247">
        <v>3225250</v>
      </c>
      <c r="N151" s="425">
        <f t="shared" si="39"/>
        <v>76.331509185334468</v>
      </c>
      <c r="O151" s="126">
        <v>640</v>
      </c>
      <c r="P151" s="126">
        <v>130</v>
      </c>
    </row>
    <row r="152" spans="1:16" ht="17.25" x14ac:dyDescent="0.25">
      <c r="A152" s="272">
        <v>7</v>
      </c>
      <c r="B152" s="544" t="s">
        <v>671</v>
      </c>
      <c r="C152" s="247">
        <v>280217</v>
      </c>
      <c r="D152" s="247">
        <v>257726</v>
      </c>
      <c r="E152" s="425">
        <f t="shared" si="36"/>
        <v>108.72670976152969</v>
      </c>
      <c r="F152" s="247">
        <v>280217</v>
      </c>
      <c r="G152" s="247">
        <v>257726</v>
      </c>
      <c r="H152" s="425">
        <f t="shared" si="37"/>
        <v>108.72670976152969</v>
      </c>
      <c r="I152" s="247">
        <v>139983</v>
      </c>
      <c r="J152" s="247">
        <v>101576</v>
      </c>
      <c r="K152" s="425">
        <f t="shared" si="38"/>
        <v>137.81109710955343</v>
      </c>
      <c r="L152" s="247">
        <v>0</v>
      </c>
      <c r="M152" s="247">
        <v>0</v>
      </c>
      <c r="N152" s="425" t="e">
        <f t="shared" si="39"/>
        <v>#DIV/0!</v>
      </c>
      <c r="O152" s="126">
        <v>39</v>
      </c>
      <c r="P152" s="126">
        <v>130</v>
      </c>
    </row>
    <row r="153" spans="1:16" ht="17.25" x14ac:dyDescent="0.25">
      <c r="A153" s="272">
        <v>8</v>
      </c>
      <c r="B153" s="544" t="s">
        <v>672</v>
      </c>
      <c r="C153" s="247">
        <v>354786</v>
      </c>
      <c r="D153" s="247">
        <v>61440</v>
      </c>
      <c r="E153" s="425">
        <f t="shared" si="36"/>
        <v>577.451171875</v>
      </c>
      <c r="F153" s="247">
        <v>354786</v>
      </c>
      <c r="G153" s="247">
        <v>61440</v>
      </c>
      <c r="H153" s="425">
        <f t="shared" si="37"/>
        <v>577.451171875</v>
      </c>
      <c r="I153" s="247">
        <v>373820</v>
      </c>
      <c r="J153" s="247">
        <v>2100</v>
      </c>
      <c r="K153" s="425">
        <f t="shared" si="38"/>
        <v>17800.952380952382</v>
      </c>
      <c r="L153" s="247">
        <v>0</v>
      </c>
      <c r="M153" s="247">
        <v>0</v>
      </c>
      <c r="N153" s="425" t="e">
        <f t="shared" si="39"/>
        <v>#DIV/0!</v>
      </c>
      <c r="O153" s="126">
        <v>405</v>
      </c>
      <c r="P153" s="126">
        <v>140</v>
      </c>
    </row>
    <row r="155" spans="1:16" ht="33" x14ac:dyDescent="0.25">
      <c r="A155" s="494"/>
      <c r="B155" s="493" t="s">
        <v>544</v>
      </c>
      <c r="C155" s="469">
        <f>SUM(C156:C158)</f>
        <v>849276</v>
      </c>
      <c r="D155" s="469">
        <f>SUM(D156:D158)</f>
        <v>980527</v>
      </c>
      <c r="E155" s="470">
        <f>C155/D155*100</f>
        <v>86.614239077557272</v>
      </c>
      <c r="F155" s="469">
        <f>SUM(F156:F158)</f>
        <v>849276</v>
      </c>
      <c r="G155" s="469">
        <f>SUM(G156:G158)</f>
        <v>980527</v>
      </c>
      <c r="H155" s="470">
        <f>F155/G155*100</f>
        <v>86.614239077557272</v>
      </c>
      <c r="I155" s="469">
        <f>SUM(I156:I158)</f>
        <v>328209</v>
      </c>
      <c r="J155" s="469">
        <f>SUM(J156:J158)</f>
        <v>872540</v>
      </c>
      <c r="K155" s="470">
        <f>I155/J155*100</f>
        <v>37.61535287780503</v>
      </c>
      <c r="L155" s="469">
        <f>SUM(L156:L158)</f>
        <v>106485</v>
      </c>
      <c r="M155" s="469">
        <f>SUM(M156:M158)</f>
        <v>400968</v>
      </c>
      <c r="N155" s="470">
        <f>L155/M155*100</f>
        <v>26.556982103309991</v>
      </c>
    </row>
    <row r="156" spans="1:16" ht="17.25" x14ac:dyDescent="0.25">
      <c r="A156" s="272">
        <v>1</v>
      </c>
      <c r="B156" s="567" t="s">
        <v>673</v>
      </c>
      <c r="C156" s="247">
        <v>76168</v>
      </c>
      <c r="D156" s="247">
        <v>89200</v>
      </c>
      <c r="E156" s="425">
        <f>C156/D156*100</f>
        <v>85.390134529147986</v>
      </c>
      <c r="F156" s="247">
        <v>76168</v>
      </c>
      <c r="G156" s="247">
        <v>89200</v>
      </c>
      <c r="H156" s="425">
        <f>F156/G156*100</f>
        <v>85.390134529147986</v>
      </c>
      <c r="I156" s="247">
        <v>85288</v>
      </c>
      <c r="J156" s="247">
        <v>87752</v>
      </c>
      <c r="K156" s="425">
        <f>I156/J156*100</f>
        <v>97.192086790044669</v>
      </c>
      <c r="L156" s="247">
        <v>1591</v>
      </c>
      <c r="M156" s="247">
        <v>1324</v>
      </c>
      <c r="N156" s="425">
        <f>L156/M156*100</f>
        <v>120.16616314199395</v>
      </c>
      <c r="O156" s="126">
        <v>128</v>
      </c>
      <c r="P156" s="126">
        <v>145</v>
      </c>
    </row>
    <row r="157" spans="1:16" ht="17.25" x14ac:dyDescent="0.25">
      <c r="A157" s="272">
        <v>2</v>
      </c>
      <c r="B157" s="550" t="s">
        <v>674</v>
      </c>
      <c r="C157" s="247">
        <v>773108</v>
      </c>
      <c r="D157" s="247">
        <v>744894</v>
      </c>
      <c r="E157" s="425">
        <f t="shared" ref="E157:E158" si="40">C157/D157*100</f>
        <v>103.78765300834749</v>
      </c>
      <c r="F157" s="247">
        <v>773108</v>
      </c>
      <c r="G157" s="247">
        <v>744894</v>
      </c>
      <c r="H157" s="425">
        <f t="shared" ref="H157:H158" si="41">F157/G157*100</f>
        <v>103.78765300834749</v>
      </c>
      <c r="I157" s="247">
        <v>242921</v>
      </c>
      <c r="J157" s="247">
        <v>631661</v>
      </c>
      <c r="K157" s="425">
        <f t="shared" ref="K157:K158" si="42">I157/J157*100</f>
        <v>38.457495397056334</v>
      </c>
      <c r="L157" s="247">
        <v>104894</v>
      </c>
      <c r="M157" s="247">
        <v>267483</v>
      </c>
      <c r="N157" s="425">
        <f t="shared" ref="N157:N158" si="43">L157/M157*100</f>
        <v>39.215202461464841</v>
      </c>
      <c r="O157" s="126">
        <v>698</v>
      </c>
      <c r="P157" s="126">
        <v>110</v>
      </c>
    </row>
    <row r="158" spans="1:16" s="668" customFormat="1" ht="34.5" x14ac:dyDescent="0.25">
      <c r="A158" s="748">
        <v>3</v>
      </c>
      <c r="B158" s="799" t="s">
        <v>675</v>
      </c>
      <c r="C158" s="666">
        <v>0</v>
      </c>
      <c r="D158" s="666">
        <v>146433</v>
      </c>
      <c r="E158" s="667">
        <f t="shared" si="40"/>
        <v>0</v>
      </c>
      <c r="F158" s="666">
        <v>0</v>
      </c>
      <c r="G158" s="666">
        <v>146433</v>
      </c>
      <c r="H158" s="667">
        <f t="shared" si="41"/>
        <v>0</v>
      </c>
      <c r="I158" s="666">
        <v>0</v>
      </c>
      <c r="J158" s="666">
        <v>153127</v>
      </c>
      <c r="K158" s="667">
        <f t="shared" si="42"/>
        <v>0</v>
      </c>
      <c r="L158" s="666">
        <v>0</v>
      </c>
      <c r="M158" s="666">
        <v>132161</v>
      </c>
      <c r="N158" s="667">
        <f t="shared" si="43"/>
        <v>0</v>
      </c>
      <c r="O158" s="668">
        <v>127</v>
      </c>
      <c r="P158" s="668">
        <v>193</v>
      </c>
    </row>
    <row r="159" spans="1:16" x14ac:dyDescent="0.25">
      <c r="A159" s="568"/>
      <c r="B159" s="569"/>
      <c r="C159" s="570"/>
      <c r="D159" s="54"/>
      <c r="E159" s="43"/>
      <c r="F159" s="54"/>
      <c r="G159" s="54"/>
      <c r="H159" s="425"/>
      <c r="I159" s="54"/>
      <c r="J159" s="54"/>
      <c r="K159" s="43"/>
      <c r="L159" s="54"/>
      <c r="M159" s="571"/>
      <c r="N159" s="343"/>
    </row>
    <row r="160" spans="1:16" ht="17.25" x14ac:dyDescent="0.25">
      <c r="A160" s="1043" t="s">
        <v>735</v>
      </c>
      <c r="B160" s="1044"/>
      <c r="C160" s="345">
        <f>C161+C190+C196</f>
        <v>15688701.710000001</v>
      </c>
      <c r="D160" s="345">
        <f>D161+D190+D196</f>
        <v>16126364.465</v>
      </c>
      <c r="E160" s="467">
        <f>C160/D160*100</f>
        <v>97.28604202174715</v>
      </c>
      <c r="F160" s="345">
        <f>F161+F190+F196</f>
        <v>15495440.710000001</v>
      </c>
      <c r="G160" s="345">
        <f>G161+G190+G196</f>
        <v>15958641.465</v>
      </c>
      <c r="H160" s="467">
        <f>F160/G160*100</f>
        <v>97.097492565292114</v>
      </c>
      <c r="I160" s="345">
        <f>I161+I190+I196</f>
        <v>13327501.888</v>
      </c>
      <c r="J160" s="345">
        <f>J161+J190+J196</f>
        <v>14015262.528999999</v>
      </c>
      <c r="K160" s="467">
        <f>I160/J160*100</f>
        <v>95.092773755918572</v>
      </c>
      <c r="L160" s="345">
        <f>L161+L190+L196</f>
        <v>5854397.4629999995</v>
      </c>
      <c r="M160" s="345">
        <f>M161+M190+M196</f>
        <v>6704666.71</v>
      </c>
      <c r="N160" s="467">
        <f>L160/M160*100</f>
        <v>87.318247367436996</v>
      </c>
    </row>
    <row r="161" spans="1:16" ht="17.25" x14ac:dyDescent="0.25">
      <c r="A161" s="1062" t="s">
        <v>736</v>
      </c>
      <c r="B161" s="1063" t="s">
        <v>119</v>
      </c>
      <c r="C161" s="254">
        <f>SUM(C162:C187)</f>
        <v>2413002.71</v>
      </c>
      <c r="D161" s="254">
        <f>SUM(D162:D187)</f>
        <v>4528711.4649999999</v>
      </c>
      <c r="E161" s="451">
        <f>C161/D161*100</f>
        <v>53.282323871785898</v>
      </c>
      <c r="F161" s="254">
        <f>SUM(F162:F187)</f>
        <v>2413003.71</v>
      </c>
      <c r="G161" s="254">
        <f>SUM(G162:G187)</f>
        <v>4528711.4649999999</v>
      </c>
      <c r="H161" s="451">
        <f>F161/G161*100</f>
        <v>53.282345953122011</v>
      </c>
      <c r="I161" s="254">
        <f>SUM(I162:I187)</f>
        <v>2301873.8880000003</v>
      </c>
      <c r="J161" s="254">
        <f>SUM(J162:J187)</f>
        <v>4158096.5290000001</v>
      </c>
      <c r="K161" s="451">
        <f>I161/J161*100</f>
        <v>55.358837197403609</v>
      </c>
      <c r="L161" s="254">
        <f>SUM(L162:L187)</f>
        <v>1231602.463</v>
      </c>
      <c r="M161" s="254">
        <f>SUM(M162:M187)</f>
        <v>2912359.71</v>
      </c>
      <c r="N161" s="451">
        <f>L161/M161*100</f>
        <v>42.288816823386149</v>
      </c>
    </row>
    <row r="162" spans="1:16" ht="34.5" x14ac:dyDescent="0.25">
      <c r="A162" s="7">
        <v>1</v>
      </c>
      <c r="B162" s="545" t="s">
        <v>676</v>
      </c>
      <c r="C162" s="247">
        <v>665446</v>
      </c>
      <c r="D162" s="247">
        <v>1039063</v>
      </c>
      <c r="E162" s="425">
        <f t="shared" ref="E162:E187" si="44">C162/D162*100</f>
        <v>64.042892490638209</v>
      </c>
      <c r="F162" s="247">
        <v>665446</v>
      </c>
      <c r="G162" s="247">
        <v>1039063</v>
      </c>
      <c r="H162" s="425">
        <f t="shared" ref="H162:H187" si="45">F162/G162*100</f>
        <v>64.042892490638209</v>
      </c>
      <c r="I162" s="247">
        <v>718801</v>
      </c>
      <c r="J162" s="247">
        <v>836617</v>
      </c>
      <c r="K162" s="425">
        <f t="shared" ref="K162:K187" si="46">I162/J162*100</f>
        <v>85.917570405573869</v>
      </c>
      <c r="L162" s="247">
        <v>650090</v>
      </c>
      <c r="M162" s="247">
        <v>658286</v>
      </c>
      <c r="N162" s="425">
        <f t="shared" ref="N162:N187" si="47">L162/M162*100</f>
        <v>98.754948457053629</v>
      </c>
      <c r="O162" s="126">
        <v>273</v>
      </c>
      <c r="P162" s="126">
        <v>190</v>
      </c>
    </row>
    <row r="163" spans="1:16" ht="17.25" x14ac:dyDescent="0.25">
      <c r="A163" s="7">
        <v>2</v>
      </c>
      <c r="B163" s="572" t="s">
        <v>677</v>
      </c>
      <c r="C163" s="247">
        <v>40815</v>
      </c>
      <c r="D163" s="247">
        <v>142989</v>
      </c>
      <c r="E163" s="425">
        <f t="shared" si="44"/>
        <v>28.544153746092356</v>
      </c>
      <c r="F163" s="247">
        <v>40815</v>
      </c>
      <c r="G163" s="247">
        <v>142989</v>
      </c>
      <c r="H163" s="425">
        <f t="shared" si="45"/>
        <v>28.544153746092356</v>
      </c>
      <c r="I163" s="247">
        <v>67720</v>
      </c>
      <c r="J163" s="247">
        <v>132220</v>
      </c>
      <c r="K163" s="425">
        <f t="shared" si="46"/>
        <v>51.217667523823927</v>
      </c>
      <c r="L163" s="247">
        <v>19011</v>
      </c>
      <c r="M163" s="247">
        <v>85597</v>
      </c>
      <c r="N163" s="425">
        <f t="shared" si="47"/>
        <v>22.209890533546737</v>
      </c>
      <c r="O163" s="126">
        <v>113</v>
      </c>
      <c r="P163" s="126">
        <v>130</v>
      </c>
    </row>
    <row r="164" spans="1:16" ht="17.25" x14ac:dyDescent="0.25">
      <c r="A164" s="7">
        <v>3</v>
      </c>
      <c r="B164" s="550" t="s">
        <v>678</v>
      </c>
      <c r="C164" s="247">
        <v>35311</v>
      </c>
      <c r="D164" s="247">
        <v>0</v>
      </c>
      <c r="E164" s="425" t="e">
        <f t="shared" si="44"/>
        <v>#DIV/0!</v>
      </c>
      <c r="F164" s="247">
        <v>35311</v>
      </c>
      <c r="G164" s="247">
        <v>0</v>
      </c>
      <c r="H164" s="425" t="e">
        <f t="shared" si="45"/>
        <v>#DIV/0!</v>
      </c>
      <c r="I164" s="247">
        <v>0</v>
      </c>
      <c r="J164" s="247">
        <v>23179</v>
      </c>
      <c r="K164" s="425">
        <f t="shared" si="46"/>
        <v>0</v>
      </c>
      <c r="L164" s="247">
        <v>0</v>
      </c>
      <c r="M164" s="247">
        <v>0</v>
      </c>
      <c r="N164" s="425" t="e">
        <f t="shared" si="47"/>
        <v>#DIV/0!</v>
      </c>
      <c r="O164" s="126">
        <v>61</v>
      </c>
      <c r="P164" s="126">
        <v>146</v>
      </c>
    </row>
    <row r="165" spans="1:16" s="668" customFormat="1" ht="17.25" x14ac:dyDescent="0.2">
      <c r="A165" s="669">
        <v>4</v>
      </c>
      <c r="B165" s="800" t="s">
        <v>679</v>
      </c>
      <c r="C165" s="666">
        <v>48900.71</v>
      </c>
      <c r="D165" s="801">
        <v>73398.464999999997</v>
      </c>
      <c r="E165" s="667">
        <f t="shared" si="44"/>
        <v>66.623613995197317</v>
      </c>
      <c r="F165" s="666">
        <v>48900.71</v>
      </c>
      <c r="G165" s="801">
        <v>73398.464999999997</v>
      </c>
      <c r="H165" s="667">
        <f t="shared" si="45"/>
        <v>66.623613995197317</v>
      </c>
      <c r="I165" s="666">
        <v>77197.888000000006</v>
      </c>
      <c r="J165" s="801">
        <v>122742.52899999999</v>
      </c>
      <c r="K165" s="667">
        <f t="shared" si="46"/>
        <v>62.894164417941887</v>
      </c>
      <c r="L165" s="666">
        <v>41392.463000000003</v>
      </c>
      <c r="M165" s="801">
        <v>98271.71</v>
      </c>
      <c r="N165" s="667">
        <f t="shared" si="47"/>
        <v>42.120426112459022</v>
      </c>
      <c r="O165" s="668">
        <v>163</v>
      </c>
      <c r="P165" s="668">
        <v>144</v>
      </c>
    </row>
    <row r="166" spans="1:16" s="668" customFormat="1" ht="52.5" customHeight="1" x14ac:dyDescent="0.25">
      <c r="A166" s="669">
        <v>5</v>
      </c>
      <c r="B166" s="799" t="s">
        <v>680</v>
      </c>
      <c r="C166" s="666">
        <v>165312</v>
      </c>
      <c r="D166" s="666">
        <v>491479</v>
      </c>
      <c r="E166" s="667">
        <f t="shared" si="44"/>
        <v>33.635618205457405</v>
      </c>
      <c r="F166" s="666">
        <v>165312</v>
      </c>
      <c r="G166" s="666">
        <v>491479</v>
      </c>
      <c r="H166" s="667">
        <f t="shared" si="45"/>
        <v>33.635618205457405</v>
      </c>
      <c r="I166" s="666">
        <v>7763</v>
      </c>
      <c r="J166" s="666">
        <v>380360</v>
      </c>
      <c r="K166" s="667">
        <f t="shared" si="46"/>
        <v>2.0409611946576924</v>
      </c>
      <c r="L166" s="666">
        <v>0</v>
      </c>
      <c r="M166" s="666">
        <v>364746</v>
      </c>
      <c r="N166" s="667">
        <f t="shared" si="47"/>
        <v>0</v>
      </c>
      <c r="O166" s="668">
        <v>281</v>
      </c>
      <c r="P166" s="668">
        <v>190</v>
      </c>
    </row>
    <row r="167" spans="1:16" s="668" customFormat="1" ht="34.5" x14ac:dyDescent="0.25">
      <c r="A167" s="669">
        <v>6</v>
      </c>
      <c r="B167" s="799" t="s">
        <v>681</v>
      </c>
      <c r="C167" s="666">
        <v>186685</v>
      </c>
      <c r="D167" s="666">
        <v>558847</v>
      </c>
      <c r="E167" s="667">
        <f t="shared" si="44"/>
        <v>33.405386447453417</v>
      </c>
      <c r="F167" s="666">
        <v>186685</v>
      </c>
      <c r="G167" s="666">
        <v>558847</v>
      </c>
      <c r="H167" s="667">
        <f t="shared" si="45"/>
        <v>33.405386447453417</v>
      </c>
      <c r="I167" s="666">
        <v>166489</v>
      </c>
      <c r="J167" s="666">
        <v>558847</v>
      </c>
      <c r="K167" s="667">
        <f t="shared" si="46"/>
        <v>29.791517177331183</v>
      </c>
      <c r="L167" s="666">
        <v>113776</v>
      </c>
      <c r="M167" s="666">
        <v>383682</v>
      </c>
      <c r="N167" s="667">
        <f t="shared" si="47"/>
        <v>29.653723656569763</v>
      </c>
      <c r="O167" s="668">
        <v>270</v>
      </c>
      <c r="P167" s="668">
        <v>100</v>
      </c>
    </row>
    <row r="168" spans="1:16" s="668" customFormat="1" ht="17.25" x14ac:dyDescent="0.25">
      <c r="A168" s="669">
        <v>7</v>
      </c>
      <c r="B168" s="800" t="s">
        <v>233</v>
      </c>
      <c r="C168" s="666">
        <v>416163</v>
      </c>
      <c r="D168" s="666">
        <v>514743</v>
      </c>
      <c r="E168" s="667">
        <f t="shared" si="44"/>
        <v>80.848695368368297</v>
      </c>
      <c r="F168" s="666">
        <v>416163</v>
      </c>
      <c r="G168" s="666">
        <v>514743</v>
      </c>
      <c r="H168" s="667">
        <f t="shared" si="45"/>
        <v>80.848695368368297</v>
      </c>
      <c r="I168" s="666">
        <v>325440</v>
      </c>
      <c r="J168" s="666">
        <v>520365</v>
      </c>
      <c r="K168" s="667">
        <f t="shared" si="46"/>
        <v>62.540716612377842</v>
      </c>
      <c r="L168" s="666">
        <v>164750</v>
      </c>
      <c r="M168" s="666">
        <v>366735</v>
      </c>
      <c r="N168" s="667">
        <f t="shared" si="47"/>
        <v>44.923446085047786</v>
      </c>
      <c r="O168" s="668">
        <v>237</v>
      </c>
      <c r="P168" s="802">
        <v>93</v>
      </c>
    </row>
    <row r="169" spans="1:16" s="673" customFormat="1" ht="31.5" customHeight="1" x14ac:dyDescent="0.25">
      <c r="A169" s="669">
        <v>8</v>
      </c>
      <c r="B169" s="670" t="s">
        <v>682</v>
      </c>
      <c r="C169" s="666">
        <v>76060</v>
      </c>
      <c r="D169" s="666">
        <v>127701</v>
      </c>
      <c r="E169" s="667">
        <f t="shared" si="44"/>
        <v>59.561005786955469</v>
      </c>
      <c r="F169" s="666">
        <v>76060</v>
      </c>
      <c r="G169" s="666">
        <v>127701</v>
      </c>
      <c r="H169" s="667">
        <f t="shared" si="45"/>
        <v>59.561005786955469</v>
      </c>
      <c r="I169" s="666">
        <v>76288</v>
      </c>
      <c r="J169" s="666">
        <v>127563</v>
      </c>
      <c r="K169" s="667">
        <f t="shared" si="46"/>
        <v>59.80417519186598</v>
      </c>
      <c r="L169" s="666">
        <v>0</v>
      </c>
      <c r="M169" s="666">
        <v>0</v>
      </c>
      <c r="N169" s="667" t="e">
        <f t="shared" si="47"/>
        <v>#DIV/0!</v>
      </c>
      <c r="O169" s="671">
        <v>274</v>
      </c>
      <c r="P169" s="672">
        <v>85</v>
      </c>
    </row>
    <row r="170" spans="1:16" s="573" customFormat="1" ht="36.75" customHeight="1" x14ac:dyDescent="0.25">
      <c r="A170" s="669">
        <v>9</v>
      </c>
      <c r="B170" s="803" t="s">
        <v>683</v>
      </c>
      <c r="C170" s="247">
        <v>31593</v>
      </c>
      <c r="D170" s="247">
        <v>218752</v>
      </c>
      <c r="E170" s="425">
        <f t="shared" si="44"/>
        <v>14.442382241076654</v>
      </c>
      <c r="F170" s="247">
        <v>31593</v>
      </c>
      <c r="G170" s="247">
        <v>218752</v>
      </c>
      <c r="H170" s="425">
        <f t="shared" si="45"/>
        <v>14.442382241076654</v>
      </c>
      <c r="I170" s="247">
        <v>31593</v>
      </c>
      <c r="J170" s="247">
        <v>218752</v>
      </c>
      <c r="K170" s="425">
        <f t="shared" si="46"/>
        <v>14.442382241076654</v>
      </c>
      <c r="L170" s="247">
        <v>28907</v>
      </c>
      <c r="M170" s="247">
        <v>218752</v>
      </c>
      <c r="N170" s="425">
        <f t="shared" si="47"/>
        <v>13.214507753071972</v>
      </c>
      <c r="O170" s="584">
        <v>91</v>
      </c>
      <c r="P170" s="574">
        <v>235</v>
      </c>
    </row>
    <row r="171" spans="1:16" s="573" customFormat="1" ht="38.25" customHeight="1" x14ac:dyDescent="0.25">
      <c r="A171" s="669">
        <v>10</v>
      </c>
      <c r="B171" s="803" t="s">
        <v>539</v>
      </c>
      <c r="C171" s="247">
        <v>10741</v>
      </c>
      <c r="D171" s="247">
        <v>82710</v>
      </c>
      <c r="E171" s="425">
        <f t="shared" si="44"/>
        <v>12.986337806794825</v>
      </c>
      <c r="F171" s="247">
        <v>10741</v>
      </c>
      <c r="G171" s="247">
        <v>82710</v>
      </c>
      <c r="H171" s="425">
        <f t="shared" si="45"/>
        <v>12.986337806794825</v>
      </c>
      <c r="I171" s="247">
        <v>19526</v>
      </c>
      <c r="J171" s="247">
        <v>92701</v>
      </c>
      <c r="K171" s="425">
        <f t="shared" si="46"/>
        <v>21.063418949094402</v>
      </c>
      <c r="L171" s="247">
        <v>0</v>
      </c>
      <c r="M171" s="247">
        <v>69656</v>
      </c>
      <c r="N171" s="425">
        <f t="shared" si="47"/>
        <v>0</v>
      </c>
      <c r="O171" s="584">
        <v>206</v>
      </c>
      <c r="P171" s="574"/>
    </row>
    <row r="172" spans="1:16" s="575" customFormat="1" ht="34.5" x14ac:dyDescent="0.25">
      <c r="A172" s="669">
        <v>11</v>
      </c>
      <c r="B172" s="803" t="s">
        <v>684</v>
      </c>
      <c r="C172" s="247">
        <v>585</v>
      </c>
      <c r="D172" s="247">
        <v>3468</v>
      </c>
      <c r="E172" s="425">
        <f t="shared" si="44"/>
        <v>16.868512110726645</v>
      </c>
      <c r="F172" s="247">
        <v>585</v>
      </c>
      <c r="G172" s="247">
        <v>3468</v>
      </c>
      <c r="H172" s="425">
        <f t="shared" si="45"/>
        <v>16.868512110726645</v>
      </c>
      <c r="I172" s="247">
        <v>585</v>
      </c>
      <c r="J172" s="247">
        <v>3468</v>
      </c>
      <c r="K172" s="425">
        <f t="shared" si="46"/>
        <v>16.868512110726645</v>
      </c>
      <c r="L172" s="247">
        <v>0</v>
      </c>
      <c r="M172" s="247">
        <v>0</v>
      </c>
      <c r="N172" s="425" t="e">
        <f t="shared" si="47"/>
        <v>#DIV/0!</v>
      </c>
      <c r="O172" s="645">
        <v>9</v>
      </c>
      <c r="P172" s="574">
        <v>80</v>
      </c>
    </row>
    <row r="173" spans="1:16" s="673" customFormat="1" ht="17.25" x14ac:dyDescent="0.25">
      <c r="A173" s="669">
        <v>12</v>
      </c>
      <c r="B173" s="870" t="s">
        <v>301</v>
      </c>
      <c r="C173" s="666">
        <v>119087</v>
      </c>
      <c r="D173" s="666">
        <v>155417</v>
      </c>
      <c r="E173" s="667">
        <f t="shared" si="44"/>
        <v>76.624178822136585</v>
      </c>
      <c r="F173" s="666">
        <v>119087</v>
      </c>
      <c r="G173" s="666">
        <v>155417</v>
      </c>
      <c r="H173" s="667">
        <f t="shared" si="45"/>
        <v>76.624178822136585</v>
      </c>
      <c r="I173" s="666">
        <v>120456</v>
      </c>
      <c r="J173" s="666">
        <v>158474</v>
      </c>
      <c r="K173" s="667">
        <f t="shared" si="46"/>
        <v>76.009944848997307</v>
      </c>
      <c r="L173" s="666">
        <v>5817</v>
      </c>
      <c r="M173" s="666">
        <v>22936</v>
      </c>
      <c r="N173" s="667">
        <f t="shared" si="47"/>
        <v>25.361876525985348</v>
      </c>
      <c r="O173" s="671">
        <v>627</v>
      </c>
      <c r="P173" s="672"/>
    </row>
    <row r="174" spans="1:16" s="673" customFormat="1" ht="34.5" x14ac:dyDescent="0.25">
      <c r="A174" s="669">
        <v>13</v>
      </c>
      <c r="B174" s="871" t="s">
        <v>750</v>
      </c>
      <c r="C174" s="666">
        <v>748</v>
      </c>
      <c r="D174" s="666">
        <v>418</v>
      </c>
      <c r="E174" s="667">
        <f t="shared" si="44"/>
        <v>178.94736842105263</v>
      </c>
      <c r="F174" s="666">
        <v>748</v>
      </c>
      <c r="G174" s="666">
        <v>418</v>
      </c>
      <c r="H174" s="667">
        <f t="shared" si="45"/>
        <v>178.94736842105263</v>
      </c>
      <c r="I174" s="666">
        <v>748</v>
      </c>
      <c r="J174" s="666">
        <v>418</v>
      </c>
      <c r="K174" s="667">
        <f t="shared" si="46"/>
        <v>178.94736842105263</v>
      </c>
      <c r="L174" s="666">
        <v>748</v>
      </c>
      <c r="M174" s="666">
        <v>0</v>
      </c>
      <c r="N174" s="667" t="e">
        <f t="shared" si="47"/>
        <v>#DIV/0!</v>
      </c>
      <c r="O174" s="671">
        <v>45</v>
      </c>
      <c r="P174" s="672"/>
    </row>
    <row r="175" spans="1:16" s="673" customFormat="1" ht="17.25" x14ac:dyDescent="0.25">
      <c r="A175" s="669">
        <v>14</v>
      </c>
      <c r="B175" s="870" t="s">
        <v>237</v>
      </c>
      <c r="C175" s="666">
        <v>27345</v>
      </c>
      <c r="D175" s="666">
        <v>323113</v>
      </c>
      <c r="E175" s="667">
        <f t="shared" si="44"/>
        <v>8.4629835382667977</v>
      </c>
      <c r="F175" s="666">
        <v>27345</v>
      </c>
      <c r="G175" s="666">
        <v>323113</v>
      </c>
      <c r="H175" s="667">
        <f t="shared" si="45"/>
        <v>8.4629835382667977</v>
      </c>
      <c r="I175" s="666">
        <v>27345</v>
      </c>
      <c r="J175" s="666">
        <v>323113</v>
      </c>
      <c r="K175" s="667">
        <f t="shared" si="46"/>
        <v>8.4629835382667977</v>
      </c>
      <c r="L175" s="666">
        <v>24849</v>
      </c>
      <c r="M175" s="666">
        <v>320942</v>
      </c>
      <c r="N175" s="667">
        <f t="shared" si="47"/>
        <v>7.7425204554093883</v>
      </c>
      <c r="O175" s="671">
        <v>32</v>
      </c>
      <c r="P175" s="672">
        <v>110</v>
      </c>
    </row>
    <row r="176" spans="1:16" s="673" customFormat="1" ht="17.25" x14ac:dyDescent="0.25">
      <c r="A176" s="669">
        <v>15</v>
      </c>
      <c r="B176" s="870" t="s">
        <v>229</v>
      </c>
      <c r="C176" s="666">
        <v>244847</v>
      </c>
      <c r="D176" s="666">
        <v>406683</v>
      </c>
      <c r="E176" s="667">
        <f t="shared" si="44"/>
        <v>60.205860584288004</v>
      </c>
      <c r="F176" s="666">
        <v>244847</v>
      </c>
      <c r="G176" s="666">
        <v>406683</v>
      </c>
      <c r="H176" s="667">
        <f t="shared" si="45"/>
        <v>60.205860584288004</v>
      </c>
      <c r="I176" s="666">
        <v>230859</v>
      </c>
      <c r="J176" s="666">
        <v>311818</v>
      </c>
      <c r="K176" s="667">
        <f t="shared" si="46"/>
        <v>74.036457164114964</v>
      </c>
      <c r="L176" s="666">
        <v>31457</v>
      </c>
      <c r="M176" s="666">
        <v>138762</v>
      </c>
      <c r="N176" s="667">
        <f t="shared" si="47"/>
        <v>22.669751084590885</v>
      </c>
      <c r="O176" s="671">
        <v>348</v>
      </c>
      <c r="P176" s="672">
        <v>115</v>
      </c>
    </row>
    <row r="177" spans="1:16" ht="34.5" x14ac:dyDescent="0.25">
      <c r="A177" s="7">
        <v>16</v>
      </c>
      <c r="B177" s="549" t="s">
        <v>230</v>
      </c>
      <c r="C177" s="247">
        <v>75844</v>
      </c>
      <c r="D177" s="247">
        <v>47504</v>
      </c>
      <c r="E177" s="425">
        <f t="shared" si="44"/>
        <v>159.65813405186933</v>
      </c>
      <c r="F177" s="247">
        <v>75844</v>
      </c>
      <c r="G177" s="247">
        <v>47504</v>
      </c>
      <c r="H177" s="425">
        <f t="shared" si="45"/>
        <v>159.65813405186933</v>
      </c>
      <c r="I177" s="247">
        <v>148574</v>
      </c>
      <c r="J177" s="247">
        <v>83048</v>
      </c>
      <c r="K177" s="425">
        <f t="shared" si="46"/>
        <v>178.90135825065022</v>
      </c>
      <c r="L177" s="282">
        <v>0</v>
      </c>
      <c r="M177" s="247">
        <v>0</v>
      </c>
      <c r="N177" s="425" t="e">
        <f t="shared" si="47"/>
        <v>#DIV/0!</v>
      </c>
      <c r="O177" s="573">
        <v>140</v>
      </c>
      <c r="P177" s="576">
        <v>85</v>
      </c>
    </row>
    <row r="178" spans="1:16" ht="27" customHeight="1" x14ac:dyDescent="0.25">
      <c r="A178" s="7">
        <v>17</v>
      </c>
      <c r="B178" s="550" t="s">
        <v>298</v>
      </c>
      <c r="C178" s="247">
        <v>0</v>
      </c>
      <c r="D178" s="247">
        <v>0</v>
      </c>
      <c r="E178" s="425" t="e">
        <f t="shared" si="44"/>
        <v>#DIV/0!</v>
      </c>
      <c r="F178" s="247">
        <v>0</v>
      </c>
      <c r="G178" s="247">
        <v>0</v>
      </c>
      <c r="H178" s="425" t="e">
        <f t="shared" si="45"/>
        <v>#DIV/0!</v>
      </c>
      <c r="I178" s="247">
        <v>0</v>
      </c>
      <c r="J178" s="247">
        <v>0</v>
      </c>
      <c r="K178" s="425" t="e">
        <f t="shared" si="46"/>
        <v>#DIV/0!</v>
      </c>
      <c r="L178" s="247">
        <v>0</v>
      </c>
      <c r="M178" s="247">
        <v>0</v>
      </c>
      <c r="N178" s="425" t="e">
        <f t="shared" si="47"/>
        <v>#DIV/0!</v>
      </c>
      <c r="O178" s="126">
        <v>11</v>
      </c>
      <c r="P178" s="576">
        <v>80</v>
      </c>
    </row>
    <row r="179" spans="1:16" ht="34.5" x14ac:dyDescent="0.25">
      <c r="A179" s="7">
        <v>18</v>
      </c>
      <c r="B179" s="549" t="s">
        <v>239</v>
      </c>
      <c r="C179" s="247">
        <v>76975</v>
      </c>
      <c r="D179" s="247">
        <v>132317</v>
      </c>
      <c r="E179" s="425">
        <f t="shared" si="44"/>
        <v>58.174686548213764</v>
      </c>
      <c r="F179" s="247">
        <v>76975</v>
      </c>
      <c r="G179" s="247">
        <v>132317</v>
      </c>
      <c r="H179" s="425">
        <f t="shared" si="45"/>
        <v>58.174686548213764</v>
      </c>
      <c r="I179" s="247">
        <v>89040</v>
      </c>
      <c r="J179" s="247">
        <v>59615</v>
      </c>
      <c r="K179" s="425">
        <f t="shared" si="46"/>
        <v>149.3583829573094</v>
      </c>
      <c r="L179" s="247">
        <v>0</v>
      </c>
      <c r="M179" s="247">
        <v>13763</v>
      </c>
      <c r="N179" s="425">
        <f t="shared" si="47"/>
        <v>0</v>
      </c>
      <c r="O179" s="126">
        <v>301</v>
      </c>
      <c r="P179" s="127"/>
    </row>
    <row r="180" spans="1:16" ht="34.5" x14ac:dyDescent="0.25">
      <c r="A180" s="877">
        <v>19</v>
      </c>
      <c r="B180" s="813" t="s">
        <v>548</v>
      </c>
      <c r="C180" s="247"/>
      <c r="D180" s="247"/>
      <c r="E180" s="425" t="e">
        <f t="shared" si="44"/>
        <v>#DIV/0!</v>
      </c>
      <c r="F180" s="247"/>
      <c r="G180" s="247"/>
      <c r="H180" s="425" t="e">
        <f t="shared" si="45"/>
        <v>#DIV/0!</v>
      </c>
      <c r="I180" s="247"/>
      <c r="J180" s="247"/>
      <c r="K180" s="425" t="e">
        <f t="shared" si="46"/>
        <v>#DIV/0!</v>
      </c>
      <c r="L180" s="247"/>
      <c r="M180" s="247"/>
      <c r="N180" s="425" t="e">
        <f t="shared" si="47"/>
        <v>#DIV/0!</v>
      </c>
      <c r="O180" s="126">
        <v>6</v>
      </c>
      <c r="P180" s="127">
        <v>80</v>
      </c>
    </row>
    <row r="181" spans="1:16" ht="34.5" x14ac:dyDescent="0.25">
      <c r="A181" s="7">
        <v>20</v>
      </c>
      <c r="B181" s="872" t="s">
        <v>552</v>
      </c>
      <c r="C181" s="247">
        <v>30232</v>
      </c>
      <c r="D181" s="247">
        <v>44517</v>
      </c>
      <c r="E181" s="425">
        <f t="shared" si="44"/>
        <v>67.911135071994963</v>
      </c>
      <c r="F181" s="247">
        <v>30232</v>
      </c>
      <c r="G181" s="247">
        <v>44517</v>
      </c>
      <c r="H181" s="425">
        <f t="shared" si="45"/>
        <v>67.911135071994963</v>
      </c>
      <c r="I181" s="247">
        <v>30232</v>
      </c>
      <c r="J181" s="247">
        <v>44517</v>
      </c>
      <c r="K181" s="425">
        <f t="shared" si="46"/>
        <v>67.911135071994963</v>
      </c>
      <c r="L181" s="247">
        <v>30232</v>
      </c>
      <c r="M181" s="247">
        <v>44517</v>
      </c>
      <c r="N181" s="425">
        <f t="shared" si="47"/>
        <v>67.911135071994963</v>
      </c>
      <c r="O181" s="126">
        <v>32</v>
      </c>
      <c r="P181" s="127"/>
    </row>
    <row r="182" spans="1:16" ht="17.25" x14ac:dyDescent="0.25">
      <c r="A182" s="7">
        <v>21</v>
      </c>
      <c r="B182" s="872" t="s">
        <v>562</v>
      </c>
      <c r="C182" s="247">
        <v>2070</v>
      </c>
      <c r="D182" s="247">
        <v>5418</v>
      </c>
      <c r="E182" s="425">
        <f t="shared" si="44"/>
        <v>38.205980066445186</v>
      </c>
      <c r="F182" s="247">
        <v>2070</v>
      </c>
      <c r="G182" s="247">
        <v>5418</v>
      </c>
      <c r="H182" s="425">
        <f t="shared" si="45"/>
        <v>38.205980066445186</v>
      </c>
      <c r="I182" s="247">
        <v>2070</v>
      </c>
      <c r="J182" s="247">
        <v>5418</v>
      </c>
      <c r="K182" s="425">
        <f t="shared" si="46"/>
        <v>38.205980066445186</v>
      </c>
      <c r="L182" s="247">
        <v>0</v>
      </c>
      <c r="M182" s="247">
        <v>3702</v>
      </c>
      <c r="N182" s="425">
        <f t="shared" si="47"/>
        <v>0</v>
      </c>
      <c r="O182" s="126">
        <v>13</v>
      </c>
      <c r="P182" s="127">
        <v>88</v>
      </c>
    </row>
    <row r="183" spans="1:16" ht="17.25" x14ac:dyDescent="0.25">
      <c r="A183" s="7">
        <v>22</v>
      </c>
      <c r="B183" s="872" t="s">
        <v>757</v>
      </c>
      <c r="C183" s="247">
        <v>9660</v>
      </c>
      <c r="D183" s="247">
        <v>10791</v>
      </c>
      <c r="E183" s="425">
        <f t="shared" si="44"/>
        <v>89.519043647484011</v>
      </c>
      <c r="F183" s="247">
        <v>9661</v>
      </c>
      <c r="G183" s="247">
        <v>10791</v>
      </c>
      <c r="H183" s="425">
        <f t="shared" si="45"/>
        <v>89.528310629228059</v>
      </c>
      <c r="I183" s="247">
        <v>11393</v>
      </c>
      <c r="J183" s="247">
        <v>16486</v>
      </c>
      <c r="K183" s="425">
        <f t="shared" si="46"/>
        <v>69.107121193740142</v>
      </c>
      <c r="L183" s="247">
        <v>0</v>
      </c>
      <c r="M183" s="247">
        <v>0</v>
      </c>
      <c r="N183" s="425" t="e">
        <f t="shared" si="47"/>
        <v>#DIV/0!</v>
      </c>
      <c r="O183" s="126">
        <v>55</v>
      </c>
      <c r="P183" s="127">
        <v>123</v>
      </c>
    </row>
    <row r="184" spans="1:16" ht="34.5" x14ac:dyDescent="0.25">
      <c r="A184" s="7">
        <v>23</v>
      </c>
      <c r="B184" s="872" t="s">
        <v>564</v>
      </c>
      <c r="C184" s="247">
        <v>106664</v>
      </c>
      <c r="D184" s="247">
        <v>57630</v>
      </c>
      <c r="E184" s="425">
        <f t="shared" si="44"/>
        <v>185.08415755682805</v>
      </c>
      <c r="F184" s="247">
        <v>106664</v>
      </c>
      <c r="G184" s="247">
        <v>57630</v>
      </c>
      <c r="H184" s="425">
        <f t="shared" si="45"/>
        <v>185.08415755682805</v>
      </c>
      <c r="I184" s="247">
        <v>106664</v>
      </c>
      <c r="J184" s="247">
        <v>57630</v>
      </c>
      <c r="K184" s="425">
        <f t="shared" si="46"/>
        <v>185.08415755682805</v>
      </c>
      <c r="L184" s="247">
        <v>106664</v>
      </c>
      <c r="M184" s="247">
        <v>57630</v>
      </c>
      <c r="N184" s="425">
        <f t="shared" si="47"/>
        <v>185.08415755682805</v>
      </c>
      <c r="O184" s="126">
        <v>28</v>
      </c>
      <c r="P184" s="127">
        <v>110</v>
      </c>
    </row>
    <row r="185" spans="1:16" s="668" customFormat="1" ht="34.5" x14ac:dyDescent="0.25">
      <c r="A185" s="669">
        <v>24</v>
      </c>
      <c r="B185" s="872" t="s">
        <v>753</v>
      </c>
      <c r="C185" s="666">
        <v>320</v>
      </c>
      <c r="D185" s="666">
        <v>24596</v>
      </c>
      <c r="E185" s="667">
        <f t="shared" si="44"/>
        <v>1.3010245568385104</v>
      </c>
      <c r="F185" s="666">
        <v>320</v>
      </c>
      <c r="G185" s="666">
        <v>24596</v>
      </c>
      <c r="H185" s="667">
        <f t="shared" si="45"/>
        <v>1.3010245568385104</v>
      </c>
      <c r="I185" s="666">
        <v>320</v>
      </c>
      <c r="J185" s="666">
        <v>24596</v>
      </c>
      <c r="K185" s="667">
        <f t="shared" si="46"/>
        <v>1.3010245568385104</v>
      </c>
      <c r="L185" s="666">
        <v>0</v>
      </c>
      <c r="M185" s="666">
        <v>24149</v>
      </c>
      <c r="N185" s="667">
        <f t="shared" si="47"/>
        <v>0</v>
      </c>
      <c r="O185" s="668">
        <v>7</v>
      </c>
      <c r="P185" s="802">
        <v>150</v>
      </c>
    </row>
    <row r="186" spans="1:16" s="668" customFormat="1" ht="17.25" x14ac:dyDescent="0.25">
      <c r="A186" s="669">
        <v>25</v>
      </c>
      <c r="B186" s="872" t="s">
        <v>754</v>
      </c>
      <c r="C186" s="666">
        <v>10476</v>
      </c>
      <c r="D186" s="666">
        <v>10732</v>
      </c>
      <c r="E186" s="667">
        <f t="shared" si="44"/>
        <v>97.614610510622441</v>
      </c>
      <c r="F186" s="666">
        <v>10476</v>
      </c>
      <c r="G186" s="666">
        <v>10732</v>
      </c>
      <c r="H186" s="667">
        <f t="shared" si="45"/>
        <v>97.614610510622441</v>
      </c>
      <c r="I186" s="666">
        <v>10476</v>
      </c>
      <c r="J186" s="666">
        <v>10732</v>
      </c>
      <c r="K186" s="667">
        <f t="shared" si="46"/>
        <v>97.614610510622441</v>
      </c>
      <c r="L186" s="666">
        <v>0</v>
      </c>
      <c r="M186" s="666">
        <v>0</v>
      </c>
      <c r="N186" s="667" t="e">
        <f t="shared" si="47"/>
        <v>#DIV/0!</v>
      </c>
      <c r="O186" s="668">
        <v>29</v>
      </c>
      <c r="P186" s="802">
        <v>120</v>
      </c>
    </row>
    <row r="187" spans="1:16" ht="17.25" x14ac:dyDescent="0.25">
      <c r="A187" s="7">
        <v>26</v>
      </c>
      <c r="B187" s="872" t="s">
        <v>686</v>
      </c>
      <c r="C187" s="247">
        <v>31123</v>
      </c>
      <c r="D187" s="247">
        <v>56425</v>
      </c>
      <c r="E187" s="425">
        <f t="shared" si="44"/>
        <v>55.158174568010629</v>
      </c>
      <c r="F187" s="247">
        <v>31123</v>
      </c>
      <c r="G187" s="247">
        <v>56425</v>
      </c>
      <c r="H187" s="425">
        <f t="shared" si="45"/>
        <v>55.158174568010629</v>
      </c>
      <c r="I187" s="247">
        <v>32294</v>
      </c>
      <c r="J187" s="247">
        <v>45417</v>
      </c>
      <c r="K187" s="425">
        <f t="shared" si="46"/>
        <v>71.105533170398743</v>
      </c>
      <c r="L187" s="247">
        <v>13909</v>
      </c>
      <c r="M187" s="247">
        <v>40233</v>
      </c>
      <c r="N187" s="425">
        <f t="shared" si="47"/>
        <v>34.571123207317378</v>
      </c>
      <c r="O187" s="126">
        <v>107</v>
      </c>
      <c r="P187" s="127">
        <v>120</v>
      </c>
    </row>
    <row r="188" spans="1:16" s="668" customFormat="1" ht="34.5" x14ac:dyDescent="0.25">
      <c r="A188" s="748">
        <v>27</v>
      </c>
      <c r="B188" s="799" t="s">
        <v>575</v>
      </c>
      <c r="C188" s="666">
        <v>3500</v>
      </c>
      <c r="D188" s="666">
        <v>4736</v>
      </c>
      <c r="E188" s="667">
        <f>C188/D188*100</f>
        <v>73.902027027027032</v>
      </c>
      <c r="F188" s="666">
        <v>3500</v>
      </c>
      <c r="G188" s="666">
        <v>4736</v>
      </c>
      <c r="H188" s="667">
        <f>F188/G188*100</f>
        <v>73.902027027027032</v>
      </c>
      <c r="I188" s="666">
        <v>1900</v>
      </c>
      <c r="J188" s="666">
        <v>1508</v>
      </c>
      <c r="K188" s="667">
        <f>I188/J188*100</f>
        <v>125.9946949602122</v>
      </c>
      <c r="L188" s="666">
        <v>0</v>
      </c>
      <c r="M188" s="666">
        <v>0</v>
      </c>
      <c r="N188" s="667" t="e">
        <f>L188/M188*100</f>
        <v>#DIV/0!</v>
      </c>
      <c r="O188" s="668">
        <v>31</v>
      </c>
    </row>
    <row r="190" spans="1:16" x14ac:dyDescent="0.25">
      <c r="A190" s="1033" t="s">
        <v>364</v>
      </c>
      <c r="B190" s="1034" t="s">
        <v>155</v>
      </c>
      <c r="C190" s="254">
        <f>SUM(C191:C194)</f>
        <v>5975748</v>
      </c>
      <c r="D190" s="254">
        <f>SUM(D191:D194)</f>
        <v>4751262</v>
      </c>
      <c r="E190" s="451">
        <f t="shared" ref="E190:E194" si="48">C190/D190*100</f>
        <v>125.77180546978887</v>
      </c>
      <c r="F190" s="254">
        <f>SUM(F191:F194)</f>
        <v>5975748</v>
      </c>
      <c r="G190" s="254">
        <f>SUM(G191:G194)</f>
        <v>4751262</v>
      </c>
      <c r="H190" s="451">
        <f t="shared" ref="H190:H194" si="49">F190/G190*100</f>
        <v>125.77180546978887</v>
      </c>
      <c r="I190" s="254">
        <f>SUM(I191:I194)</f>
        <v>6268875</v>
      </c>
      <c r="J190" s="254">
        <f>SUM(J191:J194)</f>
        <v>4140338</v>
      </c>
      <c r="K190" s="451">
        <f t="shared" ref="K190:K194" si="50">I190/J190*100</f>
        <v>151.4097399777506</v>
      </c>
      <c r="L190" s="254">
        <f>SUM(L191:L194)</f>
        <v>4326540</v>
      </c>
      <c r="M190" s="254">
        <f>SUM(M191:M194)</f>
        <v>3275038</v>
      </c>
      <c r="N190" s="451">
        <f t="shared" ref="N190:N194" si="51">L190/M190*100</f>
        <v>132.10655876359297</v>
      </c>
    </row>
    <row r="191" spans="1:16" s="668" customFormat="1" ht="17.25" x14ac:dyDescent="0.25">
      <c r="A191" s="748">
        <v>1</v>
      </c>
      <c r="B191" s="805" t="s">
        <v>687</v>
      </c>
      <c r="C191" s="666">
        <v>3013833</v>
      </c>
      <c r="D191" s="666">
        <v>2032171</v>
      </c>
      <c r="E191" s="667">
        <f t="shared" si="48"/>
        <v>148.30607266809733</v>
      </c>
      <c r="F191" s="666">
        <v>3013833</v>
      </c>
      <c r="G191" s="666">
        <v>2032171</v>
      </c>
      <c r="H191" s="667">
        <f t="shared" si="49"/>
        <v>148.30607266809733</v>
      </c>
      <c r="I191" s="666">
        <v>2813705</v>
      </c>
      <c r="J191" s="666">
        <v>1600361</v>
      </c>
      <c r="K191" s="667">
        <f t="shared" si="50"/>
        <v>175.81689381333337</v>
      </c>
      <c r="L191" s="666">
        <v>1644130</v>
      </c>
      <c r="M191" s="666">
        <v>1104864</v>
      </c>
      <c r="N191" s="667">
        <f t="shared" si="51"/>
        <v>148.80836012396094</v>
      </c>
      <c r="O191" s="668">
        <v>907</v>
      </c>
    </row>
    <row r="192" spans="1:16" s="668" customFormat="1" ht="17.25" x14ac:dyDescent="0.25">
      <c r="A192" s="748">
        <v>2</v>
      </c>
      <c r="B192" s="805" t="s">
        <v>299</v>
      </c>
      <c r="C192" s="666">
        <v>342981</v>
      </c>
      <c r="D192" s="666">
        <v>731</v>
      </c>
      <c r="E192" s="667">
        <f>C192/D192*100</f>
        <v>46919.42544459644</v>
      </c>
      <c r="F192" s="666">
        <v>342981</v>
      </c>
      <c r="G192" s="666">
        <v>731</v>
      </c>
      <c r="H192" s="667">
        <f t="shared" si="49"/>
        <v>46919.42544459644</v>
      </c>
      <c r="I192" s="666">
        <v>392567</v>
      </c>
      <c r="J192" s="666">
        <v>263916</v>
      </c>
      <c r="K192" s="667">
        <f t="shared" si="50"/>
        <v>148.74694978705344</v>
      </c>
      <c r="L192" s="666">
        <v>0</v>
      </c>
      <c r="M192" s="666">
        <v>0</v>
      </c>
      <c r="N192" s="667" t="e">
        <f t="shared" si="51"/>
        <v>#DIV/0!</v>
      </c>
      <c r="O192" s="668">
        <v>187</v>
      </c>
    </row>
    <row r="193" spans="1:16" s="668" customFormat="1" ht="17.25" x14ac:dyDescent="0.25">
      <c r="A193" s="748">
        <v>3</v>
      </c>
      <c r="B193" s="805" t="s">
        <v>244</v>
      </c>
      <c r="C193" s="666">
        <v>79392</v>
      </c>
      <c r="D193" s="666">
        <v>0</v>
      </c>
      <c r="E193" s="667" t="e">
        <f t="shared" si="48"/>
        <v>#DIV/0!</v>
      </c>
      <c r="F193" s="666">
        <v>79392</v>
      </c>
      <c r="G193" s="666">
        <v>0</v>
      </c>
      <c r="H193" s="667" t="e">
        <f t="shared" si="49"/>
        <v>#DIV/0!</v>
      </c>
      <c r="I193" s="666">
        <v>63110</v>
      </c>
      <c r="J193" s="666">
        <v>0</v>
      </c>
      <c r="K193" s="667" t="e">
        <f t="shared" si="50"/>
        <v>#DIV/0!</v>
      </c>
      <c r="L193" s="666">
        <v>14585</v>
      </c>
      <c r="M193" s="666">
        <v>0</v>
      </c>
      <c r="N193" s="667" t="e">
        <f t="shared" si="51"/>
        <v>#DIV/0!</v>
      </c>
      <c r="O193" s="668">
        <v>74</v>
      </c>
      <c r="P193" s="668">
        <v>184</v>
      </c>
    </row>
    <row r="194" spans="1:16" ht="34.5" x14ac:dyDescent="0.25">
      <c r="A194" s="748">
        <v>4</v>
      </c>
      <c r="B194" s="881" t="s">
        <v>688</v>
      </c>
      <c r="C194" s="282">
        <v>2539542</v>
      </c>
      <c r="D194" s="282">
        <v>2718360</v>
      </c>
      <c r="E194" s="425">
        <f t="shared" si="48"/>
        <v>93.421842581556518</v>
      </c>
      <c r="F194" s="282">
        <v>2539542</v>
      </c>
      <c r="G194" s="282">
        <v>2718360</v>
      </c>
      <c r="H194" s="425">
        <f t="shared" si="49"/>
        <v>93.421842581556518</v>
      </c>
      <c r="I194" s="282">
        <v>2999493</v>
      </c>
      <c r="J194" s="282">
        <v>2276061</v>
      </c>
      <c r="K194" s="425">
        <f t="shared" si="50"/>
        <v>131.78438539213141</v>
      </c>
      <c r="L194" s="282">
        <v>2667825</v>
      </c>
      <c r="M194" s="282">
        <v>2170174</v>
      </c>
      <c r="N194" s="425">
        <f t="shared" si="51"/>
        <v>122.93138706850235</v>
      </c>
      <c r="O194" s="126">
        <v>1210</v>
      </c>
      <c r="P194" s="126">
        <v>163</v>
      </c>
    </row>
    <row r="195" spans="1:16" x14ac:dyDescent="0.25">
      <c r="A195" s="579"/>
      <c r="B195" s="579"/>
      <c r="C195" s="579"/>
      <c r="D195" s="580"/>
      <c r="E195" s="580"/>
      <c r="F195" s="580"/>
      <c r="G195" s="580"/>
      <c r="H195" s="580"/>
      <c r="I195" s="580"/>
      <c r="J195" s="580"/>
      <c r="K195" s="580"/>
      <c r="L195" s="580"/>
      <c r="M195" s="580"/>
      <c r="N195" s="580"/>
    </row>
    <row r="196" spans="1:16" x14ac:dyDescent="0.25">
      <c r="A196" s="1033" t="s">
        <v>363</v>
      </c>
      <c r="B196" s="1034" t="s">
        <v>119</v>
      </c>
      <c r="C196" s="254">
        <f>SUM(C197:C235)</f>
        <v>7299951</v>
      </c>
      <c r="D196" s="254">
        <f>SUM(D197:D235)</f>
        <v>6846391</v>
      </c>
      <c r="E196" s="451">
        <f>C196/D196*100</f>
        <v>106.62480422166949</v>
      </c>
      <c r="F196" s="254">
        <f>SUM(F197:F235)</f>
        <v>7106689</v>
      </c>
      <c r="G196" s="254">
        <f>SUM(G197:G235)</f>
        <v>6678668</v>
      </c>
      <c r="H196" s="451">
        <f>F196/G196*100</f>
        <v>106.40877791799204</v>
      </c>
      <c r="I196" s="254">
        <f>SUM(I197:I235)</f>
        <v>4756753</v>
      </c>
      <c r="J196" s="254">
        <f>SUM(J197:J235)</f>
        <v>5716828</v>
      </c>
      <c r="K196" s="451">
        <f>I196/J196*100</f>
        <v>83.206159079825383</v>
      </c>
      <c r="L196" s="254">
        <f>SUM(L197:L235)</f>
        <v>296255</v>
      </c>
      <c r="M196" s="254">
        <f>SUM(M197:M235)</f>
        <v>517269</v>
      </c>
      <c r="N196" s="451">
        <f>L196/M196*100</f>
        <v>57.272908293363798</v>
      </c>
    </row>
    <row r="197" spans="1:16" ht="17.25" x14ac:dyDescent="0.25">
      <c r="A197" s="53">
        <v>1</v>
      </c>
      <c r="B197" s="799" t="s">
        <v>689</v>
      </c>
      <c r="C197" s="247">
        <v>0</v>
      </c>
      <c r="D197" s="247">
        <v>0</v>
      </c>
      <c r="E197" s="425" t="e">
        <f t="shared" ref="E197:E235" si="52">C197/D197*100</f>
        <v>#DIV/0!</v>
      </c>
      <c r="F197" s="247">
        <v>0</v>
      </c>
      <c r="G197" s="247">
        <v>0</v>
      </c>
      <c r="H197" s="425" t="e">
        <f t="shared" ref="H197:H235" si="53">F197/G197*100</f>
        <v>#DIV/0!</v>
      </c>
      <c r="I197" s="247">
        <v>0</v>
      </c>
      <c r="J197" s="247">
        <v>12689</v>
      </c>
      <c r="K197" s="425">
        <f t="shared" ref="K197:K235" si="54">I197/J197*100</f>
        <v>0</v>
      </c>
      <c r="L197" s="247">
        <v>0</v>
      </c>
      <c r="M197" s="247">
        <v>12387</v>
      </c>
      <c r="N197" s="425">
        <f t="shared" ref="N197:N235" si="55">L197/M197*100</f>
        <v>0</v>
      </c>
      <c r="O197" s="126">
        <v>16</v>
      </c>
      <c r="P197" s="126">
        <v>101</v>
      </c>
    </row>
    <row r="198" spans="1:16" ht="34.5" x14ac:dyDescent="0.25">
      <c r="A198" s="748">
        <v>2</v>
      </c>
      <c r="B198" s="799" t="s">
        <v>690</v>
      </c>
      <c r="C198" s="247">
        <v>147472</v>
      </c>
      <c r="D198" s="247">
        <v>71686</v>
      </c>
      <c r="E198" s="425">
        <f t="shared" si="52"/>
        <v>205.71938732806964</v>
      </c>
      <c r="F198" s="247">
        <v>147472</v>
      </c>
      <c r="G198" s="247">
        <v>71686</v>
      </c>
      <c r="H198" s="425">
        <f t="shared" si="53"/>
        <v>205.71938732806964</v>
      </c>
      <c r="I198" s="247">
        <v>84086</v>
      </c>
      <c r="J198" s="247">
        <v>106297</v>
      </c>
      <c r="K198" s="425">
        <f t="shared" si="54"/>
        <v>79.104772477116001</v>
      </c>
      <c r="L198" s="247">
        <v>57901</v>
      </c>
      <c r="M198" s="247">
        <v>63136</v>
      </c>
      <c r="N198" s="425">
        <f t="shared" si="55"/>
        <v>91.70837557019766</v>
      </c>
      <c r="O198" s="126">
        <v>113</v>
      </c>
      <c r="P198" s="126">
        <v>71</v>
      </c>
    </row>
    <row r="199" spans="1:16" ht="17.25" x14ac:dyDescent="0.25">
      <c r="A199" s="748">
        <v>3</v>
      </c>
      <c r="B199" s="799" t="s">
        <v>692</v>
      </c>
      <c r="C199" s="247">
        <v>1904</v>
      </c>
      <c r="D199" s="247">
        <v>43146</v>
      </c>
      <c r="E199" s="425">
        <f t="shared" si="52"/>
        <v>4.4129235618597322</v>
      </c>
      <c r="F199" s="247">
        <v>1904</v>
      </c>
      <c r="G199" s="247">
        <v>43146</v>
      </c>
      <c r="H199" s="425">
        <f t="shared" si="53"/>
        <v>4.4129235618597322</v>
      </c>
      <c r="I199" s="247">
        <v>23063</v>
      </c>
      <c r="J199" s="247">
        <v>58261</v>
      </c>
      <c r="K199" s="425">
        <f t="shared" si="54"/>
        <v>39.585657644050052</v>
      </c>
      <c r="L199" s="247">
        <v>10740</v>
      </c>
      <c r="M199" s="247">
        <v>43824</v>
      </c>
      <c r="N199" s="425">
        <f t="shared" si="55"/>
        <v>24.507119386637459</v>
      </c>
      <c r="O199" s="126">
        <v>88</v>
      </c>
      <c r="P199" s="126">
        <v>146</v>
      </c>
    </row>
    <row r="200" spans="1:16" ht="17.25" x14ac:dyDescent="0.25">
      <c r="A200" s="748">
        <v>4</v>
      </c>
      <c r="B200" s="799" t="s">
        <v>691</v>
      </c>
      <c r="C200" s="247">
        <v>130380</v>
      </c>
      <c r="D200" s="247">
        <v>101938</v>
      </c>
      <c r="E200" s="425">
        <f t="shared" si="52"/>
        <v>127.90127332300025</v>
      </c>
      <c r="F200" s="247">
        <v>130380</v>
      </c>
      <c r="G200" s="247">
        <v>101938</v>
      </c>
      <c r="H200" s="425">
        <f t="shared" si="53"/>
        <v>127.90127332300025</v>
      </c>
      <c r="I200" s="247">
        <v>98817</v>
      </c>
      <c r="J200" s="247">
        <v>116385</v>
      </c>
      <c r="K200" s="425">
        <f t="shared" si="54"/>
        <v>84.905271297847662</v>
      </c>
      <c r="L200" s="247">
        <v>45555</v>
      </c>
      <c r="M200" s="247">
        <v>70029</v>
      </c>
      <c r="N200" s="425">
        <f t="shared" si="55"/>
        <v>65.051621471104824</v>
      </c>
      <c r="O200" s="126">
        <v>280</v>
      </c>
      <c r="P200" s="126">
        <v>170</v>
      </c>
    </row>
    <row r="201" spans="1:16" ht="17.25" x14ac:dyDescent="0.25">
      <c r="A201" s="748">
        <v>5</v>
      </c>
      <c r="B201" s="799" t="s">
        <v>693</v>
      </c>
      <c r="C201" s="247">
        <v>3186343</v>
      </c>
      <c r="D201" s="247">
        <v>3104794</v>
      </c>
      <c r="E201" s="425">
        <f t="shared" si="52"/>
        <v>102.62655106908865</v>
      </c>
      <c r="F201" s="247">
        <v>3186343</v>
      </c>
      <c r="G201" s="247">
        <v>3104794</v>
      </c>
      <c r="H201" s="425">
        <f t="shared" si="53"/>
        <v>102.62655106908865</v>
      </c>
      <c r="I201" s="247">
        <v>606703</v>
      </c>
      <c r="J201" s="247">
        <v>1864032</v>
      </c>
      <c r="K201" s="425">
        <f t="shared" si="54"/>
        <v>32.547885444026711</v>
      </c>
      <c r="L201" s="247">
        <v>227</v>
      </c>
      <c r="M201" s="247">
        <v>0</v>
      </c>
      <c r="N201" s="425" t="e">
        <f t="shared" si="55"/>
        <v>#DIV/0!</v>
      </c>
      <c r="O201" s="126">
        <v>747</v>
      </c>
      <c r="P201" s="126">
        <v>150</v>
      </c>
    </row>
    <row r="202" spans="1:16" ht="17.25" x14ac:dyDescent="0.25">
      <c r="A202" s="53">
        <v>6</v>
      </c>
      <c r="B202" s="799" t="s">
        <v>694</v>
      </c>
      <c r="C202" s="247">
        <v>402040</v>
      </c>
      <c r="D202" s="247">
        <v>185234</v>
      </c>
      <c r="E202" s="425">
        <f t="shared" si="52"/>
        <v>217.04438709956057</v>
      </c>
      <c r="F202" s="247">
        <v>402040</v>
      </c>
      <c r="G202" s="247">
        <v>185234</v>
      </c>
      <c r="H202" s="425">
        <f t="shared" si="53"/>
        <v>217.04438709956057</v>
      </c>
      <c r="I202" s="247">
        <v>362679</v>
      </c>
      <c r="J202" s="247">
        <v>173089</v>
      </c>
      <c r="K202" s="425">
        <f t="shared" si="54"/>
        <v>209.53324590239703</v>
      </c>
      <c r="L202" s="247">
        <v>0</v>
      </c>
      <c r="M202" s="247">
        <v>0</v>
      </c>
      <c r="N202" s="425" t="e">
        <f t="shared" si="55"/>
        <v>#DIV/0!</v>
      </c>
      <c r="O202" s="126">
        <v>460</v>
      </c>
      <c r="P202" s="126">
        <v>159</v>
      </c>
    </row>
    <row r="203" spans="1:16" ht="17.25" x14ac:dyDescent="0.25">
      <c r="A203" s="53">
        <v>7</v>
      </c>
      <c r="B203" s="799" t="s">
        <v>695</v>
      </c>
      <c r="C203" s="247">
        <v>165369</v>
      </c>
      <c r="D203" s="247">
        <v>78947</v>
      </c>
      <c r="E203" s="425">
        <f t="shared" si="52"/>
        <v>209.46837751909507</v>
      </c>
      <c r="F203" s="247">
        <v>165369</v>
      </c>
      <c r="G203" s="247">
        <v>78947</v>
      </c>
      <c r="H203" s="425">
        <f t="shared" si="53"/>
        <v>209.46837751909507</v>
      </c>
      <c r="I203" s="247">
        <v>92062</v>
      </c>
      <c r="J203" s="247">
        <v>95568</v>
      </c>
      <c r="K203" s="425">
        <f t="shared" si="54"/>
        <v>96.331408002678714</v>
      </c>
      <c r="L203" s="247">
        <v>0</v>
      </c>
      <c r="M203" s="247">
        <v>26780</v>
      </c>
      <c r="N203" s="425">
        <f t="shared" si="55"/>
        <v>0</v>
      </c>
      <c r="O203" s="126">
        <v>165</v>
      </c>
      <c r="P203" s="126">
        <v>105</v>
      </c>
    </row>
    <row r="204" spans="1:16" ht="17.25" x14ac:dyDescent="0.25">
      <c r="A204" s="53">
        <v>8</v>
      </c>
      <c r="B204" s="799" t="s">
        <v>696</v>
      </c>
      <c r="C204" s="247">
        <v>2266</v>
      </c>
      <c r="D204" s="247">
        <v>33485</v>
      </c>
      <c r="E204" s="425">
        <f t="shared" si="52"/>
        <v>6.7672091981484241</v>
      </c>
      <c r="F204" s="247">
        <v>2266</v>
      </c>
      <c r="G204" s="247">
        <v>33485</v>
      </c>
      <c r="H204" s="425">
        <f t="shared" si="53"/>
        <v>6.7672091981484241</v>
      </c>
      <c r="I204" s="247">
        <v>58846</v>
      </c>
      <c r="J204" s="247">
        <v>50587</v>
      </c>
      <c r="K204" s="425">
        <f t="shared" si="54"/>
        <v>116.32632889872892</v>
      </c>
      <c r="L204" s="247">
        <v>0</v>
      </c>
      <c r="M204" s="247">
        <v>0</v>
      </c>
      <c r="N204" s="425" t="e">
        <f t="shared" si="55"/>
        <v>#DIV/0!</v>
      </c>
      <c r="O204" s="126">
        <v>42</v>
      </c>
      <c r="P204" s="126">
        <v>80</v>
      </c>
    </row>
    <row r="205" spans="1:16" ht="17.25" x14ac:dyDescent="0.25">
      <c r="A205" s="53">
        <v>9</v>
      </c>
      <c r="B205" s="799" t="s">
        <v>697</v>
      </c>
      <c r="C205" s="247">
        <v>156216</v>
      </c>
      <c r="D205" s="247">
        <v>118199</v>
      </c>
      <c r="E205" s="425">
        <f t="shared" si="52"/>
        <v>132.16355468320376</v>
      </c>
      <c r="F205" s="247">
        <v>156216</v>
      </c>
      <c r="G205" s="247">
        <v>118199</v>
      </c>
      <c r="H205" s="425">
        <f t="shared" si="53"/>
        <v>132.16355468320376</v>
      </c>
      <c r="I205" s="247">
        <v>152796</v>
      </c>
      <c r="J205" s="247">
        <v>115749</v>
      </c>
      <c r="K205" s="425">
        <f t="shared" si="54"/>
        <v>132.0063240287173</v>
      </c>
      <c r="L205" s="247">
        <v>2515</v>
      </c>
      <c r="M205" s="247">
        <v>0</v>
      </c>
      <c r="N205" s="425" t="e">
        <f t="shared" si="55"/>
        <v>#DIV/0!</v>
      </c>
      <c r="O205" s="126">
        <v>42</v>
      </c>
      <c r="P205" s="126">
        <v>80</v>
      </c>
    </row>
    <row r="206" spans="1:16" ht="17.25" x14ac:dyDescent="0.25">
      <c r="A206" s="53">
        <v>10</v>
      </c>
      <c r="B206" s="799" t="s">
        <v>227</v>
      </c>
      <c r="C206" s="247">
        <v>122567</v>
      </c>
      <c r="D206" s="247">
        <v>55438</v>
      </c>
      <c r="E206" s="425">
        <f t="shared" si="52"/>
        <v>221.08842310328654</v>
      </c>
      <c r="F206" s="247">
        <v>122567</v>
      </c>
      <c r="G206" s="247">
        <v>55438</v>
      </c>
      <c r="H206" s="425">
        <f t="shared" si="53"/>
        <v>221.08842310328654</v>
      </c>
      <c r="I206" s="247">
        <v>122567</v>
      </c>
      <c r="J206" s="247">
        <v>55438</v>
      </c>
      <c r="K206" s="425">
        <f t="shared" si="54"/>
        <v>221.08842310328654</v>
      </c>
      <c r="L206" s="247">
        <v>62139</v>
      </c>
      <c r="M206" s="247">
        <v>34814</v>
      </c>
      <c r="N206" s="425">
        <f t="shared" si="55"/>
        <v>178.48853909346815</v>
      </c>
      <c r="O206" s="126">
        <v>123</v>
      </c>
      <c r="P206" s="126">
        <v>85</v>
      </c>
    </row>
    <row r="207" spans="1:16" ht="17.25" x14ac:dyDescent="0.25">
      <c r="A207" s="53">
        <v>11</v>
      </c>
      <c r="B207" s="799" t="s">
        <v>235</v>
      </c>
      <c r="C207" s="247">
        <v>15599</v>
      </c>
      <c r="D207" s="247">
        <v>21323</v>
      </c>
      <c r="E207" s="425">
        <f t="shared" si="52"/>
        <v>73.155747315105756</v>
      </c>
      <c r="F207" s="247">
        <v>15599</v>
      </c>
      <c r="G207" s="247">
        <v>21323</v>
      </c>
      <c r="H207" s="425">
        <f t="shared" si="53"/>
        <v>73.155747315105756</v>
      </c>
      <c r="I207" s="247">
        <v>15599</v>
      </c>
      <c r="J207" s="247">
        <v>21323</v>
      </c>
      <c r="K207" s="425">
        <f t="shared" si="54"/>
        <v>73.155747315105756</v>
      </c>
      <c r="L207" s="247">
        <v>0</v>
      </c>
      <c r="M207" s="247">
        <v>0</v>
      </c>
      <c r="N207" s="425" t="e">
        <f t="shared" si="55"/>
        <v>#DIV/0!</v>
      </c>
      <c r="O207" s="126">
        <v>17</v>
      </c>
      <c r="P207" s="126">
        <v>80</v>
      </c>
    </row>
    <row r="208" spans="1:16" ht="17.25" x14ac:dyDescent="0.25">
      <c r="A208" s="53">
        <v>12</v>
      </c>
      <c r="B208" s="799" t="s">
        <v>698</v>
      </c>
      <c r="C208" s="247">
        <v>118617</v>
      </c>
      <c r="D208" s="247">
        <v>113576</v>
      </c>
      <c r="E208" s="425">
        <f t="shared" si="52"/>
        <v>104.43843769810523</v>
      </c>
      <c r="F208" s="247">
        <v>118617</v>
      </c>
      <c r="G208" s="247">
        <v>113576</v>
      </c>
      <c r="H208" s="425">
        <f t="shared" si="53"/>
        <v>104.43843769810523</v>
      </c>
      <c r="I208" s="247">
        <v>118617</v>
      </c>
      <c r="J208" s="247">
        <v>113576</v>
      </c>
      <c r="K208" s="425">
        <f t="shared" si="54"/>
        <v>104.43843769810523</v>
      </c>
      <c r="L208" s="247">
        <v>8104</v>
      </c>
      <c r="M208" s="247">
        <v>18464</v>
      </c>
      <c r="N208" s="425">
        <f t="shared" si="55"/>
        <v>43.890814558058928</v>
      </c>
      <c r="O208" s="126">
        <v>167</v>
      </c>
      <c r="P208" s="126">
        <v>115</v>
      </c>
    </row>
    <row r="209" spans="1:16" ht="17.25" x14ac:dyDescent="0.25">
      <c r="A209" s="748">
        <v>13</v>
      </c>
      <c r="B209" s="799" t="s">
        <v>699</v>
      </c>
      <c r="C209" s="247">
        <v>27480</v>
      </c>
      <c r="D209" s="247">
        <v>43001</v>
      </c>
      <c r="E209" s="425">
        <f t="shared" si="52"/>
        <v>63.905490569986746</v>
      </c>
      <c r="F209" s="247">
        <v>27480</v>
      </c>
      <c r="G209" s="247">
        <v>43001</v>
      </c>
      <c r="H209" s="425">
        <f t="shared" si="53"/>
        <v>63.905490569986746</v>
      </c>
      <c r="I209" s="247">
        <v>25620</v>
      </c>
      <c r="J209" s="247">
        <v>42251</v>
      </c>
      <c r="K209" s="425">
        <f t="shared" si="54"/>
        <v>60.637618044543331</v>
      </c>
      <c r="L209" s="247">
        <v>0</v>
      </c>
      <c r="M209" s="247">
        <v>1501</v>
      </c>
      <c r="N209" s="425">
        <f t="shared" si="55"/>
        <v>0</v>
      </c>
      <c r="O209" s="126">
        <v>120</v>
      </c>
    </row>
    <row r="210" spans="1:16" ht="17.25" x14ac:dyDescent="0.25">
      <c r="A210" s="748">
        <v>14</v>
      </c>
      <c r="B210" s="799" t="s">
        <v>700</v>
      </c>
      <c r="C210" s="247">
        <v>4167</v>
      </c>
      <c r="D210" s="247">
        <v>547</v>
      </c>
      <c r="E210" s="425">
        <f t="shared" si="52"/>
        <v>761.79159049360146</v>
      </c>
      <c r="F210" s="247">
        <v>4167</v>
      </c>
      <c r="G210" s="247">
        <v>547</v>
      </c>
      <c r="H210" s="425">
        <f t="shared" si="53"/>
        <v>761.79159049360146</v>
      </c>
      <c r="I210" s="247">
        <v>6446</v>
      </c>
      <c r="J210" s="247">
        <v>1604</v>
      </c>
      <c r="K210" s="425">
        <f t="shared" si="54"/>
        <v>401.87032418952617</v>
      </c>
      <c r="L210" s="247">
        <v>0</v>
      </c>
      <c r="M210" s="247">
        <v>0</v>
      </c>
      <c r="N210" s="425" t="e">
        <f t="shared" si="55"/>
        <v>#DIV/0!</v>
      </c>
      <c r="O210" s="126">
        <v>38</v>
      </c>
      <c r="P210" s="126">
        <v>80</v>
      </c>
    </row>
    <row r="211" spans="1:16" ht="34.5" x14ac:dyDescent="0.25">
      <c r="A211" s="748">
        <v>15</v>
      </c>
      <c r="B211" s="799" t="s">
        <v>701</v>
      </c>
      <c r="C211" s="247">
        <v>183885</v>
      </c>
      <c r="D211" s="247">
        <v>306670</v>
      </c>
      <c r="E211" s="425">
        <f t="shared" si="52"/>
        <v>59.961848240779993</v>
      </c>
      <c r="F211" s="247">
        <v>183885</v>
      </c>
      <c r="G211" s="247">
        <v>306670</v>
      </c>
      <c r="H211" s="425">
        <f t="shared" si="53"/>
        <v>59.961848240779993</v>
      </c>
      <c r="I211" s="247">
        <v>119891</v>
      </c>
      <c r="J211" s="247">
        <v>114651</v>
      </c>
      <c r="K211" s="425">
        <f t="shared" si="54"/>
        <v>104.57039188493778</v>
      </c>
      <c r="L211" s="247">
        <v>0</v>
      </c>
      <c r="M211" s="247">
        <v>0</v>
      </c>
      <c r="N211" s="425" t="e">
        <f t="shared" si="55"/>
        <v>#DIV/0!</v>
      </c>
      <c r="O211" s="126">
        <v>381</v>
      </c>
      <c r="P211" s="126">
        <v>100</v>
      </c>
    </row>
    <row r="212" spans="1:16" ht="27.75" customHeight="1" x14ac:dyDescent="0.25">
      <c r="A212" s="53">
        <v>16</v>
      </c>
      <c r="B212" s="799" t="s">
        <v>785</v>
      </c>
      <c r="C212" s="247">
        <v>506449</v>
      </c>
      <c r="D212" s="247">
        <v>857286</v>
      </c>
      <c r="E212" s="425">
        <f t="shared" si="52"/>
        <v>59.075850999549736</v>
      </c>
      <c r="F212" s="247">
        <v>506449</v>
      </c>
      <c r="G212" s="247">
        <v>857286</v>
      </c>
      <c r="H212" s="425">
        <f t="shared" si="53"/>
        <v>59.075850999549736</v>
      </c>
      <c r="I212" s="247">
        <v>877375</v>
      </c>
      <c r="J212" s="247">
        <v>995194</v>
      </c>
      <c r="K212" s="425">
        <f t="shared" si="54"/>
        <v>88.161202740370214</v>
      </c>
      <c r="L212" s="247">
        <v>56234</v>
      </c>
      <c r="M212" s="247">
        <v>61188</v>
      </c>
      <c r="N212" s="425">
        <f t="shared" si="55"/>
        <v>91.903641236843825</v>
      </c>
      <c r="O212" s="126">
        <v>1726</v>
      </c>
      <c r="P212" s="126">
        <v>168</v>
      </c>
    </row>
    <row r="213" spans="1:16" ht="34.5" x14ac:dyDescent="0.25">
      <c r="A213" s="748">
        <v>17</v>
      </c>
      <c r="B213" s="799" t="s">
        <v>547</v>
      </c>
      <c r="C213" s="247">
        <v>4567</v>
      </c>
      <c r="D213" s="247">
        <v>2450</v>
      </c>
      <c r="E213" s="425">
        <f t="shared" si="52"/>
        <v>186.40816326530611</v>
      </c>
      <c r="F213" s="247">
        <v>4567</v>
      </c>
      <c r="G213" s="247">
        <v>2450</v>
      </c>
      <c r="H213" s="425">
        <f t="shared" si="53"/>
        <v>186.40816326530611</v>
      </c>
      <c r="I213" s="247">
        <v>5382</v>
      </c>
      <c r="J213" s="247">
        <v>3200</v>
      </c>
      <c r="K213" s="425">
        <f t="shared" si="54"/>
        <v>168.1875</v>
      </c>
      <c r="L213" s="247">
        <v>0</v>
      </c>
      <c r="M213" s="247">
        <v>0</v>
      </c>
      <c r="N213" s="425" t="e">
        <f t="shared" si="55"/>
        <v>#DIV/0!</v>
      </c>
      <c r="O213" s="126">
        <v>20</v>
      </c>
      <c r="P213" s="126">
        <v>75</v>
      </c>
    </row>
    <row r="214" spans="1:16" ht="17.25" x14ac:dyDescent="0.25">
      <c r="A214" s="876">
        <v>18</v>
      </c>
      <c r="B214" s="810" t="s">
        <v>549</v>
      </c>
      <c r="C214" s="247"/>
      <c r="D214" s="247"/>
      <c r="E214" s="425" t="e">
        <f t="shared" si="52"/>
        <v>#DIV/0!</v>
      </c>
      <c r="F214" s="247"/>
      <c r="G214" s="247"/>
      <c r="H214" s="425" t="e">
        <f t="shared" si="53"/>
        <v>#DIV/0!</v>
      </c>
      <c r="I214" s="247"/>
      <c r="J214" s="247"/>
      <c r="K214" s="425" t="e">
        <f t="shared" si="54"/>
        <v>#DIV/0!</v>
      </c>
      <c r="L214" s="247"/>
      <c r="M214" s="247"/>
      <c r="N214" s="425" t="e">
        <f t="shared" si="55"/>
        <v>#DIV/0!</v>
      </c>
      <c r="O214" s="126">
        <v>58</v>
      </c>
      <c r="P214" s="126">
        <v>118</v>
      </c>
    </row>
    <row r="215" spans="1:16" ht="17.25" x14ac:dyDescent="0.25">
      <c r="A215" s="748">
        <v>19</v>
      </c>
      <c r="B215" s="799" t="s">
        <v>550</v>
      </c>
      <c r="C215" s="247">
        <v>874220</v>
      </c>
      <c r="D215" s="247">
        <v>768112</v>
      </c>
      <c r="E215" s="425">
        <f t="shared" si="52"/>
        <v>113.81413127252276</v>
      </c>
      <c r="F215" s="247">
        <v>874220</v>
      </c>
      <c r="G215" s="247">
        <v>768112</v>
      </c>
      <c r="H215" s="425">
        <f>F215/G215*100</f>
        <v>113.81413127252276</v>
      </c>
      <c r="I215" s="247">
        <v>848792</v>
      </c>
      <c r="J215" s="247">
        <v>745770</v>
      </c>
      <c r="K215" s="425">
        <f t="shared" si="54"/>
        <v>113.81417863416334</v>
      </c>
      <c r="L215" s="247">
        <v>0</v>
      </c>
      <c r="M215" s="247">
        <v>0</v>
      </c>
      <c r="N215" s="425" t="e">
        <f t="shared" si="55"/>
        <v>#DIV/0!</v>
      </c>
      <c r="O215" s="126">
        <v>6</v>
      </c>
      <c r="P215" s="126">
        <v>83</v>
      </c>
    </row>
    <row r="216" spans="1:16" ht="17.25" x14ac:dyDescent="0.25">
      <c r="A216" s="748">
        <v>20</v>
      </c>
      <c r="B216" s="799" t="s">
        <v>551</v>
      </c>
      <c r="C216" s="247">
        <v>87861</v>
      </c>
      <c r="D216" s="247">
        <v>64954</v>
      </c>
      <c r="E216" s="425">
        <f t="shared" si="52"/>
        <v>135.26649628968192</v>
      </c>
      <c r="F216" s="282">
        <v>87861</v>
      </c>
      <c r="G216" s="247">
        <v>64954</v>
      </c>
      <c r="H216" s="425">
        <f t="shared" si="53"/>
        <v>135.26649628968192</v>
      </c>
      <c r="I216" s="247">
        <v>80853</v>
      </c>
      <c r="J216" s="247">
        <v>52588</v>
      </c>
      <c r="K216" s="425">
        <f t="shared" si="54"/>
        <v>153.74800334677113</v>
      </c>
      <c r="L216" s="247">
        <v>0</v>
      </c>
      <c r="M216" s="247">
        <v>0</v>
      </c>
      <c r="N216" s="425" t="e">
        <f t="shared" si="55"/>
        <v>#DIV/0!</v>
      </c>
      <c r="O216" s="126">
        <v>304</v>
      </c>
      <c r="P216" s="126">
        <v>100</v>
      </c>
    </row>
    <row r="217" spans="1:16" s="668" customFormat="1" ht="17.25" x14ac:dyDescent="0.25">
      <c r="A217" s="748">
        <v>21</v>
      </c>
      <c r="B217" s="799" t="s">
        <v>553</v>
      </c>
      <c r="C217" s="666">
        <v>123082</v>
      </c>
      <c r="D217" s="666">
        <v>2651</v>
      </c>
      <c r="E217" s="667">
        <f t="shared" si="52"/>
        <v>4642.8517540550738</v>
      </c>
      <c r="F217" s="666">
        <v>123082</v>
      </c>
      <c r="G217" s="666">
        <v>2651</v>
      </c>
      <c r="H217" s="667">
        <f t="shared" si="53"/>
        <v>4642.8517540550738</v>
      </c>
      <c r="I217" s="666">
        <v>30805</v>
      </c>
      <c r="J217" s="666">
        <v>11167</v>
      </c>
      <c r="K217" s="667">
        <f t="shared" si="54"/>
        <v>275.85743709143009</v>
      </c>
      <c r="L217" s="666">
        <v>0</v>
      </c>
      <c r="M217" s="666">
        <v>0</v>
      </c>
      <c r="N217" s="667" t="e">
        <f t="shared" si="55"/>
        <v>#DIV/0!</v>
      </c>
      <c r="O217" s="668">
        <v>44</v>
      </c>
    </row>
    <row r="218" spans="1:16" s="668" customFormat="1" ht="34.5" x14ac:dyDescent="0.25">
      <c r="A218" s="748">
        <v>22</v>
      </c>
      <c r="B218" s="799" t="s">
        <v>554</v>
      </c>
      <c r="C218" s="666">
        <v>340686</v>
      </c>
      <c r="D218" s="666">
        <v>163216</v>
      </c>
      <c r="E218" s="667">
        <f t="shared" si="52"/>
        <v>208.73321243015391</v>
      </c>
      <c r="F218" s="666">
        <v>340686</v>
      </c>
      <c r="G218" s="666">
        <v>163216</v>
      </c>
      <c r="H218" s="667">
        <f t="shared" si="53"/>
        <v>208.73321243015391</v>
      </c>
      <c r="I218" s="666">
        <v>340686</v>
      </c>
      <c r="J218" s="666">
        <v>163216</v>
      </c>
      <c r="K218" s="667">
        <f t="shared" si="54"/>
        <v>208.73321243015391</v>
      </c>
      <c r="L218" s="666">
        <v>0</v>
      </c>
      <c r="M218" s="666">
        <v>0</v>
      </c>
      <c r="N218" s="667" t="e">
        <f t="shared" si="55"/>
        <v>#DIV/0!</v>
      </c>
      <c r="O218" s="668">
        <v>252</v>
      </c>
    </row>
    <row r="219" spans="1:16" ht="17.25" x14ac:dyDescent="0.25">
      <c r="A219" s="53">
        <v>23</v>
      </c>
      <c r="B219" s="799" t="s">
        <v>576</v>
      </c>
      <c r="C219" s="732">
        <v>3674</v>
      </c>
      <c r="D219" s="733">
        <v>2414</v>
      </c>
      <c r="E219" s="425">
        <f t="shared" si="52"/>
        <v>152.19552609776306</v>
      </c>
      <c r="F219" s="247">
        <v>3674</v>
      </c>
      <c r="G219" s="247">
        <v>2414</v>
      </c>
      <c r="H219" s="425">
        <f t="shared" si="53"/>
        <v>152.19552609776306</v>
      </c>
      <c r="I219" s="247">
        <v>3852</v>
      </c>
      <c r="J219" s="247">
        <v>2285</v>
      </c>
      <c r="K219" s="425">
        <f>I219/J219*100</f>
        <v>168.57768052516411</v>
      </c>
      <c r="L219" s="247">
        <v>0</v>
      </c>
      <c r="M219" s="247">
        <v>0</v>
      </c>
      <c r="N219" s="425" t="e">
        <f t="shared" si="55"/>
        <v>#DIV/0!</v>
      </c>
      <c r="O219" s="126">
        <v>4</v>
      </c>
      <c r="P219" s="126">
        <v>81</v>
      </c>
    </row>
    <row r="220" spans="1:16" ht="17.25" x14ac:dyDescent="0.25">
      <c r="A220" s="53">
        <v>24</v>
      </c>
      <c r="B220" s="799" t="s">
        <v>755</v>
      </c>
      <c r="C220" s="247">
        <v>16133</v>
      </c>
      <c r="D220" s="247">
        <v>7732</v>
      </c>
      <c r="E220" s="425">
        <f t="shared" si="52"/>
        <v>208.65235385411279</v>
      </c>
      <c r="F220" s="247">
        <v>16133</v>
      </c>
      <c r="G220" s="247">
        <v>7732</v>
      </c>
      <c r="H220" s="425">
        <f t="shared" si="53"/>
        <v>208.65235385411279</v>
      </c>
      <c r="I220" s="247">
        <v>7204</v>
      </c>
      <c r="J220" s="247">
        <v>15447</v>
      </c>
      <c r="K220" s="425">
        <f t="shared" si="54"/>
        <v>46.636887421505797</v>
      </c>
      <c r="L220" s="247">
        <v>0</v>
      </c>
      <c r="M220" s="247">
        <v>0</v>
      </c>
      <c r="N220" s="425" t="e">
        <f t="shared" si="55"/>
        <v>#DIV/0!</v>
      </c>
      <c r="O220" s="126">
        <v>25</v>
      </c>
      <c r="P220" s="126">
        <v>87</v>
      </c>
    </row>
    <row r="221" spans="1:16" ht="34.5" x14ac:dyDescent="0.25">
      <c r="A221" s="53">
        <v>25</v>
      </c>
      <c r="B221" s="799" t="s">
        <v>557</v>
      </c>
      <c r="C221" s="247">
        <v>0</v>
      </c>
      <c r="D221" s="247">
        <v>88462</v>
      </c>
      <c r="E221" s="425">
        <f t="shared" si="52"/>
        <v>0</v>
      </c>
      <c r="F221" s="247">
        <v>0</v>
      </c>
      <c r="G221" s="247">
        <v>88462</v>
      </c>
      <c r="H221" s="425">
        <f t="shared" si="53"/>
        <v>0</v>
      </c>
      <c r="I221" s="247">
        <v>6752</v>
      </c>
      <c r="J221" s="247">
        <v>103598</v>
      </c>
      <c r="K221" s="425">
        <f t="shared" si="54"/>
        <v>6.5175003378443606</v>
      </c>
      <c r="L221" s="247">
        <v>0</v>
      </c>
      <c r="M221" s="247">
        <v>35884</v>
      </c>
      <c r="N221" s="425">
        <f t="shared" si="55"/>
        <v>0</v>
      </c>
      <c r="O221" s="126">
        <v>82</v>
      </c>
      <c r="P221" s="126">
        <v>119</v>
      </c>
    </row>
    <row r="222" spans="1:16" ht="17.25" x14ac:dyDescent="0.25">
      <c r="A222" s="53">
        <v>26</v>
      </c>
      <c r="B222" s="799" t="s">
        <v>558</v>
      </c>
      <c r="C222" s="247">
        <v>52840</v>
      </c>
      <c r="D222" s="247">
        <v>141137</v>
      </c>
      <c r="E222" s="425">
        <f t="shared" si="52"/>
        <v>37.438800598000526</v>
      </c>
      <c r="F222" s="247">
        <v>52840</v>
      </c>
      <c r="G222" s="247">
        <v>141137</v>
      </c>
      <c r="H222" s="425">
        <f t="shared" si="53"/>
        <v>37.438800598000526</v>
      </c>
      <c r="I222" s="247">
        <v>52840</v>
      </c>
      <c r="J222" s="247">
        <v>141137</v>
      </c>
      <c r="K222" s="425">
        <f t="shared" si="54"/>
        <v>37.438800598000526</v>
      </c>
      <c r="L222" s="247">
        <v>52840</v>
      </c>
      <c r="M222" s="247">
        <v>141137</v>
      </c>
      <c r="N222" s="425">
        <f t="shared" si="55"/>
        <v>37.438800598000526</v>
      </c>
      <c r="O222" s="126">
        <v>48</v>
      </c>
      <c r="P222" s="126">
        <v>130</v>
      </c>
    </row>
    <row r="223" spans="1:16" ht="17.25" x14ac:dyDescent="0.25">
      <c r="A223" s="876">
        <v>27</v>
      </c>
      <c r="B223" s="810" t="s">
        <v>560</v>
      </c>
      <c r="C223" s="247"/>
      <c r="D223" s="593"/>
      <c r="E223" s="425" t="e">
        <f t="shared" si="52"/>
        <v>#DIV/0!</v>
      </c>
      <c r="F223" s="593"/>
      <c r="G223" s="593"/>
      <c r="H223" s="425" t="e">
        <f t="shared" si="53"/>
        <v>#DIV/0!</v>
      </c>
      <c r="I223" s="593"/>
      <c r="J223" s="593"/>
      <c r="K223" s="425" t="e">
        <f t="shared" si="54"/>
        <v>#DIV/0!</v>
      </c>
      <c r="L223" s="247"/>
      <c r="M223" s="247"/>
      <c r="N223" s="425" t="e">
        <f t="shared" si="55"/>
        <v>#DIV/0!</v>
      </c>
      <c r="O223" s="126">
        <v>57</v>
      </c>
      <c r="P223" s="126">
        <v>95</v>
      </c>
    </row>
    <row r="224" spans="1:16" ht="33" customHeight="1" x14ac:dyDescent="0.25">
      <c r="A224" s="53">
        <v>28</v>
      </c>
      <c r="B224" s="799" t="s">
        <v>561</v>
      </c>
      <c r="C224" s="247">
        <v>27788</v>
      </c>
      <c r="D224" s="247">
        <v>40523</v>
      </c>
      <c r="E224" s="425">
        <f t="shared" si="52"/>
        <v>68.573402758927031</v>
      </c>
      <c r="F224" s="247">
        <v>27788</v>
      </c>
      <c r="G224" s="247">
        <v>40523</v>
      </c>
      <c r="H224" s="425">
        <f t="shared" si="53"/>
        <v>68.573402758927031</v>
      </c>
      <c r="I224" s="247">
        <v>105277</v>
      </c>
      <c r="J224" s="247">
        <v>140578</v>
      </c>
      <c r="K224" s="425">
        <f t="shared" si="54"/>
        <v>74.888673903455739</v>
      </c>
      <c r="L224" s="247">
        <v>0</v>
      </c>
      <c r="M224" s="247">
        <v>8125</v>
      </c>
      <c r="N224" s="425">
        <f t="shared" si="55"/>
        <v>0</v>
      </c>
      <c r="O224" s="126">
        <v>312</v>
      </c>
    </row>
    <row r="225" spans="1:16" ht="34.5" x14ac:dyDescent="0.25">
      <c r="A225" s="53">
        <v>29</v>
      </c>
      <c r="B225" s="799" t="s">
        <v>565</v>
      </c>
      <c r="C225" s="247">
        <v>10176</v>
      </c>
      <c r="D225" s="247">
        <v>4766</v>
      </c>
      <c r="E225" s="425">
        <f t="shared" si="52"/>
        <v>213.51237935375576</v>
      </c>
      <c r="F225" s="247">
        <v>10176</v>
      </c>
      <c r="G225" s="247">
        <v>4766</v>
      </c>
      <c r="H225" s="425">
        <f t="shared" si="53"/>
        <v>213.51237935375576</v>
      </c>
      <c r="I225" s="247">
        <v>10176</v>
      </c>
      <c r="J225" s="247">
        <v>4766</v>
      </c>
      <c r="K225" s="425">
        <f t="shared" si="54"/>
        <v>213.51237935375576</v>
      </c>
      <c r="L225" s="247">
        <v>0</v>
      </c>
      <c r="M225" s="247">
        <v>0</v>
      </c>
      <c r="N225" s="425" t="e">
        <f t="shared" si="55"/>
        <v>#DIV/0!</v>
      </c>
      <c r="O225" s="126">
        <v>20</v>
      </c>
      <c r="P225" s="126">
        <v>93</v>
      </c>
    </row>
    <row r="226" spans="1:16" ht="17.25" x14ac:dyDescent="0.25">
      <c r="A226" s="53">
        <v>30</v>
      </c>
      <c r="B226" s="799" t="s">
        <v>566</v>
      </c>
      <c r="C226" s="247">
        <v>10272</v>
      </c>
      <c r="D226" s="247">
        <v>15981</v>
      </c>
      <c r="E226" s="425">
        <f t="shared" si="52"/>
        <v>64.27632813966585</v>
      </c>
      <c r="F226" s="247">
        <v>10272</v>
      </c>
      <c r="G226" s="247">
        <v>15981</v>
      </c>
      <c r="H226" s="425">
        <f t="shared" si="53"/>
        <v>64.27632813966585</v>
      </c>
      <c r="I226" s="247">
        <v>10272</v>
      </c>
      <c r="J226" s="247">
        <v>15981</v>
      </c>
      <c r="K226" s="425">
        <f t="shared" si="54"/>
        <v>64.27632813966585</v>
      </c>
      <c r="L226" s="247">
        <v>0</v>
      </c>
      <c r="M226" s="247">
        <v>0</v>
      </c>
      <c r="N226" s="425" t="e">
        <f t="shared" si="55"/>
        <v>#DIV/0!</v>
      </c>
      <c r="O226" s="126">
        <v>26</v>
      </c>
      <c r="P226" s="126">
        <v>120</v>
      </c>
    </row>
    <row r="227" spans="1:16" ht="34.5" x14ac:dyDescent="0.25">
      <c r="A227" s="53">
        <v>31</v>
      </c>
      <c r="B227" s="799" t="s">
        <v>567</v>
      </c>
      <c r="C227" s="247">
        <v>1766</v>
      </c>
      <c r="D227" s="247">
        <v>1443</v>
      </c>
      <c r="E227" s="425">
        <f t="shared" si="52"/>
        <v>122.3839223839224</v>
      </c>
      <c r="F227" s="247">
        <v>1766</v>
      </c>
      <c r="G227" s="247">
        <v>1443</v>
      </c>
      <c r="H227" s="425">
        <f t="shared" si="53"/>
        <v>122.3839223839224</v>
      </c>
      <c r="I227" s="247">
        <v>1425</v>
      </c>
      <c r="J227" s="247">
        <v>1748</v>
      </c>
      <c r="K227" s="425">
        <f t="shared" si="54"/>
        <v>81.521739130434781</v>
      </c>
      <c r="L227" s="247">
        <v>0</v>
      </c>
      <c r="M227" s="247">
        <v>0</v>
      </c>
      <c r="N227" s="425" t="e">
        <f t="shared" si="55"/>
        <v>#DIV/0!</v>
      </c>
      <c r="O227" s="126">
        <v>6</v>
      </c>
    </row>
    <row r="228" spans="1:16" ht="34.5" x14ac:dyDescent="0.25">
      <c r="A228" s="748">
        <v>32</v>
      </c>
      <c r="B228" s="799" t="s">
        <v>574</v>
      </c>
      <c r="C228" s="247">
        <v>13319</v>
      </c>
      <c r="D228" s="247">
        <v>10899</v>
      </c>
      <c r="E228" s="425">
        <f t="shared" si="52"/>
        <v>122.20387191485457</v>
      </c>
      <c r="F228" s="247">
        <v>13319</v>
      </c>
      <c r="G228" s="247">
        <v>10889</v>
      </c>
      <c r="H228" s="425">
        <f t="shared" si="53"/>
        <v>122.31609881531821</v>
      </c>
      <c r="I228" s="247">
        <v>9622</v>
      </c>
      <c r="J228" s="247">
        <v>8828</v>
      </c>
      <c r="K228" s="425">
        <f t="shared" si="54"/>
        <v>108.99410965111009</v>
      </c>
      <c r="L228" s="247">
        <v>0</v>
      </c>
      <c r="M228" s="247">
        <v>0</v>
      </c>
      <c r="N228" s="425" t="e">
        <f t="shared" si="55"/>
        <v>#DIV/0!</v>
      </c>
      <c r="O228" s="126">
        <v>63</v>
      </c>
    </row>
    <row r="229" spans="1:16" ht="17.25" x14ac:dyDescent="0.25">
      <c r="A229" s="748">
        <v>33</v>
      </c>
      <c r="B229" s="799" t="s">
        <v>569</v>
      </c>
      <c r="C229" s="247">
        <v>0</v>
      </c>
      <c r="D229" s="247">
        <v>830</v>
      </c>
      <c r="E229" s="425">
        <f t="shared" si="52"/>
        <v>0</v>
      </c>
      <c r="F229" s="247">
        <v>0</v>
      </c>
      <c r="G229" s="247">
        <v>830</v>
      </c>
      <c r="H229" s="425">
        <f t="shared" si="53"/>
        <v>0</v>
      </c>
      <c r="I229" s="247">
        <v>0</v>
      </c>
      <c r="J229" s="247">
        <v>5026</v>
      </c>
      <c r="K229" s="425">
        <f t="shared" si="54"/>
        <v>0</v>
      </c>
      <c r="L229" s="247">
        <v>0</v>
      </c>
      <c r="M229" s="247">
        <v>0</v>
      </c>
      <c r="N229" s="425" t="e">
        <f t="shared" si="55"/>
        <v>#DIV/0!</v>
      </c>
      <c r="O229" s="126">
        <v>1</v>
      </c>
      <c r="P229" s="126">
        <v>67</v>
      </c>
    </row>
    <row r="230" spans="1:16" ht="17.25" x14ac:dyDescent="0.25">
      <c r="A230" s="748">
        <v>34</v>
      </c>
      <c r="B230" s="799" t="s">
        <v>704</v>
      </c>
      <c r="C230" s="247">
        <v>5029</v>
      </c>
      <c r="D230" s="247">
        <v>2500</v>
      </c>
      <c r="E230" s="425">
        <f t="shared" si="52"/>
        <v>201.16</v>
      </c>
      <c r="F230" s="247">
        <v>5029</v>
      </c>
      <c r="G230" s="247">
        <v>2500</v>
      </c>
      <c r="H230" s="425">
        <f t="shared" si="53"/>
        <v>201.16</v>
      </c>
      <c r="I230" s="247">
        <v>5029</v>
      </c>
      <c r="J230" s="247">
        <v>2500</v>
      </c>
      <c r="K230" s="425">
        <f t="shared" si="54"/>
        <v>201.16</v>
      </c>
      <c r="L230" s="247">
        <v>0</v>
      </c>
      <c r="M230" s="247">
        <v>0</v>
      </c>
      <c r="N230" s="425" t="e">
        <f t="shared" si="55"/>
        <v>#DIV/0!</v>
      </c>
      <c r="O230" s="126">
        <v>11</v>
      </c>
      <c r="P230" s="126">
        <v>120</v>
      </c>
    </row>
    <row r="231" spans="1:16" ht="17.25" x14ac:dyDescent="0.25">
      <c r="A231" s="748">
        <v>35</v>
      </c>
      <c r="B231" s="799" t="s">
        <v>705</v>
      </c>
      <c r="C231" s="247">
        <v>2964</v>
      </c>
      <c r="D231" s="247">
        <v>1458</v>
      </c>
      <c r="E231" s="425">
        <f t="shared" si="52"/>
        <v>203.29218106995884</v>
      </c>
      <c r="F231" s="247">
        <v>2964</v>
      </c>
      <c r="G231" s="247">
        <v>1458</v>
      </c>
      <c r="H231" s="425">
        <f t="shared" si="53"/>
        <v>203.29218106995884</v>
      </c>
      <c r="I231" s="247">
        <v>6110</v>
      </c>
      <c r="J231" s="247">
        <v>2244</v>
      </c>
      <c r="K231" s="425">
        <f>I231/J231*100</f>
        <v>272.28163992869872</v>
      </c>
      <c r="L231" s="247">
        <v>0</v>
      </c>
      <c r="M231" s="247">
        <v>0</v>
      </c>
      <c r="N231" s="425" t="e">
        <f t="shared" si="55"/>
        <v>#DIV/0!</v>
      </c>
      <c r="O231" s="126">
        <v>14</v>
      </c>
      <c r="P231" s="126">
        <v>69</v>
      </c>
    </row>
    <row r="232" spans="1:16" ht="34.5" x14ac:dyDescent="0.25">
      <c r="A232" s="748">
        <v>36</v>
      </c>
      <c r="B232" s="799" t="s">
        <v>752</v>
      </c>
      <c r="C232" s="247">
        <v>214485</v>
      </c>
      <c r="D232" s="247">
        <v>185306</v>
      </c>
      <c r="E232" s="425">
        <f t="shared" si="52"/>
        <v>115.74638705708395</v>
      </c>
      <c r="F232" s="247">
        <v>21223</v>
      </c>
      <c r="G232" s="247">
        <v>17593</v>
      </c>
      <c r="H232" s="425">
        <f t="shared" si="53"/>
        <v>120.63320638890467</v>
      </c>
      <c r="I232" s="247">
        <v>214485</v>
      </c>
      <c r="J232" s="247">
        <v>185306</v>
      </c>
      <c r="K232" s="425">
        <f t="shared" si="54"/>
        <v>115.74638705708395</v>
      </c>
      <c r="L232" s="247">
        <v>0</v>
      </c>
      <c r="M232" s="247">
        <v>0</v>
      </c>
      <c r="N232" s="425" t="e">
        <f t="shared" si="55"/>
        <v>#DIV/0!</v>
      </c>
      <c r="O232" s="126">
        <v>132</v>
      </c>
      <c r="P232" s="126">
        <v>108</v>
      </c>
    </row>
    <row r="233" spans="1:16" s="727" customFormat="1" ht="17.25" x14ac:dyDescent="0.25">
      <c r="A233" s="272">
        <v>37</v>
      </c>
      <c r="B233" s="799" t="s">
        <v>783</v>
      </c>
      <c r="C233" s="282">
        <v>288670</v>
      </c>
      <c r="D233" s="282">
        <v>185966</v>
      </c>
      <c r="E233" s="372">
        <f t="shared" si="52"/>
        <v>155.22729961390792</v>
      </c>
      <c r="F233" s="282">
        <v>288670</v>
      </c>
      <c r="G233" s="282">
        <v>185966</v>
      </c>
      <c r="H233" s="372">
        <f t="shared" si="53"/>
        <v>155.22729961390792</v>
      </c>
      <c r="I233" s="282">
        <v>210334</v>
      </c>
      <c r="J233" s="282">
        <v>150302</v>
      </c>
      <c r="K233" s="372">
        <f t="shared" si="54"/>
        <v>139.94091894984763</v>
      </c>
      <c r="L233" s="282">
        <v>0</v>
      </c>
      <c r="M233" s="282">
        <v>0</v>
      </c>
      <c r="N233" s="372" t="e">
        <f t="shared" si="55"/>
        <v>#DIV/0!</v>
      </c>
      <c r="O233" s="727">
        <v>53</v>
      </c>
      <c r="P233" s="727">
        <v>103</v>
      </c>
    </row>
    <row r="234" spans="1:16" ht="17.25" x14ac:dyDescent="0.25">
      <c r="A234" s="748">
        <v>38</v>
      </c>
      <c r="B234" s="799" t="s">
        <v>756</v>
      </c>
      <c r="C234" s="247">
        <v>45585</v>
      </c>
      <c r="D234" s="247">
        <v>14242</v>
      </c>
      <c r="E234" s="425">
        <f t="shared" si="52"/>
        <v>320.07442774891166</v>
      </c>
      <c r="F234" s="247">
        <v>45585</v>
      </c>
      <c r="G234" s="247">
        <v>14242</v>
      </c>
      <c r="H234" s="425">
        <f t="shared" si="53"/>
        <v>320.07442774891166</v>
      </c>
      <c r="I234" s="247">
        <v>35610</v>
      </c>
      <c r="J234" s="247">
        <v>18368</v>
      </c>
      <c r="K234" s="425">
        <f t="shared" si="54"/>
        <v>193.86977351916377</v>
      </c>
      <c r="L234" s="247">
        <v>0</v>
      </c>
      <c r="M234" s="247">
        <v>0</v>
      </c>
      <c r="N234" s="425" t="e">
        <f t="shared" si="55"/>
        <v>#DIV/0!</v>
      </c>
      <c r="O234" s="126">
        <v>176</v>
      </c>
      <c r="P234" s="126">
        <v>114</v>
      </c>
    </row>
    <row r="235" spans="1:16" ht="17.25" x14ac:dyDescent="0.25">
      <c r="A235" s="748">
        <v>39</v>
      </c>
      <c r="B235" s="799" t="s">
        <v>706</v>
      </c>
      <c r="C235" s="247">
        <v>6080</v>
      </c>
      <c r="D235" s="247">
        <v>6079</v>
      </c>
      <c r="E235" s="425">
        <f t="shared" si="52"/>
        <v>100.01645007402533</v>
      </c>
      <c r="F235" s="247">
        <v>6080</v>
      </c>
      <c r="G235" s="247">
        <v>6079</v>
      </c>
      <c r="H235" s="425">
        <f t="shared" si="53"/>
        <v>100.01645007402533</v>
      </c>
      <c r="I235" s="247">
        <v>6080</v>
      </c>
      <c r="J235" s="247">
        <v>6079</v>
      </c>
      <c r="K235" s="425">
        <f t="shared" si="54"/>
        <v>100.01645007402533</v>
      </c>
      <c r="L235" s="247">
        <v>0</v>
      </c>
      <c r="M235" s="247">
        <v>0</v>
      </c>
      <c r="N235" s="425" t="e">
        <f t="shared" si="55"/>
        <v>#DIV/0!</v>
      </c>
      <c r="O235" s="126">
        <v>10</v>
      </c>
      <c r="P235" s="126">
        <v>91</v>
      </c>
    </row>
    <row r="237" spans="1:16" ht="51.75" x14ac:dyDescent="0.25">
      <c r="A237" s="414"/>
      <c r="B237" s="552" t="s">
        <v>732</v>
      </c>
      <c r="C237" s="345">
        <f>C238+C248</f>
        <v>832806</v>
      </c>
      <c r="D237" s="345">
        <f>D238+D248</f>
        <v>797729</v>
      </c>
      <c r="E237" s="345">
        <f>C237/D237*100</f>
        <v>104.3971072883147</v>
      </c>
      <c r="F237" s="345">
        <f>F238+F248</f>
        <v>832806</v>
      </c>
      <c r="G237" s="345">
        <f>G238+G248</f>
        <v>797729</v>
      </c>
      <c r="H237" s="345">
        <f>F237/G237*100</f>
        <v>104.3971072883147</v>
      </c>
      <c r="I237" s="345">
        <f>I238+I248</f>
        <v>888288</v>
      </c>
      <c r="J237" s="345">
        <f>J238+J248</f>
        <v>845493</v>
      </c>
      <c r="K237" s="345">
        <f>I237/J237*100</f>
        <v>105.06154397493532</v>
      </c>
      <c r="L237" s="345">
        <f>L238+L248</f>
        <v>871311</v>
      </c>
      <c r="M237" s="345">
        <f>M238+M248</f>
        <v>828756</v>
      </c>
      <c r="N237" s="345">
        <f>L237/M237*100</f>
        <v>105.13480445390439</v>
      </c>
    </row>
    <row r="238" spans="1:16" ht="17.25" x14ac:dyDescent="0.25">
      <c r="A238" s="1062" t="s">
        <v>340</v>
      </c>
      <c r="B238" s="1063" t="s">
        <v>155</v>
      </c>
      <c r="C238" s="254">
        <f>SUM(C239:C246)</f>
        <v>755400</v>
      </c>
      <c r="D238" s="254">
        <f>SUM(D239:D246)</f>
        <v>648262</v>
      </c>
      <c r="E238" s="254">
        <f>C238/D238*100</f>
        <v>116.52695977860803</v>
      </c>
      <c r="F238" s="254">
        <f>SUM(F239:F246)</f>
        <v>755400</v>
      </c>
      <c r="G238" s="254">
        <f>SUM(G239:G246)</f>
        <v>648262</v>
      </c>
      <c r="H238" s="254">
        <f>F238/G238*100</f>
        <v>116.52695977860803</v>
      </c>
      <c r="I238" s="254">
        <f>SUM(I239:I246)</f>
        <v>734854</v>
      </c>
      <c r="J238" s="254">
        <f>SUM(J239:J246)</f>
        <v>736565</v>
      </c>
      <c r="K238" s="254">
        <f>I238/J238*100</f>
        <v>99.767705497817573</v>
      </c>
      <c r="L238" s="254">
        <f>SUM(L239:L246)</f>
        <v>733759</v>
      </c>
      <c r="M238" s="254">
        <f>SUM(M239:M246)</f>
        <v>736565</v>
      </c>
      <c r="N238" s="254">
        <f>L238/M238*100</f>
        <v>99.619042447034545</v>
      </c>
    </row>
    <row r="239" spans="1:16" ht="17.25" x14ac:dyDescent="0.25">
      <c r="A239" s="568">
        <v>1</v>
      </c>
      <c r="B239" s="545" t="s">
        <v>707</v>
      </c>
      <c r="C239" s="247">
        <v>166184</v>
      </c>
      <c r="D239" s="247">
        <v>23776</v>
      </c>
      <c r="E239" s="425">
        <f t="shared" ref="E239:E246" si="56">C239/D239*100</f>
        <v>698.95693135935403</v>
      </c>
      <c r="F239" s="247">
        <v>166184</v>
      </c>
      <c r="G239" s="247">
        <v>23776</v>
      </c>
      <c r="H239" s="425">
        <f t="shared" ref="H239:H246" si="57">F239/G239*100</f>
        <v>698.95693135935403</v>
      </c>
      <c r="I239" s="247">
        <v>166184</v>
      </c>
      <c r="J239" s="247">
        <v>23776</v>
      </c>
      <c r="K239" s="425">
        <f t="shared" ref="K239:K246" si="58">I239/J239*100</f>
        <v>698.95693135935403</v>
      </c>
      <c r="L239" s="247">
        <v>166184</v>
      </c>
      <c r="M239" s="247">
        <v>23776</v>
      </c>
      <c r="N239" s="425">
        <f t="shared" ref="N239:N246" si="59">L239/M239*100</f>
        <v>698.95693135935403</v>
      </c>
      <c r="O239" s="126">
        <v>120</v>
      </c>
      <c r="P239" s="126">
        <v>180</v>
      </c>
    </row>
    <row r="240" spans="1:16" ht="17.25" x14ac:dyDescent="0.25">
      <c r="A240" s="879">
        <v>2</v>
      </c>
      <c r="B240" s="799" t="s">
        <v>708</v>
      </c>
      <c r="C240" s="247">
        <v>0</v>
      </c>
      <c r="D240" s="247">
        <v>0</v>
      </c>
      <c r="E240" s="425" t="e">
        <f t="shared" si="56"/>
        <v>#DIV/0!</v>
      </c>
      <c r="F240" s="247">
        <v>0</v>
      </c>
      <c r="G240" s="247">
        <v>0</v>
      </c>
      <c r="H240" s="425" t="e">
        <f t="shared" si="57"/>
        <v>#DIV/0!</v>
      </c>
      <c r="I240" s="247">
        <v>0</v>
      </c>
      <c r="J240" s="247">
        <v>0</v>
      </c>
      <c r="K240" s="425" t="e">
        <f t="shared" si="58"/>
        <v>#DIV/0!</v>
      </c>
      <c r="L240" s="247">
        <v>0</v>
      </c>
      <c r="M240" s="247">
        <v>0</v>
      </c>
      <c r="N240" s="425" t="e">
        <f t="shared" si="59"/>
        <v>#DIV/0!</v>
      </c>
      <c r="O240" s="126">
        <v>0</v>
      </c>
      <c r="P240" s="126">
        <v>0</v>
      </c>
    </row>
    <row r="241" spans="1:16" ht="17.25" x14ac:dyDescent="0.25">
      <c r="A241" s="879">
        <v>3</v>
      </c>
      <c r="B241" s="799" t="s">
        <v>709</v>
      </c>
      <c r="C241" s="247">
        <v>226047</v>
      </c>
      <c r="D241" s="247">
        <v>320628</v>
      </c>
      <c r="E241" s="425">
        <f t="shared" si="56"/>
        <v>70.501328642539022</v>
      </c>
      <c r="F241" s="247">
        <v>226047</v>
      </c>
      <c r="G241" s="247">
        <v>320628</v>
      </c>
      <c r="H241" s="425">
        <f t="shared" si="57"/>
        <v>70.501328642539022</v>
      </c>
      <c r="I241" s="247">
        <v>226047</v>
      </c>
      <c r="J241" s="247">
        <v>320628</v>
      </c>
      <c r="K241" s="425">
        <f t="shared" si="58"/>
        <v>70.501328642539022</v>
      </c>
      <c r="L241" s="247">
        <v>226047</v>
      </c>
      <c r="M241" s="247">
        <v>320628</v>
      </c>
      <c r="N241" s="425">
        <f t="shared" si="59"/>
        <v>70.501328642539022</v>
      </c>
      <c r="O241" s="126">
        <v>109</v>
      </c>
      <c r="P241" s="126">
        <v>159</v>
      </c>
    </row>
    <row r="242" spans="1:16" ht="17.25" x14ac:dyDescent="0.25">
      <c r="A242" s="879">
        <v>4</v>
      </c>
      <c r="B242" s="799" t="s">
        <v>710</v>
      </c>
      <c r="C242" s="247">
        <v>87176</v>
      </c>
      <c r="D242" s="247">
        <v>33217</v>
      </c>
      <c r="E242" s="425">
        <f t="shared" si="56"/>
        <v>262.44392931330344</v>
      </c>
      <c r="F242" s="247">
        <v>87176</v>
      </c>
      <c r="G242" s="247">
        <v>33217</v>
      </c>
      <c r="H242" s="425">
        <f t="shared" si="57"/>
        <v>262.44392931330344</v>
      </c>
      <c r="I242" s="247">
        <v>100031</v>
      </c>
      <c r="J242" s="247">
        <v>111022</v>
      </c>
      <c r="K242" s="425">
        <f t="shared" si="58"/>
        <v>90.100160328583527</v>
      </c>
      <c r="L242" s="247">
        <v>100031</v>
      </c>
      <c r="M242" s="247">
        <v>111022</v>
      </c>
      <c r="N242" s="425">
        <f t="shared" si="59"/>
        <v>90.100160328583527</v>
      </c>
      <c r="O242" s="126">
        <v>50</v>
      </c>
      <c r="P242" s="126">
        <v>97</v>
      </c>
    </row>
    <row r="243" spans="1:16" ht="17.25" x14ac:dyDescent="0.25">
      <c r="A243" s="568">
        <v>5</v>
      </c>
      <c r="B243" s="545" t="s">
        <v>711</v>
      </c>
      <c r="C243" s="247">
        <v>244103</v>
      </c>
      <c r="D243" s="247">
        <v>270641</v>
      </c>
      <c r="E243" s="425">
        <f t="shared" si="56"/>
        <v>90.194390354750382</v>
      </c>
      <c r="F243" s="247">
        <v>244103</v>
      </c>
      <c r="G243" s="247">
        <v>270641</v>
      </c>
      <c r="H243" s="425">
        <f>F243/G243*100</f>
        <v>90.194390354750382</v>
      </c>
      <c r="I243" s="247">
        <v>241497</v>
      </c>
      <c r="J243" s="247">
        <v>281139</v>
      </c>
      <c r="K243" s="425">
        <f>I243/J243*100</f>
        <v>85.899501669992432</v>
      </c>
      <c r="L243" s="247">
        <v>241497</v>
      </c>
      <c r="M243" s="247">
        <v>281139</v>
      </c>
      <c r="N243" s="425">
        <f t="shared" si="59"/>
        <v>85.899501669992432</v>
      </c>
      <c r="O243" s="126">
        <v>63</v>
      </c>
      <c r="P243" s="126">
        <v>115</v>
      </c>
    </row>
    <row r="244" spans="1:16" ht="17.25" x14ac:dyDescent="0.25">
      <c r="A244" s="568">
        <v>6</v>
      </c>
      <c r="B244" s="545" t="s">
        <v>712</v>
      </c>
      <c r="C244" s="247">
        <v>0</v>
      </c>
      <c r="D244" s="247">
        <v>0</v>
      </c>
      <c r="E244" s="425">
        <v>0</v>
      </c>
      <c r="F244" s="247">
        <v>0</v>
      </c>
      <c r="G244" s="247">
        <v>0</v>
      </c>
      <c r="H244" s="425" t="e">
        <f t="shared" si="57"/>
        <v>#DIV/0!</v>
      </c>
      <c r="I244" s="247">
        <v>0</v>
      </c>
      <c r="J244" s="247">
        <v>0</v>
      </c>
      <c r="K244" s="425" t="e">
        <f t="shared" si="58"/>
        <v>#DIV/0!</v>
      </c>
      <c r="L244" s="247">
        <v>0</v>
      </c>
      <c r="M244" s="247">
        <v>0</v>
      </c>
      <c r="N244" s="425" t="e">
        <f t="shared" si="59"/>
        <v>#DIV/0!</v>
      </c>
      <c r="O244" s="126">
        <v>3</v>
      </c>
      <c r="P244" s="126">
        <v>143</v>
      </c>
    </row>
    <row r="245" spans="1:16" ht="17.25" x14ac:dyDescent="0.25">
      <c r="A245" s="879">
        <v>7</v>
      </c>
      <c r="B245" s="799" t="s">
        <v>799</v>
      </c>
      <c r="C245" s="247">
        <v>31890</v>
      </c>
      <c r="D245" s="247">
        <v>0</v>
      </c>
      <c r="E245" s="425" t="e">
        <f t="shared" si="56"/>
        <v>#DIV/0!</v>
      </c>
      <c r="F245" s="247">
        <v>31890</v>
      </c>
      <c r="G245" s="247">
        <v>0</v>
      </c>
      <c r="H245" s="425" t="e">
        <f t="shared" si="57"/>
        <v>#DIV/0!</v>
      </c>
      <c r="I245" s="247">
        <v>1095</v>
      </c>
      <c r="J245" s="247">
        <v>0</v>
      </c>
      <c r="K245" s="425" t="e">
        <f t="shared" si="58"/>
        <v>#DIV/0!</v>
      </c>
      <c r="L245" s="247">
        <v>0</v>
      </c>
      <c r="M245" s="247">
        <v>0</v>
      </c>
      <c r="N245" s="425" t="e">
        <f t="shared" si="59"/>
        <v>#DIV/0!</v>
      </c>
      <c r="O245" s="126">
        <v>4</v>
      </c>
    </row>
    <row r="246" spans="1:16" ht="17.25" x14ac:dyDescent="0.25">
      <c r="A246" s="879">
        <v>8</v>
      </c>
      <c r="B246" s="799" t="s">
        <v>713</v>
      </c>
      <c r="C246" s="247">
        <v>0</v>
      </c>
      <c r="D246" s="247">
        <v>0</v>
      </c>
      <c r="E246" s="425" t="e">
        <f t="shared" si="56"/>
        <v>#DIV/0!</v>
      </c>
      <c r="F246" s="247">
        <v>0</v>
      </c>
      <c r="G246" s="247">
        <v>0</v>
      </c>
      <c r="H246" s="425" t="e">
        <f t="shared" si="57"/>
        <v>#DIV/0!</v>
      </c>
      <c r="I246" s="247">
        <v>0</v>
      </c>
      <c r="J246" s="247">
        <v>0</v>
      </c>
      <c r="K246" s="425" t="e">
        <f t="shared" si="58"/>
        <v>#DIV/0!</v>
      </c>
      <c r="L246" s="247">
        <v>0</v>
      </c>
      <c r="M246" s="247">
        <v>0</v>
      </c>
      <c r="N246" s="425" t="e">
        <f t="shared" si="59"/>
        <v>#DIV/0!</v>
      </c>
    </row>
    <row r="248" spans="1:16" ht="17.25" x14ac:dyDescent="0.25">
      <c r="A248" s="1062" t="s">
        <v>541</v>
      </c>
      <c r="B248" s="1063" t="s">
        <v>155</v>
      </c>
      <c r="C248" s="254">
        <f>SUM(C249:C253)</f>
        <v>77406</v>
      </c>
      <c r="D248" s="254">
        <f>SUM(D249:D253)</f>
        <v>149467</v>
      </c>
      <c r="E248" s="329">
        <f>C248/D248*100</f>
        <v>51.788020098081859</v>
      </c>
      <c r="F248" s="254">
        <f>SUM(F249:F253)</f>
        <v>77406</v>
      </c>
      <c r="G248" s="254">
        <f>SUM(G249:G253)</f>
        <v>149467</v>
      </c>
      <c r="H248" s="329">
        <f>F248/G248*100</f>
        <v>51.788020098081859</v>
      </c>
      <c r="I248" s="254">
        <f>SUM(I249:I253)</f>
        <v>153434</v>
      </c>
      <c r="J248" s="254">
        <f>SUM(J249:J253)</f>
        <v>108928</v>
      </c>
      <c r="K248" s="329">
        <f>I248/J248*100</f>
        <v>140.85818155111633</v>
      </c>
      <c r="L248" s="254">
        <f>SUM(L249:L253)</f>
        <v>137552</v>
      </c>
      <c r="M248" s="254">
        <f>SUM(M249:M253)</f>
        <v>92191</v>
      </c>
      <c r="N248" s="329">
        <f>L248/M248*100</f>
        <v>149.20328448547039</v>
      </c>
    </row>
    <row r="249" spans="1:16" ht="17.25" x14ac:dyDescent="0.25">
      <c r="A249" s="581">
        <v>1</v>
      </c>
      <c r="B249" s="545" t="s">
        <v>714</v>
      </c>
      <c r="C249" s="247">
        <v>52070</v>
      </c>
      <c r="D249" s="247">
        <v>129390</v>
      </c>
      <c r="E249" s="425">
        <f t="shared" ref="E249:E253" si="60">C249/D249*100</f>
        <v>40.242677177525309</v>
      </c>
      <c r="F249" s="247">
        <v>52070</v>
      </c>
      <c r="G249" s="247">
        <v>129390</v>
      </c>
      <c r="H249" s="425">
        <f t="shared" ref="H249:H253" si="61">F249/G249*100</f>
        <v>40.242677177525309</v>
      </c>
      <c r="I249" s="247">
        <v>126307</v>
      </c>
      <c r="J249" s="247">
        <v>85666</v>
      </c>
      <c r="K249" s="425">
        <f t="shared" ref="K249:K253" si="62">I249/J249*100</f>
        <v>147.4412252235426</v>
      </c>
      <c r="L249" s="247">
        <v>112216</v>
      </c>
      <c r="M249" s="247">
        <v>72367</v>
      </c>
      <c r="N249" s="425">
        <f t="shared" ref="N249:N253" si="63">L249/M249*100</f>
        <v>155.06515400666049</v>
      </c>
      <c r="O249" s="126">
        <v>152</v>
      </c>
      <c r="P249" s="126">
        <v>159</v>
      </c>
    </row>
    <row r="250" spans="1:16" ht="17.25" x14ac:dyDescent="0.25">
      <c r="A250" s="581">
        <v>2</v>
      </c>
      <c r="B250" s="545" t="s">
        <v>715</v>
      </c>
      <c r="C250" s="247">
        <v>0</v>
      </c>
      <c r="D250" s="247">
        <v>253</v>
      </c>
      <c r="E250" s="425">
        <f t="shared" si="60"/>
        <v>0</v>
      </c>
      <c r="F250" s="247">
        <v>0</v>
      </c>
      <c r="G250" s="247">
        <v>253</v>
      </c>
      <c r="H250" s="425">
        <f t="shared" si="61"/>
        <v>0</v>
      </c>
      <c r="I250" s="247">
        <v>1791</v>
      </c>
      <c r="J250" s="247">
        <v>3438</v>
      </c>
      <c r="K250" s="425">
        <f t="shared" si="62"/>
        <v>52.09424083769634</v>
      </c>
      <c r="L250" s="247">
        <v>0</v>
      </c>
      <c r="M250" s="247">
        <v>0</v>
      </c>
      <c r="N250" s="425" t="e">
        <f t="shared" si="63"/>
        <v>#DIV/0!</v>
      </c>
      <c r="O250" s="126">
        <v>73</v>
      </c>
      <c r="P250" s="126">
        <v>132</v>
      </c>
    </row>
    <row r="251" spans="1:16" ht="17.25" x14ac:dyDescent="0.25">
      <c r="A251" s="880">
        <v>3</v>
      </c>
      <c r="B251" s="799" t="s">
        <v>716</v>
      </c>
      <c r="C251" s="247">
        <v>0</v>
      </c>
      <c r="D251" s="247">
        <v>0</v>
      </c>
      <c r="E251" s="425" t="e">
        <f t="shared" si="60"/>
        <v>#DIV/0!</v>
      </c>
      <c r="F251" s="247">
        <v>0</v>
      </c>
      <c r="G251" s="247">
        <v>0</v>
      </c>
      <c r="H251" s="425" t="e">
        <f t="shared" si="61"/>
        <v>#DIV/0!</v>
      </c>
      <c r="I251" s="247">
        <v>0</v>
      </c>
      <c r="J251" s="247">
        <v>0</v>
      </c>
      <c r="K251" s="425" t="e">
        <f t="shared" si="62"/>
        <v>#DIV/0!</v>
      </c>
      <c r="L251" s="247">
        <v>0</v>
      </c>
      <c r="M251" s="247">
        <v>0</v>
      </c>
      <c r="N251" s="425" t="e">
        <f t="shared" si="63"/>
        <v>#DIV/0!</v>
      </c>
      <c r="O251" s="126">
        <v>0</v>
      </c>
      <c r="P251" s="126">
        <v>0</v>
      </c>
    </row>
    <row r="252" spans="1:16" ht="17.25" x14ac:dyDescent="0.25">
      <c r="A252" s="581">
        <v>4</v>
      </c>
      <c r="B252" s="545" t="s">
        <v>717</v>
      </c>
      <c r="C252" s="247">
        <v>0</v>
      </c>
      <c r="D252" s="247">
        <v>0</v>
      </c>
      <c r="E252" s="425" t="e">
        <f t="shared" si="60"/>
        <v>#DIV/0!</v>
      </c>
      <c r="F252" s="247">
        <v>0</v>
      </c>
      <c r="G252" s="247">
        <v>0</v>
      </c>
      <c r="H252" s="425" t="e">
        <f t="shared" si="61"/>
        <v>#DIV/0!</v>
      </c>
      <c r="I252" s="247">
        <v>0</v>
      </c>
      <c r="J252" s="247">
        <v>0</v>
      </c>
      <c r="K252" s="425" t="e">
        <f t="shared" si="62"/>
        <v>#DIV/0!</v>
      </c>
      <c r="L252" s="247">
        <v>0</v>
      </c>
      <c r="M252" s="247">
        <v>0</v>
      </c>
      <c r="N252" s="425" t="e">
        <f t="shared" si="63"/>
        <v>#DIV/0!</v>
      </c>
      <c r="O252" s="126">
        <v>36</v>
      </c>
      <c r="P252" s="126">
        <v>125</v>
      </c>
    </row>
    <row r="253" spans="1:16" ht="17.25" x14ac:dyDescent="0.25">
      <c r="A253" s="581">
        <v>5</v>
      </c>
      <c r="B253" s="582" t="s">
        <v>718</v>
      </c>
      <c r="C253" s="594">
        <v>25336</v>
      </c>
      <c r="D253" s="594">
        <v>19824</v>
      </c>
      <c r="E253" s="425">
        <f t="shared" si="60"/>
        <v>127.80468119451169</v>
      </c>
      <c r="F253" s="594">
        <v>25336</v>
      </c>
      <c r="G253" s="594">
        <v>19824</v>
      </c>
      <c r="H253" s="425">
        <f t="shared" si="61"/>
        <v>127.80468119451169</v>
      </c>
      <c r="I253" s="594">
        <v>25336</v>
      </c>
      <c r="J253" s="594">
        <v>19824</v>
      </c>
      <c r="K253" s="425">
        <f t="shared" si="62"/>
        <v>127.80468119451169</v>
      </c>
      <c r="L253" s="247">
        <v>25336</v>
      </c>
      <c r="M253" s="247">
        <v>19824</v>
      </c>
      <c r="N253" s="425">
        <f t="shared" si="63"/>
        <v>127.80468119451169</v>
      </c>
      <c r="O253" s="126">
        <v>38</v>
      </c>
      <c r="P253" s="126">
        <v>140</v>
      </c>
    </row>
    <row r="254" spans="1:16" x14ac:dyDescent="0.25">
      <c r="O254" s="584"/>
    </row>
    <row r="255" spans="1:16" ht="34.5" x14ac:dyDescent="0.25">
      <c r="A255" s="348"/>
      <c r="B255" s="553" t="s">
        <v>733</v>
      </c>
      <c r="C255" s="254">
        <f>SUM(C256:C264)</f>
        <v>85008</v>
      </c>
      <c r="D255" s="254">
        <f>SUM(D256:D264)</f>
        <v>79662</v>
      </c>
      <c r="E255" s="452">
        <f>C255/D255*100</f>
        <v>106.71085335542668</v>
      </c>
      <c r="F255" s="254">
        <f>SUM(F256:F264)</f>
        <v>55976</v>
      </c>
      <c r="G255" s="254">
        <f>SUM(G256:G264)</f>
        <v>54640</v>
      </c>
      <c r="H255" s="452">
        <f>F255/G255*100</f>
        <v>102.44509516837481</v>
      </c>
      <c r="I255" s="254">
        <f>SUM(I256:I264)</f>
        <v>56251</v>
      </c>
      <c r="J255" s="254">
        <f>SUM(J256:J264)</f>
        <v>49596</v>
      </c>
      <c r="K255" s="452">
        <f>I255/J255*100</f>
        <v>113.41842084039035</v>
      </c>
      <c r="L255" s="254">
        <f>SUM(L256:L264)</f>
        <v>0</v>
      </c>
      <c r="M255" s="254">
        <f>SUM(M256:M264)</f>
        <v>0</v>
      </c>
      <c r="N255" s="452" t="e">
        <f>L255/M255*100</f>
        <v>#DIV/0!</v>
      </c>
    </row>
    <row r="256" spans="1:16" ht="34.5" x14ac:dyDescent="0.2">
      <c r="A256" s="7">
        <v>1</v>
      </c>
      <c r="B256" s="545" t="s">
        <v>719</v>
      </c>
      <c r="C256" s="738">
        <v>47403</v>
      </c>
      <c r="D256" s="739">
        <v>42196</v>
      </c>
      <c r="E256" s="247">
        <f>C256/D256*100</f>
        <v>112.34003223054319</v>
      </c>
      <c r="F256" s="739">
        <v>47403</v>
      </c>
      <c r="G256" s="739">
        <v>42196</v>
      </c>
      <c r="H256" s="425">
        <f t="shared" ref="H256:H264" si="64">F256/G256*100</f>
        <v>112.34003223054319</v>
      </c>
      <c r="I256" s="739">
        <v>24718</v>
      </c>
      <c r="J256" s="739">
        <v>19591</v>
      </c>
      <c r="K256" s="425">
        <f t="shared" ref="K256:K264" si="65">I256/J256*100</f>
        <v>126.17018018477873</v>
      </c>
      <c r="L256" s="874">
        <v>0</v>
      </c>
      <c r="M256" s="874">
        <v>0</v>
      </c>
      <c r="N256" s="425" t="e">
        <f t="shared" ref="N256:N264" si="66">L256/M256*100</f>
        <v>#DIV/0!</v>
      </c>
      <c r="O256" s="831">
        <v>272</v>
      </c>
      <c r="P256" s="832">
        <v>271</v>
      </c>
    </row>
    <row r="257" spans="1:16" ht="34.5" x14ac:dyDescent="0.2">
      <c r="A257" s="291">
        <v>2</v>
      </c>
      <c r="B257" s="545" t="s">
        <v>720</v>
      </c>
      <c r="C257" s="740">
        <v>656</v>
      </c>
      <c r="D257" s="740">
        <v>485</v>
      </c>
      <c r="E257" s="425">
        <f t="shared" ref="E257:E264" si="67">C257/D257*100</f>
        <v>135.25773195876289</v>
      </c>
      <c r="F257" s="740">
        <v>656</v>
      </c>
      <c r="G257" s="740">
        <v>485</v>
      </c>
      <c r="H257" s="425">
        <f t="shared" si="64"/>
        <v>135.25773195876289</v>
      </c>
      <c r="I257" s="741">
        <v>0</v>
      </c>
      <c r="J257" s="741">
        <v>0</v>
      </c>
      <c r="K257" s="425" t="e">
        <f t="shared" si="65"/>
        <v>#DIV/0!</v>
      </c>
      <c r="L257" s="745">
        <v>0</v>
      </c>
      <c r="M257" s="745">
        <v>0</v>
      </c>
      <c r="N257" s="425" t="e">
        <f t="shared" si="66"/>
        <v>#DIV/0!</v>
      </c>
      <c r="O257" s="831">
        <v>85</v>
      </c>
      <c r="P257" s="832">
        <v>113</v>
      </c>
    </row>
    <row r="258" spans="1:16" ht="34.5" x14ac:dyDescent="0.2">
      <c r="A258" s="7">
        <v>3</v>
      </c>
      <c r="B258" s="545" t="s">
        <v>721</v>
      </c>
      <c r="C258" s="742">
        <v>0</v>
      </c>
      <c r="D258" s="743">
        <v>0</v>
      </c>
      <c r="E258" s="425" t="e">
        <f t="shared" si="67"/>
        <v>#DIV/0!</v>
      </c>
      <c r="F258" s="741">
        <v>0</v>
      </c>
      <c r="G258" s="744">
        <v>0</v>
      </c>
      <c r="H258" s="425" t="e">
        <f t="shared" si="64"/>
        <v>#DIV/0!</v>
      </c>
      <c r="I258" s="740">
        <v>0</v>
      </c>
      <c r="J258" s="743">
        <v>0</v>
      </c>
      <c r="K258" s="425" t="e">
        <f t="shared" si="65"/>
        <v>#DIV/0!</v>
      </c>
      <c r="L258" s="745">
        <v>0</v>
      </c>
      <c r="M258" s="745">
        <v>0</v>
      </c>
      <c r="N258" s="425" t="e">
        <f t="shared" si="66"/>
        <v>#DIV/0!</v>
      </c>
      <c r="O258" s="831">
        <v>4</v>
      </c>
      <c r="P258" s="832">
        <v>52.5</v>
      </c>
    </row>
    <row r="259" spans="1:16" ht="17.25" x14ac:dyDescent="0.2">
      <c r="A259" s="291">
        <v>4</v>
      </c>
      <c r="B259" s="545" t="s">
        <v>722</v>
      </c>
      <c r="C259" s="744">
        <v>29991</v>
      </c>
      <c r="D259" s="744">
        <v>28736</v>
      </c>
      <c r="E259" s="425">
        <f t="shared" si="67"/>
        <v>104.36734409799556</v>
      </c>
      <c r="F259" s="744">
        <v>959</v>
      </c>
      <c r="G259" s="744">
        <v>2604</v>
      </c>
      <c r="H259" s="425">
        <f t="shared" si="64"/>
        <v>36.827956989247312</v>
      </c>
      <c r="I259" s="744">
        <v>29991</v>
      </c>
      <c r="J259" s="744">
        <v>28736</v>
      </c>
      <c r="K259" s="425">
        <f t="shared" si="65"/>
        <v>104.36734409799556</v>
      </c>
      <c r="L259" s="745">
        <v>0</v>
      </c>
      <c r="M259" s="745">
        <v>0</v>
      </c>
      <c r="N259" s="425" t="e">
        <f t="shared" si="66"/>
        <v>#DIV/0!</v>
      </c>
      <c r="O259" s="831">
        <v>13</v>
      </c>
      <c r="P259" s="875">
        <v>92</v>
      </c>
    </row>
    <row r="260" spans="1:16" ht="17.25" x14ac:dyDescent="0.2">
      <c r="A260" s="7">
        <v>5</v>
      </c>
      <c r="B260" s="545" t="s">
        <v>723</v>
      </c>
      <c r="C260" s="744">
        <v>310</v>
      </c>
      <c r="D260" s="744">
        <v>945</v>
      </c>
      <c r="E260" s="425">
        <f t="shared" si="67"/>
        <v>32.804232804232804</v>
      </c>
      <c r="F260" s="744">
        <v>310</v>
      </c>
      <c r="G260" s="744">
        <v>945</v>
      </c>
      <c r="H260" s="425">
        <f t="shared" si="64"/>
        <v>32.804232804232804</v>
      </c>
      <c r="I260" s="745">
        <v>0</v>
      </c>
      <c r="J260" s="745">
        <v>0</v>
      </c>
      <c r="K260" s="425" t="e">
        <f t="shared" si="65"/>
        <v>#DIV/0!</v>
      </c>
      <c r="L260" s="745">
        <v>0</v>
      </c>
      <c r="M260" s="745">
        <v>0</v>
      </c>
      <c r="N260" s="425" t="e">
        <f t="shared" si="66"/>
        <v>#DIV/0!</v>
      </c>
      <c r="O260" s="831">
        <v>10</v>
      </c>
      <c r="P260" s="832">
        <v>78</v>
      </c>
    </row>
    <row r="261" spans="1:16" ht="17.25" x14ac:dyDescent="0.2">
      <c r="A261" s="291">
        <v>6</v>
      </c>
      <c r="B261" s="545" t="s">
        <v>724</v>
      </c>
      <c r="C261" s="744">
        <v>5400</v>
      </c>
      <c r="D261" s="744">
        <v>6200</v>
      </c>
      <c r="E261" s="425">
        <f t="shared" si="67"/>
        <v>87.096774193548384</v>
      </c>
      <c r="F261" s="744">
        <v>5400</v>
      </c>
      <c r="G261" s="744">
        <v>6200</v>
      </c>
      <c r="H261" s="425">
        <f t="shared" si="64"/>
        <v>87.096774193548384</v>
      </c>
      <c r="I261" s="744">
        <v>0</v>
      </c>
      <c r="J261" s="744">
        <v>0</v>
      </c>
      <c r="K261" s="425" t="e">
        <f t="shared" si="65"/>
        <v>#DIV/0!</v>
      </c>
      <c r="L261" s="745">
        <v>0</v>
      </c>
      <c r="M261" s="745">
        <v>0</v>
      </c>
      <c r="N261" s="425" t="e">
        <f t="shared" si="66"/>
        <v>#DIV/0!</v>
      </c>
      <c r="O261" s="831">
        <v>19</v>
      </c>
      <c r="P261" s="832">
        <v>95.7</v>
      </c>
    </row>
    <row r="262" spans="1:16" s="422" customFormat="1" ht="34.5" x14ac:dyDescent="0.3">
      <c r="A262" s="277">
        <v>7</v>
      </c>
      <c r="B262" s="728" t="s">
        <v>725</v>
      </c>
      <c r="C262" s="744">
        <v>0</v>
      </c>
      <c r="D262" s="744">
        <v>0</v>
      </c>
      <c r="E262" s="425" t="e">
        <f t="shared" si="67"/>
        <v>#DIV/0!</v>
      </c>
      <c r="F262" s="744">
        <v>0</v>
      </c>
      <c r="G262" s="744">
        <v>0</v>
      </c>
      <c r="H262" s="425" t="e">
        <f t="shared" si="64"/>
        <v>#DIV/0!</v>
      </c>
      <c r="I262" s="744">
        <v>0</v>
      </c>
      <c r="J262" s="744">
        <v>0</v>
      </c>
      <c r="K262" s="425" t="e">
        <f t="shared" si="65"/>
        <v>#DIV/0!</v>
      </c>
      <c r="L262" s="745">
        <v>0</v>
      </c>
      <c r="M262" s="745">
        <v>0</v>
      </c>
      <c r="N262" s="425" t="e">
        <f t="shared" si="66"/>
        <v>#DIV/0!</v>
      </c>
      <c r="O262" s="831">
        <v>8</v>
      </c>
      <c r="P262" s="832">
        <v>66.2</v>
      </c>
    </row>
    <row r="263" spans="1:16" ht="17.25" x14ac:dyDescent="0.2">
      <c r="A263" s="291">
        <v>8</v>
      </c>
      <c r="B263" s="545" t="s">
        <v>726</v>
      </c>
      <c r="C263" s="744">
        <v>0</v>
      </c>
      <c r="D263" s="744">
        <v>0</v>
      </c>
      <c r="E263" s="425" t="e">
        <f t="shared" si="67"/>
        <v>#DIV/0!</v>
      </c>
      <c r="F263" s="744">
        <v>0</v>
      </c>
      <c r="G263" s="744">
        <v>1110</v>
      </c>
      <c r="H263" s="425">
        <f t="shared" si="64"/>
        <v>0</v>
      </c>
      <c r="I263" s="744">
        <v>294</v>
      </c>
      <c r="J263" s="744">
        <v>169</v>
      </c>
      <c r="K263" s="425">
        <f t="shared" si="65"/>
        <v>173.96449704142012</v>
      </c>
      <c r="L263" s="745">
        <v>0</v>
      </c>
      <c r="M263" s="745">
        <v>0</v>
      </c>
      <c r="N263" s="425" t="e">
        <f t="shared" si="66"/>
        <v>#DIV/0!</v>
      </c>
      <c r="O263" s="831">
        <v>21</v>
      </c>
      <c r="P263" s="832">
        <v>69.900000000000006</v>
      </c>
    </row>
    <row r="264" spans="1:16" ht="17.25" x14ac:dyDescent="0.2">
      <c r="A264" s="7">
        <v>9</v>
      </c>
      <c r="B264" s="545" t="s">
        <v>727</v>
      </c>
      <c r="C264" s="744">
        <v>1248</v>
      </c>
      <c r="D264" s="744">
        <v>1100</v>
      </c>
      <c r="E264" s="425">
        <f t="shared" si="67"/>
        <v>113.45454545454545</v>
      </c>
      <c r="F264" s="744">
        <v>1248</v>
      </c>
      <c r="G264" s="744">
        <v>1100</v>
      </c>
      <c r="H264" s="425">
        <f t="shared" si="64"/>
        <v>113.45454545454545</v>
      </c>
      <c r="I264" s="744">
        <v>1248</v>
      </c>
      <c r="J264" s="744">
        <v>1100</v>
      </c>
      <c r="K264" s="425">
        <f t="shared" si="65"/>
        <v>113.45454545454545</v>
      </c>
      <c r="L264" s="745">
        <v>0</v>
      </c>
      <c r="M264" s="745">
        <v>0</v>
      </c>
      <c r="N264" s="425" t="e">
        <f t="shared" si="66"/>
        <v>#DIV/0!</v>
      </c>
      <c r="O264" s="831">
        <v>8</v>
      </c>
      <c r="P264" s="832">
        <v>84</v>
      </c>
    </row>
    <row r="265" spans="1:16" x14ac:dyDescent="0.25">
      <c r="O265" s="127"/>
      <c r="P265" s="127"/>
    </row>
    <row r="266" spans="1:16" s="339" customFormat="1" ht="16.5" x14ac:dyDescent="0.25">
      <c r="A266" s="339">
        <v>2</v>
      </c>
      <c r="B266" s="418" t="s">
        <v>345</v>
      </c>
      <c r="C266" s="366"/>
      <c r="O266" s="192"/>
      <c r="P266" s="192"/>
    </row>
    <row r="267" spans="1:16" ht="17.25" x14ac:dyDescent="0.25">
      <c r="A267" s="1059" t="s">
        <v>734</v>
      </c>
      <c r="B267" s="1059" t="s">
        <v>155</v>
      </c>
      <c r="C267" s="826">
        <f>SUM(C268:C284)</f>
        <v>20653583.158999998</v>
      </c>
      <c r="D267" s="826">
        <f>SUM(D268:D284)</f>
        <v>25251722.425000001</v>
      </c>
      <c r="E267" s="827">
        <f t="shared" ref="E267:E284" si="68">C267/D267*100</f>
        <v>81.79078959996923</v>
      </c>
      <c r="F267" s="826">
        <f>SUM(F268:F284)</f>
        <v>20653583.158999998</v>
      </c>
      <c r="G267" s="826">
        <f>SUM(G268:G284)</f>
        <v>25251722.425000001</v>
      </c>
      <c r="H267" s="827">
        <f t="shared" ref="H267:H284" si="69">F267/G267*100</f>
        <v>81.79078959996923</v>
      </c>
      <c r="I267" s="826">
        <f>SUM(I268:I284)</f>
        <v>20653583.158999998</v>
      </c>
      <c r="J267" s="826">
        <f>SUM(J268:J284)</f>
        <v>25251722.425000001</v>
      </c>
      <c r="K267" s="827">
        <f t="shared" ref="K267:K284" si="70">I267/J267*100</f>
        <v>81.79078959996923</v>
      </c>
      <c r="L267" s="826">
        <f>SUM(L268:L284)</f>
        <v>758022.30500000005</v>
      </c>
      <c r="M267" s="826">
        <f>SUM(M268:M284)</f>
        <v>2445089.5269999998</v>
      </c>
      <c r="N267" s="57">
        <f t="shared" ref="N267:N284" si="71">L267/M267*100</f>
        <v>31.001822085838093</v>
      </c>
      <c r="O267" s="127"/>
      <c r="P267" s="127"/>
    </row>
    <row r="268" spans="1:16" ht="17.25" x14ac:dyDescent="0.25">
      <c r="A268" s="748">
        <v>1</v>
      </c>
      <c r="B268" s="800" t="s">
        <v>306</v>
      </c>
      <c r="C268" s="744">
        <v>2842016</v>
      </c>
      <c r="D268" s="744">
        <v>1504197.318</v>
      </c>
      <c r="E268" s="744">
        <f t="shared" si="68"/>
        <v>188.93904183919042</v>
      </c>
      <c r="F268" s="744">
        <v>2842016</v>
      </c>
      <c r="G268" s="744">
        <v>1504197.318</v>
      </c>
      <c r="H268" s="744">
        <f t="shared" si="69"/>
        <v>188.93904183919042</v>
      </c>
      <c r="I268" s="744">
        <f>C268</f>
        <v>2842016</v>
      </c>
      <c r="J268" s="744">
        <f>D268</f>
        <v>1504197.318</v>
      </c>
      <c r="K268" s="744">
        <f t="shared" si="70"/>
        <v>188.93904183919042</v>
      </c>
      <c r="L268" s="744">
        <v>0</v>
      </c>
      <c r="M268" s="744">
        <v>0</v>
      </c>
      <c r="N268" s="744" t="e">
        <f t="shared" si="71"/>
        <v>#DIV/0!</v>
      </c>
      <c r="O268" s="833">
        <v>1772</v>
      </c>
      <c r="P268" s="834">
        <v>307.8</v>
      </c>
    </row>
    <row r="269" spans="1:16" ht="17.25" x14ac:dyDescent="0.25">
      <c r="A269" s="748">
        <v>2</v>
      </c>
      <c r="B269" s="800" t="s">
        <v>307</v>
      </c>
      <c r="C269" s="744">
        <v>3801753.29</v>
      </c>
      <c r="D269" s="744">
        <v>2614005.9010000001</v>
      </c>
      <c r="E269" s="744">
        <f t="shared" si="68"/>
        <v>145.43782355447712</v>
      </c>
      <c r="F269" s="744">
        <v>3801753.29</v>
      </c>
      <c r="G269" s="744">
        <v>2614005.9010000001</v>
      </c>
      <c r="H269" s="744">
        <f t="shared" si="69"/>
        <v>145.43782355447712</v>
      </c>
      <c r="I269" s="744">
        <f t="shared" ref="I269:J274" si="72">C269</f>
        <v>3801753.29</v>
      </c>
      <c r="J269" s="744">
        <f t="shared" si="72"/>
        <v>2614005.9010000001</v>
      </c>
      <c r="K269" s="744">
        <f t="shared" si="70"/>
        <v>145.43782355447712</v>
      </c>
      <c r="L269" s="744">
        <v>714649.30500000005</v>
      </c>
      <c r="M269" s="744">
        <v>67105.527000000002</v>
      </c>
      <c r="N269" s="744">
        <f t="shared" si="71"/>
        <v>1064.9634045791788</v>
      </c>
      <c r="O269" s="835">
        <v>447</v>
      </c>
      <c r="P269" s="836">
        <v>190</v>
      </c>
    </row>
    <row r="270" spans="1:16" ht="17.25" x14ac:dyDescent="0.25">
      <c r="A270" s="748">
        <v>3</v>
      </c>
      <c r="B270" s="800" t="s">
        <v>318</v>
      </c>
      <c r="C270" s="744">
        <v>2681049.9</v>
      </c>
      <c r="D270" s="744">
        <v>6059904.0240000002</v>
      </c>
      <c r="E270" s="744">
        <f>C270/D270*100</f>
        <v>44.242448220001705</v>
      </c>
      <c r="F270" s="744">
        <v>2681049.9</v>
      </c>
      <c r="G270" s="744">
        <v>6059904.0240000002</v>
      </c>
      <c r="H270" s="744">
        <f>F270/G270*100</f>
        <v>44.242448220001705</v>
      </c>
      <c r="I270" s="744">
        <f t="shared" si="72"/>
        <v>2681049.9</v>
      </c>
      <c r="J270" s="744">
        <f t="shared" si="72"/>
        <v>6059904.0240000002</v>
      </c>
      <c r="K270" s="744">
        <f>I270/J270*100</f>
        <v>44.242448220001705</v>
      </c>
      <c r="L270" s="744">
        <v>0</v>
      </c>
      <c r="M270" s="744">
        <v>0</v>
      </c>
      <c r="N270" s="744" t="e">
        <f t="shared" si="71"/>
        <v>#DIV/0!</v>
      </c>
      <c r="O270" s="833">
        <v>678</v>
      </c>
      <c r="P270" s="834">
        <v>146.9</v>
      </c>
    </row>
    <row r="271" spans="1:16" ht="17.25" x14ac:dyDescent="0.25">
      <c r="A271" s="748">
        <v>4</v>
      </c>
      <c r="B271" s="800" t="s">
        <v>308</v>
      </c>
      <c r="C271" s="744">
        <v>526591.01399999997</v>
      </c>
      <c r="D271" s="744">
        <v>559575.12800000003</v>
      </c>
      <c r="E271" s="744">
        <f t="shared" si="68"/>
        <v>94.105507491390853</v>
      </c>
      <c r="F271" s="744">
        <v>526591.01399999997</v>
      </c>
      <c r="G271" s="744">
        <v>559575.12800000003</v>
      </c>
      <c r="H271" s="744">
        <f t="shared" si="69"/>
        <v>94.105507491390853</v>
      </c>
      <c r="I271" s="744">
        <f t="shared" si="72"/>
        <v>526591.01399999997</v>
      </c>
      <c r="J271" s="744">
        <f t="shared" si="72"/>
        <v>559575.12800000003</v>
      </c>
      <c r="K271" s="744">
        <f t="shared" si="70"/>
        <v>94.105507491390853</v>
      </c>
      <c r="L271" s="744">
        <v>0</v>
      </c>
      <c r="M271" s="744">
        <v>0</v>
      </c>
      <c r="N271" s="744" t="e">
        <f t="shared" si="71"/>
        <v>#DIV/0!</v>
      </c>
      <c r="O271" s="833">
        <v>214</v>
      </c>
      <c r="P271" s="834">
        <v>206</v>
      </c>
    </row>
    <row r="272" spans="1:16" ht="34.5" x14ac:dyDescent="0.25">
      <c r="A272" s="748">
        <v>5</v>
      </c>
      <c r="B272" s="799" t="s">
        <v>317</v>
      </c>
      <c r="C272" s="744">
        <v>263219</v>
      </c>
      <c r="D272" s="744">
        <v>222252.96799999999</v>
      </c>
      <c r="E272" s="744">
        <f>C272/D272*100</f>
        <v>118.43216419949</v>
      </c>
      <c r="F272" s="744">
        <v>263219</v>
      </c>
      <c r="G272" s="744">
        <v>222252.96799999999</v>
      </c>
      <c r="H272" s="744">
        <f>F272/G272*100</f>
        <v>118.43216419949</v>
      </c>
      <c r="I272" s="744">
        <f t="shared" si="72"/>
        <v>263219</v>
      </c>
      <c r="J272" s="744">
        <f t="shared" si="72"/>
        <v>222252.96799999999</v>
      </c>
      <c r="K272" s="744">
        <f>I272/J272*100</f>
        <v>118.43216419949</v>
      </c>
      <c r="L272" s="744">
        <v>0</v>
      </c>
      <c r="M272" s="744">
        <v>0</v>
      </c>
      <c r="N272" s="744" t="e">
        <f t="shared" si="71"/>
        <v>#DIV/0!</v>
      </c>
      <c r="O272" s="833">
        <v>457</v>
      </c>
      <c r="P272" s="834">
        <v>207.9</v>
      </c>
    </row>
    <row r="273" spans="1:16" ht="39" customHeight="1" x14ac:dyDescent="0.25">
      <c r="A273" s="748">
        <v>6</v>
      </c>
      <c r="B273" s="799" t="s">
        <v>571</v>
      </c>
      <c r="C273" s="744">
        <v>43373.254000000001</v>
      </c>
      <c r="D273" s="744">
        <v>5291774.8669999996</v>
      </c>
      <c r="E273" s="744">
        <f>C273/D273*100</f>
        <v>0.81963528476012171</v>
      </c>
      <c r="F273" s="744">
        <v>43373.254000000001</v>
      </c>
      <c r="G273" s="744">
        <v>5291774.8669999996</v>
      </c>
      <c r="H273" s="744">
        <f>F273/G273*100</f>
        <v>0.81963528476012171</v>
      </c>
      <c r="I273" s="744">
        <f t="shared" si="72"/>
        <v>43373.254000000001</v>
      </c>
      <c r="J273" s="744">
        <f t="shared" si="72"/>
        <v>5291774.8669999996</v>
      </c>
      <c r="K273" s="744">
        <f>I273/J273*100</f>
        <v>0.81963528476012171</v>
      </c>
      <c r="L273" s="744">
        <v>43373</v>
      </c>
      <c r="M273" s="744">
        <v>2377984</v>
      </c>
      <c r="N273" s="744">
        <f t="shared" si="71"/>
        <v>1.8239399424049951</v>
      </c>
      <c r="O273" s="835">
        <v>375</v>
      </c>
      <c r="P273" s="836">
        <v>265.10000000000002</v>
      </c>
    </row>
    <row r="274" spans="1:16" ht="17.25" x14ac:dyDescent="0.25">
      <c r="A274" s="748">
        <v>7</v>
      </c>
      <c r="B274" s="800" t="s">
        <v>570</v>
      </c>
      <c r="C274" s="744">
        <v>849626.80099999998</v>
      </c>
      <c r="D274" s="744">
        <v>787754.51899999997</v>
      </c>
      <c r="E274" s="744">
        <f>C274/D274*100</f>
        <v>107.85425922767699</v>
      </c>
      <c r="F274" s="744">
        <v>849626.80099999998</v>
      </c>
      <c r="G274" s="744">
        <v>787754.51899999997</v>
      </c>
      <c r="H274" s="744">
        <f>F274/G274*100</f>
        <v>107.85425922767699</v>
      </c>
      <c r="I274" s="744">
        <f t="shared" si="72"/>
        <v>849626.80099999998</v>
      </c>
      <c r="J274" s="744">
        <f t="shared" si="72"/>
        <v>787754.51899999997</v>
      </c>
      <c r="K274" s="744">
        <f>I274/J274*100</f>
        <v>107.85425922767699</v>
      </c>
      <c r="L274" s="744">
        <v>0</v>
      </c>
      <c r="M274" s="744">
        <v>0</v>
      </c>
      <c r="N274" s="744" t="e">
        <f t="shared" si="71"/>
        <v>#DIV/0!</v>
      </c>
      <c r="O274" s="835">
        <v>1490</v>
      </c>
      <c r="P274" s="836">
        <v>112</v>
      </c>
    </row>
    <row r="275" spans="1:16" ht="17.25" x14ac:dyDescent="0.25">
      <c r="A275" s="748">
        <v>8</v>
      </c>
      <c r="B275" s="887" t="s">
        <v>309</v>
      </c>
      <c r="C275" s="760">
        <v>782858</v>
      </c>
      <c r="D275" s="886">
        <v>790045</v>
      </c>
      <c r="E275" s="744">
        <f t="shared" si="68"/>
        <v>99.090304982627572</v>
      </c>
      <c r="F275" s="760">
        <v>782858</v>
      </c>
      <c r="G275" s="886">
        <v>790045</v>
      </c>
      <c r="H275" s="744">
        <f t="shared" si="69"/>
        <v>99.090304982627572</v>
      </c>
      <c r="I275" s="760">
        <v>782858</v>
      </c>
      <c r="J275" s="886">
        <v>790045</v>
      </c>
      <c r="K275" s="744">
        <f t="shared" si="70"/>
        <v>99.090304982627572</v>
      </c>
      <c r="L275" s="744">
        <v>0</v>
      </c>
      <c r="M275" s="744">
        <v>0</v>
      </c>
      <c r="N275" s="744" t="e">
        <f t="shared" si="71"/>
        <v>#DIV/0!</v>
      </c>
      <c r="O275" s="833">
        <v>791</v>
      </c>
      <c r="P275" s="834">
        <v>189</v>
      </c>
    </row>
    <row r="276" spans="1:16" ht="34.5" x14ac:dyDescent="0.25">
      <c r="A276" s="748">
        <v>9</v>
      </c>
      <c r="B276" s="888" t="s">
        <v>316</v>
      </c>
      <c r="C276" s="760">
        <v>4019259</v>
      </c>
      <c r="D276" s="760">
        <v>86069</v>
      </c>
      <c r="E276" s="744">
        <f>C276/D276*100</f>
        <v>4669.810268505501</v>
      </c>
      <c r="F276" s="760">
        <v>4019259</v>
      </c>
      <c r="G276" s="760">
        <v>86069</v>
      </c>
      <c r="H276" s="744">
        <f>F276/G276*100</f>
        <v>4669.810268505501</v>
      </c>
      <c r="I276" s="889">
        <f t="shared" ref="I276:J279" si="73">C276</f>
        <v>4019259</v>
      </c>
      <c r="J276" s="760">
        <v>86069</v>
      </c>
      <c r="K276" s="744">
        <f>I276/J276*100</f>
        <v>4669.810268505501</v>
      </c>
      <c r="L276" s="744">
        <v>0</v>
      </c>
      <c r="M276" s="744">
        <v>0</v>
      </c>
      <c r="N276" s="744" t="e">
        <f t="shared" si="71"/>
        <v>#DIV/0!</v>
      </c>
      <c r="O276" s="833">
        <v>7823</v>
      </c>
      <c r="P276" s="834">
        <v>210.5</v>
      </c>
    </row>
    <row r="277" spans="1:16" ht="34.5" x14ac:dyDescent="0.25">
      <c r="A277" s="748">
        <v>10</v>
      </c>
      <c r="B277" s="888" t="s">
        <v>572</v>
      </c>
      <c r="C277" s="760">
        <v>4719204</v>
      </c>
      <c r="D277" s="760">
        <v>7203667</v>
      </c>
      <c r="E277" s="744">
        <f>C277/D277*100</f>
        <v>65.511134815087928</v>
      </c>
      <c r="F277" s="760">
        <v>4719204</v>
      </c>
      <c r="G277" s="760">
        <v>7203667</v>
      </c>
      <c r="H277" s="744">
        <f>F277/G277*100</f>
        <v>65.511134815087928</v>
      </c>
      <c r="I277" s="889">
        <f t="shared" si="73"/>
        <v>4719204</v>
      </c>
      <c r="J277" s="890">
        <f t="shared" si="73"/>
        <v>7203667</v>
      </c>
      <c r="K277" s="744">
        <f>I277/J277*100</f>
        <v>65.511134815087928</v>
      </c>
      <c r="L277" s="744">
        <v>0</v>
      </c>
      <c r="M277" s="744">
        <v>0</v>
      </c>
      <c r="N277" s="744" t="e">
        <f t="shared" si="71"/>
        <v>#DIV/0!</v>
      </c>
      <c r="O277" s="835">
        <v>5092</v>
      </c>
      <c r="P277" s="836">
        <v>238</v>
      </c>
    </row>
    <row r="278" spans="1:16" ht="34.5" x14ac:dyDescent="0.25">
      <c r="A278" s="748">
        <v>11</v>
      </c>
      <c r="B278" s="888" t="s">
        <v>787</v>
      </c>
      <c r="C278" s="760">
        <v>14619</v>
      </c>
      <c r="D278" s="760">
        <v>15460</v>
      </c>
      <c r="E278" s="744">
        <f>C278/D278*100</f>
        <v>94.560155239327287</v>
      </c>
      <c r="F278" s="760">
        <v>14619</v>
      </c>
      <c r="G278" s="760">
        <v>15460</v>
      </c>
      <c r="H278" s="744">
        <f>F278/G278*100</f>
        <v>94.560155239327287</v>
      </c>
      <c r="I278" s="889">
        <f t="shared" si="73"/>
        <v>14619</v>
      </c>
      <c r="J278" s="889">
        <f t="shared" si="73"/>
        <v>15460</v>
      </c>
      <c r="K278" s="744">
        <f>I278/J278*100</f>
        <v>94.560155239327287</v>
      </c>
      <c r="L278" s="744">
        <v>0</v>
      </c>
      <c r="M278" s="744">
        <v>0</v>
      </c>
      <c r="N278" s="744" t="e">
        <f t="shared" si="71"/>
        <v>#DIV/0!</v>
      </c>
      <c r="O278" s="833">
        <v>37</v>
      </c>
      <c r="P278" s="834">
        <v>193</v>
      </c>
    </row>
    <row r="279" spans="1:16" ht="51.75" x14ac:dyDescent="0.25">
      <c r="A279" s="748">
        <v>12</v>
      </c>
      <c r="B279" s="888" t="s">
        <v>310</v>
      </c>
      <c r="C279" s="760">
        <v>110013.9</v>
      </c>
      <c r="D279" s="760">
        <v>117016.7</v>
      </c>
      <c r="E279" s="744">
        <f t="shared" si="68"/>
        <v>94.015555044707284</v>
      </c>
      <c r="F279" s="760">
        <v>110013.9</v>
      </c>
      <c r="G279" s="760">
        <v>117016.7</v>
      </c>
      <c r="H279" s="744">
        <f t="shared" si="69"/>
        <v>94.015555044707284</v>
      </c>
      <c r="I279" s="889">
        <f t="shared" si="73"/>
        <v>110013.9</v>
      </c>
      <c r="J279" s="889">
        <f t="shared" si="73"/>
        <v>117016.7</v>
      </c>
      <c r="K279" s="744">
        <f t="shared" si="70"/>
        <v>94.015555044707284</v>
      </c>
      <c r="L279" s="744">
        <v>0</v>
      </c>
      <c r="M279" s="744">
        <v>0</v>
      </c>
      <c r="N279" s="744" t="e">
        <f t="shared" si="71"/>
        <v>#DIV/0!</v>
      </c>
      <c r="O279" s="833">
        <v>196</v>
      </c>
      <c r="P279" s="834">
        <v>283</v>
      </c>
    </row>
    <row r="280" spans="1:16" ht="34.5" x14ac:dyDescent="0.25">
      <c r="A280" s="748">
        <v>13</v>
      </c>
      <c r="B280" s="799" t="s">
        <v>788</v>
      </c>
      <c r="C280" s="739"/>
      <c r="D280" s="739"/>
      <c r="E280" s="739" t="e">
        <f t="shared" si="68"/>
        <v>#DIV/0!</v>
      </c>
      <c r="F280" s="739"/>
      <c r="G280" s="739"/>
      <c r="H280" s="739" t="e">
        <f t="shared" si="69"/>
        <v>#DIV/0!</v>
      </c>
      <c r="I280" s="739"/>
      <c r="J280" s="739"/>
      <c r="K280" s="739" t="e">
        <f t="shared" si="70"/>
        <v>#DIV/0!</v>
      </c>
      <c r="L280" s="739"/>
      <c r="M280" s="744"/>
      <c r="N280" s="744" t="e">
        <f t="shared" si="71"/>
        <v>#DIV/0!</v>
      </c>
      <c r="O280" s="127"/>
      <c r="P280" s="127"/>
    </row>
    <row r="281" spans="1:16" ht="17.25" x14ac:dyDescent="0.25">
      <c r="A281" s="748">
        <v>14</v>
      </c>
      <c r="B281" s="800" t="s">
        <v>314</v>
      </c>
      <c r="C281" s="744"/>
      <c r="D281" s="744"/>
      <c r="E281" s="744" t="e">
        <f t="shared" si="68"/>
        <v>#DIV/0!</v>
      </c>
      <c r="F281" s="744"/>
      <c r="G281" s="744"/>
      <c r="H281" s="744" t="e">
        <f t="shared" si="69"/>
        <v>#DIV/0!</v>
      </c>
      <c r="I281" s="744"/>
      <c r="J281" s="744"/>
      <c r="K281" s="744" t="e">
        <f t="shared" si="70"/>
        <v>#DIV/0!</v>
      </c>
      <c r="L281" s="744"/>
      <c r="M281" s="744"/>
      <c r="N281" s="744" t="e">
        <f t="shared" si="71"/>
        <v>#DIV/0!</v>
      </c>
      <c r="O281" s="127"/>
      <c r="P281" s="127"/>
    </row>
    <row r="282" spans="1:16" ht="17.25" x14ac:dyDescent="0.25">
      <c r="A282" s="748">
        <v>15</v>
      </c>
      <c r="B282" s="800" t="s">
        <v>315</v>
      </c>
      <c r="C282" s="744"/>
      <c r="D282" s="744"/>
      <c r="E282" s="744" t="e">
        <f t="shared" si="68"/>
        <v>#DIV/0!</v>
      </c>
      <c r="F282" s="744"/>
      <c r="G282" s="744"/>
      <c r="H282" s="744" t="e">
        <f t="shared" si="69"/>
        <v>#DIV/0!</v>
      </c>
      <c r="I282" s="744"/>
      <c r="J282" s="744"/>
      <c r="K282" s="744" t="e">
        <f t="shared" si="70"/>
        <v>#DIV/0!</v>
      </c>
      <c r="L282" s="744"/>
      <c r="M282" s="744"/>
      <c r="N282" s="744" t="e">
        <f t="shared" si="71"/>
        <v>#DIV/0!</v>
      </c>
      <c r="O282" s="127"/>
      <c r="P282" s="127"/>
    </row>
    <row r="283" spans="1:16" ht="51.75" x14ac:dyDescent="0.25">
      <c r="A283" s="748">
        <v>16</v>
      </c>
      <c r="B283" s="799" t="s">
        <v>313</v>
      </c>
      <c r="C283" s="744"/>
      <c r="D283" s="744"/>
      <c r="E283" s="744" t="e">
        <f>C283/D283*100</f>
        <v>#DIV/0!</v>
      </c>
      <c r="F283" s="744"/>
      <c r="G283" s="744"/>
      <c r="H283" s="744" t="e">
        <f>F283/G283*100</f>
        <v>#DIV/0!</v>
      </c>
      <c r="I283" s="744"/>
      <c r="J283" s="744"/>
      <c r="K283" s="744" t="e">
        <f>I283/J283*100</f>
        <v>#DIV/0!</v>
      </c>
      <c r="L283" s="744"/>
      <c r="M283" s="744"/>
      <c r="N283" s="744" t="e">
        <f>L283/M283*100</f>
        <v>#DIV/0!</v>
      </c>
      <c r="O283" s="127"/>
      <c r="P283" s="127"/>
    </row>
    <row r="284" spans="1:16" ht="17.25" x14ac:dyDescent="0.25">
      <c r="A284" s="748">
        <v>17</v>
      </c>
      <c r="B284" s="800" t="s">
        <v>320</v>
      </c>
      <c r="C284" s="744"/>
      <c r="D284" s="744"/>
      <c r="E284" s="744" t="e">
        <f t="shared" si="68"/>
        <v>#DIV/0!</v>
      </c>
      <c r="F284" s="744"/>
      <c r="G284" s="744"/>
      <c r="H284" s="744" t="e">
        <f t="shared" si="69"/>
        <v>#DIV/0!</v>
      </c>
      <c r="I284" s="744"/>
      <c r="J284" s="744"/>
      <c r="K284" s="744" t="e">
        <f t="shared" si="70"/>
        <v>#DIV/0!</v>
      </c>
      <c r="L284" s="744"/>
      <c r="M284" s="744"/>
      <c r="N284" s="744" t="e">
        <f t="shared" si="71"/>
        <v>#DIV/0!</v>
      </c>
      <c r="O284" s="127"/>
      <c r="P284" s="127"/>
    </row>
    <row r="285" spans="1:16" ht="120" customHeight="1" x14ac:dyDescent="0.25">
      <c r="A285" s="504"/>
      <c r="B285" s="541"/>
      <c r="C285" s="542"/>
      <c r="D285" s="542"/>
      <c r="E285" s="542"/>
      <c r="F285" s="542"/>
      <c r="G285" s="542"/>
      <c r="H285" s="542"/>
      <c r="I285" s="543"/>
      <c r="J285" s="543"/>
      <c r="K285" s="542"/>
      <c r="L285" s="542"/>
      <c r="M285" s="542"/>
      <c r="N285" s="439"/>
      <c r="O285" s="127"/>
      <c r="P285" s="127"/>
    </row>
    <row r="286" spans="1:16" s="587" customFormat="1" ht="16.5" x14ac:dyDescent="0.25">
      <c r="A286" s="585">
        <v>3</v>
      </c>
      <c r="B286" s="586" t="s">
        <v>346</v>
      </c>
      <c r="C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837"/>
      <c r="P286" s="837"/>
    </row>
    <row r="287" spans="1:16" ht="16.5" x14ac:dyDescent="0.25">
      <c r="A287" s="1060" t="s">
        <v>734</v>
      </c>
      <c r="B287" s="1061"/>
      <c r="C287" s="588">
        <f>SUM(C288:C292)</f>
        <v>140872</v>
      </c>
      <c r="D287" s="588">
        <f>SUM(D288:D292)</f>
        <v>154669</v>
      </c>
      <c r="E287" s="589">
        <f>C287/D287*100</f>
        <v>91.079660436157212</v>
      </c>
      <c r="F287" s="588">
        <f>SUM(F288:F292)</f>
        <v>153959.20000000001</v>
      </c>
      <c r="G287" s="588">
        <f>SUM(G288:G292)</f>
        <v>177721</v>
      </c>
      <c r="H287" s="589">
        <f>F287/G287*100</f>
        <v>86.629717365983765</v>
      </c>
      <c r="I287" s="588">
        <f>SUM(I288:I292)</f>
        <v>153959.20000000001</v>
      </c>
      <c r="J287" s="588">
        <f>SUM(J288:J292)</f>
        <v>177721</v>
      </c>
      <c r="K287" s="589">
        <f>I287/J287*100</f>
        <v>86.629717365983765</v>
      </c>
      <c r="L287" s="588">
        <f>SUM(L288:L292)</f>
        <v>18164</v>
      </c>
      <c r="M287" s="588">
        <f>SUM(M288:M292)</f>
        <v>30822</v>
      </c>
      <c r="N287" s="589">
        <f>L287/M287*100</f>
        <v>58.931931737070919</v>
      </c>
      <c r="O287" s="127"/>
      <c r="P287" s="127"/>
    </row>
    <row r="288" spans="1:16" ht="34.5" x14ac:dyDescent="0.25">
      <c r="A288" s="884">
        <v>1</v>
      </c>
      <c r="B288" s="804" t="s">
        <v>331</v>
      </c>
      <c r="C288" s="322">
        <v>0</v>
      </c>
      <c r="D288" s="322">
        <v>0</v>
      </c>
      <c r="E288" s="425" t="e">
        <f t="shared" ref="E288:E292" si="74">C288/D288*100</f>
        <v>#DIV/0!</v>
      </c>
      <c r="F288" s="322">
        <v>8316.2000000000007</v>
      </c>
      <c r="G288" s="322">
        <v>8267</v>
      </c>
      <c r="H288" s="425">
        <f t="shared" ref="H288:H292" si="75">F288/G288*100</f>
        <v>100.59513729285111</v>
      </c>
      <c r="I288" s="322">
        <v>8316.2000000000007</v>
      </c>
      <c r="J288" s="322">
        <v>8267</v>
      </c>
      <c r="K288" s="425">
        <f t="shared" ref="K288:K292" si="76">I288/J288*100</f>
        <v>100.59513729285111</v>
      </c>
      <c r="L288" s="322">
        <v>0</v>
      </c>
      <c r="M288" s="322">
        <v>0</v>
      </c>
      <c r="N288" s="659" t="e">
        <f t="shared" ref="N288:N292" si="77">L288/M288*100</f>
        <v>#DIV/0!</v>
      </c>
      <c r="O288" s="324">
        <v>34</v>
      </c>
      <c r="P288" s="324">
        <v>84.9</v>
      </c>
    </row>
    <row r="289" spans="1:16" ht="17.25" x14ac:dyDescent="0.25">
      <c r="A289" s="884">
        <v>2</v>
      </c>
      <c r="B289" s="804" t="s">
        <v>332</v>
      </c>
      <c r="C289" s="322">
        <v>19240</v>
      </c>
      <c r="D289" s="322">
        <v>21294</v>
      </c>
      <c r="E289" s="425">
        <f t="shared" si="74"/>
        <v>90.35409035409036</v>
      </c>
      <c r="F289" s="322">
        <v>19240</v>
      </c>
      <c r="G289" s="322">
        <v>21294</v>
      </c>
      <c r="H289" s="425">
        <f t="shared" si="75"/>
        <v>90.35409035409036</v>
      </c>
      <c r="I289" s="322">
        <v>19240</v>
      </c>
      <c r="J289" s="322">
        <v>21294</v>
      </c>
      <c r="K289" s="425">
        <f t="shared" si="76"/>
        <v>90.35409035409036</v>
      </c>
      <c r="L289" s="322">
        <v>0</v>
      </c>
      <c r="M289" s="322">
        <v>0</v>
      </c>
      <c r="N289" s="659" t="e">
        <f t="shared" si="77"/>
        <v>#DIV/0!</v>
      </c>
      <c r="O289" s="324">
        <v>200</v>
      </c>
      <c r="P289" s="325">
        <v>82</v>
      </c>
    </row>
    <row r="290" spans="1:16" ht="69" x14ac:dyDescent="0.25">
      <c r="A290" s="884">
        <v>3</v>
      </c>
      <c r="B290" s="804" t="s">
        <v>333</v>
      </c>
      <c r="C290" s="322">
        <v>121632</v>
      </c>
      <c r="D290" s="322">
        <v>133375</v>
      </c>
      <c r="E290" s="425">
        <f t="shared" si="74"/>
        <v>91.195501405810688</v>
      </c>
      <c r="F290" s="322">
        <v>121632</v>
      </c>
      <c r="G290" s="322">
        <v>133375</v>
      </c>
      <c r="H290" s="425">
        <f t="shared" si="75"/>
        <v>91.195501405810688</v>
      </c>
      <c r="I290" s="322">
        <v>121632</v>
      </c>
      <c r="J290" s="322">
        <v>133375</v>
      </c>
      <c r="K290" s="425">
        <f t="shared" si="76"/>
        <v>91.195501405810688</v>
      </c>
      <c r="L290" s="322">
        <v>18164</v>
      </c>
      <c r="M290" s="322">
        <v>30822</v>
      </c>
      <c r="N290" s="659">
        <f t="shared" si="77"/>
        <v>58.931931737070919</v>
      </c>
      <c r="O290" s="324">
        <v>575</v>
      </c>
      <c r="P290" s="885">
        <v>106</v>
      </c>
    </row>
    <row r="291" spans="1:16" ht="17.25" x14ac:dyDescent="0.25">
      <c r="A291" s="884">
        <v>4</v>
      </c>
      <c r="B291" s="804" t="s">
        <v>334</v>
      </c>
      <c r="C291" s="322">
        <v>0</v>
      </c>
      <c r="D291" s="322">
        <v>0</v>
      </c>
      <c r="E291" s="425" t="e">
        <f t="shared" si="74"/>
        <v>#DIV/0!</v>
      </c>
      <c r="F291" s="322">
        <v>4771</v>
      </c>
      <c r="G291" s="322">
        <v>14785</v>
      </c>
      <c r="H291" s="425">
        <f t="shared" si="75"/>
        <v>32.269191748393645</v>
      </c>
      <c r="I291" s="322">
        <v>4771</v>
      </c>
      <c r="J291" s="322">
        <v>14785</v>
      </c>
      <c r="K291" s="425">
        <f t="shared" si="76"/>
        <v>32.269191748393645</v>
      </c>
      <c r="L291" s="322">
        <v>0</v>
      </c>
      <c r="M291" s="322">
        <v>0</v>
      </c>
      <c r="N291" s="659" t="e">
        <f t="shared" si="77"/>
        <v>#DIV/0!</v>
      </c>
      <c r="O291" s="324">
        <v>38</v>
      </c>
      <c r="P291" s="885">
        <v>132.4</v>
      </c>
    </row>
    <row r="292" spans="1:16" ht="51.75" x14ac:dyDescent="0.25">
      <c r="A292" s="884">
        <v>5</v>
      </c>
      <c r="B292" s="804" t="s">
        <v>335</v>
      </c>
      <c r="C292" s="322"/>
      <c r="D292" s="322"/>
      <c r="E292" s="425" t="e">
        <f t="shared" si="74"/>
        <v>#DIV/0!</v>
      </c>
      <c r="F292" s="322"/>
      <c r="G292" s="322"/>
      <c r="H292" s="425" t="e">
        <f t="shared" si="75"/>
        <v>#DIV/0!</v>
      </c>
      <c r="I292" s="322"/>
      <c r="J292" s="322"/>
      <c r="K292" s="425" t="e">
        <f t="shared" si="76"/>
        <v>#DIV/0!</v>
      </c>
      <c r="L292" s="322"/>
      <c r="M292" s="322"/>
      <c r="N292" s="555" t="e">
        <f t="shared" si="77"/>
        <v>#DIV/0!</v>
      </c>
    </row>
    <row r="294" spans="1:16" ht="16.5" x14ac:dyDescent="0.25">
      <c r="A294" s="585">
        <v>4</v>
      </c>
      <c r="B294" s="590" t="s">
        <v>543</v>
      </c>
      <c r="C294" s="586"/>
      <c r="D294" s="586"/>
      <c r="E294" s="586"/>
      <c r="F294" s="586"/>
      <c r="G294" s="586"/>
      <c r="H294" s="586"/>
      <c r="I294" s="586"/>
      <c r="J294" s="586"/>
      <c r="K294" s="586"/>
      <c r="L294" s="586"/>
      <c r="M294" s="586"/>
      <c r="N294" s="586"/>
    </row>
    <row r="295" spans="1:16" ht="16.5" x14ac:dyDescent="0.25">
      <c r="A295" s="588"/>
      <c r="B295" s="591" t="s">
        <v>734</v>
      </c>
      <c r="C295" s="588">
        <f>SUM(C296:C296)</f>
        <v>0</v>
      </c>
      <c r="D295" s="588">
        <f>SUM(D296:D296)</f>
        <v>0</v>
      </c>
      <c r="E295" s="589" t="e">
        <f>C295/D295*100</f>
        <v>#DIV/0!</v>
      </c>
      <c r="F295" s="588">
        <f>SUM(F296:F296)</f>
        <v>0</v>
      </c>
      <c r="G295" s="588">
        <f>SUM(G296:G296)</f>
        <v>0</v>
      </c>
      <c r="H295" s="589" t="e">
        <f>F295/G295*100</f>
        <v>#DIV/0!</v>
      </c>
      <c r="I295" s="588">
        <f>SUM(I296:I296)</f>
        <v>0</v>
      </c>
      <c r="J295" s="588">
        <f>SUM(J296:J296)</f>
        <v>0</v>
      </c>
      <c r="K295" s="589" t="e">
        <f>I295/J295*100</f>
        <v>#DIV/0!</v>
      </c>
      <c r="L295" s="588">
        <f>SUM(L296:L296)</f>
        <v>0</v>
      </c>
      <c r="M295" s="588">
        <f>SUM(M296:M296)</f>
        <v>0</v>
      </c>
      <c r="N295" s="589">
        <v>0</v>
      </c>
    </row>
    <row r="296" spans="1:16" ht="17.25" x14ac:dyDescent="0.25">
      <c r="A296" s="878">
        <v>1</v>
      </c>
      <c r="B296" s="813" t="s">
        <v>728</v>
      </c>
      <c r="C296" s="426"/>
      <c r="D296" s="426"/>
      <c r="E296" s="323" t="e">
        <f>C296/D296*100</f>
        <v>#DIV/0!</v>
      </c>
      <c r="F296" s="426"/>
      <c r="G296" s="426"/>
      <c r="H296" s="323" t="e">
        <f>F296/G296*100</f>
        <v>#DIV/0!</v>
      </c>
      <c r="I296" s="426"/>
      <c r="J296" s="426"/>
      <c r="K296" s="323" t="e">
        <f>I296/J296*100</f>
        <v>#DIV/0!</v>
      </c>
      <c r="L296" s="426"/>
      <c r="M296" s="426"/>
      <c r="N296" s="323">
        <v>0</v>
      </c>
    </row>
  </sheetData>
  <mergeCells count="39">
    <mergeCell ref="A2:N3"/>
    <mergeCell ref="A4:A9"/>
    <mergeCell ref="B4:B9"/>
    <mergeCell ref="C4:H4"/>
    <mergeCell ref="I4:K4"/>
    <mergeCell ref="L4:N4"/>
    <mergeCell ref="C5:C9"/>
    <mergeCell ref="D5:D9"/>
    <mergeCell ref="E5:E9"/>
    <mergeCell ref="F5:F9"/>
    <mergeCell ref="M5:M9"/>
    <mergeCell ref="N5:N9"/>
    <mergeCell ref="L5:L9"/>
    <mergeCell ref="G5:G9"/>
    <mergeCell ref="H5:H9"/>
    <mergeCell ref="I5:I9"/>
    <mergeCell ref="J5:J9"/>
    <mergeCell ref="K5:K9"/>
    <mergeCell ref="A30:N31"/>
    <mergeCell ref="A248:B248"/>
    <mergeCell ref="A96:B96"/>
    <mergeCell ref="A56:B56"/>
    <mergeCell ref="A70:B70"/>
    <mergeCell ref="A80:B80"/>
    <mergeCell ref="B32:B33"/>
    <mergeCell ref="C32:G32"/>
    <mergeCell ref="H32:K32"/>
    <mergeCell ref="A35:B35"/>
    <mergeCell ref="A36:B36"/>
    <mergeCell ref="A32:A33"/>
    <mergeCell ref="A267:B267"/>
    <mergeCell ref="A287:B287"/>
    <mergeCell ref="A134:B134"/>
    <mergeCell ref="A135:B135"/>
    <mergeCell ref="A160:B160"/>
    <mergeCell ref="A161:B161"/>
    <mergeCell ref="A190:B190"/>
    <mergeCell ref="A196:B196"/>
    <mergeCell ref="A238:B238"/>
  </mergeCells>
  <pageMargins left="0.25" right="0.25" top="0.75" bottom="0.25" header="0.25" footer="0.25"/>
  <pageSetup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N7" sqref="N7"/>
    </sheetView>
  </sheetViews>
  <sheetFormatPr defaultRowHeight="15" x14ac:dyDescent="0.25"/>
  <cols>
    <col min="1" max="1" width="6.5703125" customWidth="1"/>
    <col min="2" max="2" width="41.5703125" customWidth="1"/>
    <col min="3" max="3" width="13.7109375" customWidth="1"/>
    <col min="4" max="4" width="14" customWidth="1"/>
    <col min="5" max="5" width="11.28515625" customWidth="1"/>
    <col min="6" max="6" width="15" customWidth="1"/>
    <col min="7" max="7" width="14.5703125" customWidth="1"/>
    <col min="8" max="8" width="11" customWidth="1"/>
  </cols>
  <sheetData>
    <row r="1" spans="1:22" ht="27.75" customHeight="1" x14ac:dyDescent="0.25">
      <c r="A1" s="1095" t="s">
        <v>823</v>
      </c>
      <c r="B1" s="1096"/>
      <c r="C1" s="1096"/>
      <c r="D1" s="1096"/>
      <c r="E1" s="1096"/>
      <c r="F1" s="1096"/>
      <c r="G1" s="1096"/>
      <c r="H1" s="1097"/>
      <c r="I1" s="608"/>
      <c r="J1" s="608"/>
      <c r="K1" s="608"/>
      <c r="L1" s="608"/>
      <c r="M1" s="608"/>
      <c r="N1" s="608"/>
      <c r="O1" s="422"/>
      <c r="P1" s="422"/>
      <c r="Q1" s="422"/>
      <c r="R1" s="422"/>
      <c r="S1" s="422"/>
      <c r="T1" s="422"/>
      <c r="U1" s="422"/>
      <c r="V1" s="422"/>
    </row>
    <row r="2" spans="1:22" ht="51" customHeight="1" thickBot="1" x14ac:dyDescent="0.3">
      <c r="A2" s="1098"/>
      <c r="B2" s="1099"/>
      <c r="C2" s="1099"/>
      <c r="D2" s="1099"/>
      <c r="E2" s="1099"/>
      <c r="F2" s="1099"/>
      <c r="G2" s="1099"/>
      <c r="H2" s="1100"/>
      <c r="I2" s="608"/>
      <c r="J2" s="608"/>
      <c r="K2" s="608"/>
      <c r="L2" s="608"/>
      <c r="M2" s="608"/>
      <c r="N2" s="608"/>
    </row>
    <row r="3" spans="1:22" ht="53.25" customHeight="1" x14ac:dyDescent="0.25">
      <c r="A3" s="609" t="s">
        <v>1</v>
      </c>
      <c r="B3" s="610" t="s">
        <v>337</v>
      </c>
      <c r="C3" s="1101" t="s">
        <v>326</v>
      </c>
      <c r="D3" s="1102"/>
      <c r="E3" s="1103"/>
      <c r="F3" s="1104" t="s">
        <v>763</v>
      </c>
      <c r="G3" s="1102"/>
      <c r="H3" s="1103"/>
    </row>
    <row r="4" spans="1:22" ht="52.5" customHeight="1" thickBot="1" x14ac:dyDescent="0.3">
      <c r="A4" s="611"/>
      <c r="B4" s="612"/>
      <c r="C4" s="823" t="s">
        <v>812</v>
      </c>
      <c r="D4" s="824" t="s">
        <v>813</v>
      </c>
      <c r="E4" s="825" t="s">
        <v>545</v>
      </c>
      <c r="F4" s="823" t="s">
        <v>812</v>
      </c>
      <c r="G4" s="824" t="s">
        <v>813</v>
      </c>
      <c r="H4" s="825" t="s">
        <v>545</v>
      </c>
    </row>
    <row r="5" spans="1:22" ht="17.25" thickBot="1" x14ac:dyDescent="0.35">
      <c r="A5" s="632">
        <v>1</v>
      </c>
      <c r="B5" s="633">
        <v>2</v>
      </c>
      <c r="C5" s="818">
        <v>3</v>
      </c>
      <c r="D5" s="819">
        <v>4</v>
      </c>
      <c r="E5" s="820">
        <v>5</v>
      </c>
      <c r="F5" s="821">
        <v>6</v>
      </c>
      <c r="G5" s="819">
        <v>7</v>
      </c>
      <c r="H5" s="822">
        <v>8</v>
      </c>
    </row>
    <row r="6" spans="1:22" ht="34.5" x14ac:dyDescent="0.3">
      <c r="A6" s="639"/>
      <c r="B6" s="815" t="s">
        <v>348</v>
      </c>
      <c r="C6" s="620">
        <v>846.9</v>
      </c>
      <c r="D6" s="620">
        <v>755</v>
      </c>
      <c r="E6" s="620">
        <f>C6/D6*100</f>
        <v>112.17218543046357</v>
      </c>
      <c r="F6" s="620">
        <f>C6*100/108.5</f>
        <v>780.55299539170505</v>
      </c>
      <c r="G6" s="620">
        <v>755</v>
      </c>
      <c r="H6" s="623">
        <f>F6/G6*100</f>
        <v>103.38450270088808</v>
      </c>
    </row>
    <row r="7" spans="1:22" ht="21" customHeight="1" x14ac:dyDescent="0.3">
      <c r="A7" s="640">
        <v>1</v>
      </c>
      <c r="B7" s="816" t="s">
        <v>730</v>
      </c>
      <c r="C7" s="625">
        <v>651.9</v>
      </c>
      <c r="D7" s="625">
        <v>589.4</v>
      </c>
      <c r="E7" s="625">
        <f t="shared" ref="E7:E10" si="0">C7/D7*100</f>
        <v>110.60400407193755</v>
      </c>
      <c r="F7" s="625">
        <f>F8+F9</f>
        <v>629.69919693988356</v>
      </c>
      <c r="G7" s="625">
        <v>589.4</v>
      </c>
      <c r="H7" s="627">
        <f>F7/G7*100</f>
        <v>106.83732557514143</v>
      </c>
    </row>
    <row r="8" spans="1:22" ht="43.5" customHeight="1" x14ac:dyDescent="0.3">
      <c r="A8" s="640">
        <v>1.1000000000000001</v>
      </c>
      <c r="B8" s="816" t="s">
        <v>527</v>
      </c>
      <c r="C8" s="625">
        <v>177.6</v>
      </c>
      <c r="D8" s="625">
        <v>177.9</v>
      </c>
      <c r="E8" s="625">
        <f t="shared" si="0"/>
        <v>99.831365935919052</v>
      </c>
      <c r="F8" s="625">
        <f>C8*100/106.1</f>
        <v>167.38925541941566</v>
      </c>
      <c r="G8" s="625">
        <v>177.9</v>
      </c>
      <c r="H8" s="627">
        <f>F8/G8*100</f>
        <v>94.091768082864334</v>
      </c>
    </row>
    <row r="9" spans="1:22" ht="39" customHeight="1" x14ac:dyDescent="0.3">
      <c r="A9" s="640">
        <v>1.2</v>
      </c>
      <c r="B9" s="816" t="s">
        <v>824</v>
      </c>
      <c r="C9" s="625">
        <v>474.33</v>
      </c>
      <c r="D9" s="625">
        <v>411.55</v>
      </c>
      <c r="E9" s="625">
        <f t="shared" si="0"/>
        <v>115.25452557404931</v>
      </c>
      <c r="F9" s="625">
        <f>C9*100/102.6</f>
        <v>462.30994152046787</v>
      </c>
      <c r="G9" s="625">
        <v>411.6</v>
      </c>
      <c r="H9" s="627">
        <f t="shared" ref="H9:H10" si="1">F9/G9*100</f>
        <v>112.32019959195041</v>
      </c>
    </row>
    <row r="10" spans="1:22" ht="27.75" customHeight="1" thickBot="1" x14ac:dyDescent="0.35">
      <c r="A10" s="641">
        <v>2</v>
      </c>
      <c r="B10" s="817" t="s">
        <v>322</v>
      </c>
      <c r="C10" s="629">
        <v>195</v>
      </c>
      <c r="D10" s="629">
        <v>165.6</v>
      </c>
      <c r="E10" s="629">
        <f t="shared" si="0"/>
        <v>117.75362318840581</v>
      </c>
      <c r="F10" s="629">
        <f>C10*100/132.6</f>
        <v>147.05882352941177</v>
      </c>
      <c r="G10" s="629">
        <v>165.6</v>
      </c>
      <c r="H10" s="631">
        <f t="shared" si="1"/>
        <v>88.803637396987796</v>
      </c>
    </row>
  </sheetData>
  <mergeCells count="3">
    <mergeCell ref="A1:H2"/>
    <mergeCell ref="C3:E3"/>
    <mergeCell ref="F3:H3"/>
  </mergeCells>
  <pageMargins left="0.5" right="0.2" top="0.75" bottom="0.5" header="0.3" footer="0.0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L4" sqref="L4"/>
    </sheetView>
  </sheetViews>
  <sheetFormatPr defaultRowHeight="15" x14ac:dyDescent="0.25"/>
  <cols>
    <col min="1" max="1" width="6.5703125" customWidth="1"/>
    <col min="2" max="2" width="41.5703125" customWidth="1"/>
    <col min="3" max="3" width="13.7109375" customWidth="1"/>
    <col min="4" max="4" width="14" customWidth="1"/>
    <col min="5" max="5" width="11.28515625" customWidth="1"/>
    <col min="6" max="6" width="15" customWidth="1"/>
    <col min="7" max="7" width="14.5703125" customWidth="1"/>
    <col min="8" max="8" width="11" customWidth="1"/>
  </cols>
  <sheetData>
    <row r="1" spans="1:22" ht="27.75" customHeight="1" x14ac:dyDescent="0.25">
      <c r="A1" s="1095" t="s">
        <v>832</v>
      </c>
      <c r="B1" s="1096"/>
      <c r="C1" s="1096"/>
      <c r="D1" s="1096"/>
      <c r="E1" s="1096"/>
      <c r="F1" s="1096"/>
      <c r="G1" s="1096"/>
      <c r="H1" s="1097"/>
      <c r="I1" s="608"/>
      <c r="J1" s="608"/>
      <c r="K1" s="608"/>
      <c r="L1" s="608"/>
      <c r="M1" s="608"/>
      <c r="N1" s="608"/>
      <c r="O1" s="422"/>
      <c r="P1" s="422"/>
      <c r="Q1" s="422"/>
      <c r="R1" s="422"/>
      <c r="S1" s="422"/>
      <c r="T1" s="422"/>
      <c r="U1" s="422"/>
      <c r="V1" s="422"/>
    </row>
    <row r="2" spans="1:22" ht="51" customHeight="1" thickBot="1" x14ac:dyDescent="0.3">
      <c r="A2" s="1098"/>
      <c r="B2" s="1099"/>
      <c r="C2" s="1099"/>
      <c r="D2" s="1099"/>
      <c r="E2" s="1099"/>
      <c r="F2" s="1099"/>
      <c r="G2" s="1099"/>
      <c r="H2" s="1100"/>
      <c r="I2" s="608"/>
      <c r="J2" s="608"/>
      <c r="K2" s="608"/>
      <c r="L2" s="608"/>
      <c r="M2" s="608"/>
      <c r="N2" s="608"/>
    </row>
    <row r="3" spans="1:22" ht="53.25" customHeight="1" x14ac:dyDescent="0.25">
      <c r="A3" s="609" t="s">
        <v>1</v>
      </c>
      <c r="B3" s="610" t="s">
        <v>337</v>
      </c>
      <c r="C3" s="1101" t="s">
        <v>326</v>
      </c>
      <c r="D3" s="1102"/>
      <c r="E3" s="1103"/>
      <c r="F3" s="1104" t="s">
        <v>763</v>
      </c>
      <c r="G3" s="1102"/>
      <c r="H3" s="1103"/>
    </row>
    <row r="4" spans="1:22" ht="52.5" customHeight="1" thickBot="1" x14ac:dyDescent="0.3">
      <c r="A4" s="611"/>
      <c r="B4" s="612"/>
      <c r="C4" s="613" t="s">
        <v>833</v>
      </c>
      <c r="D4" s="614" t="s">
        <v>834</v>
      </c>
      <c r="E4" s="615" t="s">
        <v>545</v>
      </c>
      <c r="F4" s="613" t="s">
        <v>833</v>
      </c>
      <c r="G4" s="614" t="s">
        <v>834</v>
      </c>
      <c r="H4" s="615" t="s">
        <v>545</v>
      </c>
    </row>
    <row r="5" spans="1:22" ht="17.25" thickBot="1" x14ac:dyDescent="0.35">
      <c r="A5" s="632">
        <v>1</v>
      </c>
      <c r="B5" s="633">
        <v>2</v>
      </c>
      <c r="C5" s="634">
        <v>3</v>
      </c>
      <c r="D5" s="635">
        <v>4</v>
      </c>
      <c r="E5" s="636">
        <v>5</v>
      </c>
      <c r="F5" s="637">
        <v>6</v>
      </c>
      <c r="G5" s="635">
        <v>7</v>
      </c>
      <c r="H5" s="638">
        <v>8</v>
      </c>
    </row>
    <row r="6" spans="1:22" ht="34.5" x14ac:dyDescent="0.3">
      <c r="A6" s="639"/>
      <c r="B6" s="616" t="s">
        <v>348</v>
      </c>
      <c r="C6" s="619">
        <v>70</v>
      </c>
      <c r="D6" s="620">
        <v>70.7</v>
      </c>
      <c r="E6" s="621">
        <f>C6/D6*100</f>
        <v>99.009900990099013</v>
      </c>
      <c r="F6" s="622">
        <f>C6*100/108.5</f>
        <v>64.516129032258064</v>
      </c>
      <c r="G6" s="620">
        <v>70.7</v>
      </c>
      <c r="H6" s="623">
        <f>F6/G6*100</f>
        <v>91.253364967833178</v>
      </c>
    </row>
    <row r="7" spans="1:22" ht="21" customHeight="1" x14ac:dyDescent="0.3">
      <c r="A7" s="640">
        <v>1</v>
      </c>
      <c r="B7" s="617" t="s">
        <v>730</v>
      </c>
      <c r="C7" s="624">
        <f>C8+C9</f>
        <v>48.339999999999996</v>
      </c>
      <c r="D7" s="625">
        <f>D8+D9</f>
        <v>45.42</v>
      </c>
      <c r="E7" s="882">
        <f t="shared" ref="E7:E10" si="0">C7/D7*100</f>
        <v>106.42888595332451</v>
      </c>
      <c r="F7" s="626">
        <f>F8+F9</f>
        <v>46.528802086618811</v>
      </c>
      <c r="G7" s="625">
        <v>45.4</v>
      </c>
      <c r="H7" s="627">
        <f>F7/G7*100</f>
        <v>102.48634820841147</v>
      </c>
    </row>
    <row r="8" spans="1:22" ht="43.5" customHeight="1" x14ac:dyDescent="0.3">
      <c r="A8" s="640">
        <v>1.1000000000000001</v>
      </c>
      <c r="B8" s="617" t="s">
        <v>527</v>
      </c>
      <c r="C8" s="624">
        <v>14.44</v>
      </c>
      <c r="D8" s="625">
        <v>14.12</v>
      </c>
      <c r="E8" s="882">
        <f t="shared" si="0"/>
        <v>102.26628895184136</v>
      </c>
      <c r="F8" s="626">
        <f>C8*100/106.3</f>
        <v>13.584195672624647</v>
      </c>
      <c r="G8" s="625">
        <v>14.1</v>
      </c>
      <c r="H8" s="627">
        <f>F8/G8*100</f>
        <v>96.341813281025864</v>
      </c>
    </row>
    <row r="9" spans="1:22" ht="39" customHeight="1" x14ac:dyDescent="0.3">
      <c r="A9" s="640">
        <v>1.2</v>
      </c>
      <c r="B9" s="617" t="s">
        <v>835</v>
      </c>
      <c r="C9" s="624">
        <v>33.9</v>
      </c>
      <c r="D9" s="625">
        <v>31.3</v>
      </c>
      <c r="E9" s="882">
        <f t="shared" si="0"/>
        <v>108.30670926517571</v>
      </c>
      <c r="F9" s="626">
        <f>C9*100/102.9</f>
        <v>32.944606413994165</v>
      </c>
      <c r="G9" s="625">
        <v>31.3</v>
      </c>
      <c r="H9" s="627">
        <f t="shared" ref="H9:H10" si="1">F9/G9*100</f>
        <v>105.25433359103566</v>
      </c>
    </row>
    <row r="10" spans="1:22" ht="27.75" customHeight="1" thickBot="1" x14ac:dyDescent="0.35">
      <c r="A10" s="641">
        <v>2</v>
      </c>
      <c r="B10" s="618" t="s">
        <v>322</v>
      </c>
      <c r="C10" s="628">
        <v>21.6</v>
      </c>
      <c r="D10" s="629">
        <v>25.3</v>
      </c>
      <c r="E10" s="883">
        <f t="shared" si="0"/>
        <v>85.37549407114625</v>
      </c>
      <c r="F10" s="630">
        <f>C10*100/130.4</f>
        <v>16.564417177914109</v>
      </c>
      <c r="G10" s="629">
        <v>25.3</v>
      </c>
      <c r="H10" s="631">
        <f t="shared" si="1"/>
        <v>65.472004655786989</v>
      </c>
    </row>
  </sheetData>
  <mergeCells count="3">
    <mergeCell ref="C3:E3"/>
    <mergeCell ref="F3:H3"/>
    <mergeCell ref="A1:H2"/>
  </mergeCells>
  <pageMargins left="0.5" right="0.2" top="0.75" bottom="0.5" header="0.3" footer="0.0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workbookViewId="0">
      <selection activeCell="I4" sqref="I4:J8"/>
    </sheetView>
  </sheetViews>
  <sheetFormatPr defaultRowHeight="15" x14ac:dyDescent="0.25"/>
  <cols>
    <col min="1" max="1" width="3.7109375" customWidth="1"/>
    <col min="2" max="2" width="25.5703125" customWidth="1"/>
    <col min="3" max="3" width="11.7109375" customWidth="1"/>
    <col min="4" max="4" width="11.42578125" customWidth="1"/>
    <col min="5" max="5" width="7.42578125" customWidth="1"/>
    <col min="6" max="6" width="10.85546875" customWidth="1"/>
    <col min="7" max="7" width="10.28515625" customWidth="1"/>
    <col min="8" max="8" width="7.28515625" customWidth="1"/>
    <col min="9" max="9" width="11.28515625" customWidth="1"/>
    <col min="10" max="10" width="11.7109375" customWidth="1"/>
    <col min="11" max="11" width="7.28515625" customWidth="1"/>
    <col min="12" max="12" width="11.28515625" customWidth="1"/>
    <col min="13" max="13" width="11.42578125" customWidth="1"/>
    <col min="14" max="14" width="6.140625" customWidth="1"/>
    <col min="15" max="15" width="7" customWidth="1"/>
    <col min="16" max="16" width="6.7109375" customWidth="1"/>
    <col min="17" max="17" width="7" customWidth="1"/>
  </cols>
  <sheetData>
    <row r="1" spans="1:18" ht="15.75" customHeight="1" x14ac:dyDescent="0.25">
      <c r="A1" s="941" t="s">
        <v>240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</row>
    <row r="2" spans="1:18" ht="16.5" customHeight="1" x14ac:dyDescent="0.25">
      <c r="A2" s="942"/>
      <c r="B2" s="942"/>
      <c r="C2" s="942"/>
      <c r="D2" s="942"/>
      <c r="E2" s="942"/>
      <c r="F2" s="942"/>
      <c r="G2" s="942"/>
      <c r="H2" s="942"/>
      <c r="I2" s="942"/>
      <c r="J2" s="942"/>
      <c r="K2" s="942"/>
      <c r="L2" s="942"/>
      <c r="M2" s="942"/>
      <c r="N2" s="942"/>
      <c r="O2" s="942"/>
      <c r="P2" s="942"/>
      <c r="Q2" s="942"/>
      <c r="R2" s="1"/>
    </row>
    <row r="3" spans="1:18" ht="15" customHeight="1" x14ac:dyDescent="0.25">
      <c r="A3" s="932" t="s">
        <v>1</v>
      </c>
      <c r="B3" s="898" t="s">
        <v>2</v>
      </c>
      <c r="C3" s="929" t="s">
        <v>3</v>
      </c>
      <c r="D3" s="930"/>
      <c r="E3" s="930"/>
      <c r="F3" s="930"/>
      <c r="G3" s="930"/>
      <c r="H3" s="931"/>
      <c r="I3" s="938" t="s">
        <v>4</v>
      </c>
      <c r="J3" s="939"/>
      <c r="K3" s="940"/>
      <c r="L3" s="929" t="s">
        <v>5</v>
      </c>
      <c r="M3" s="930"/>
      <c r="N3" s="931"/>
      <c r="O3" s="898" t="s">
        <v>6</v>
      </c>
      <c r="P3" s="935" t="s">
        <v>7</v>
      </c>
      <c r="Q3" s="898" t="s">
        <v>8</v>
      </c>
      <c r="R3" s="2"/>
    </row>
    <row r="4" spans="1:18" ht="15" customHeight="1" x14ac:dyDescent="0.25">
      <c r="A4" s="933"/>
      <c r="B4" s="899"/>
      <c r="C4" s="898" t="s">
        <v>9</v>
      </c>
      <c r="D4" s="898" t="s">
        <v>10</v>
      </c>
      <c r="E4" s="895" t="s">
        <v>11</v>
      </c>
      <c r="F4" s="898" t="s">
        <v>12</v>
      </c>
      <c r="G4" s="898" t="s">
        <v>10</v>
      </c>
      <c r="H4" s="895" t="s">
        <v>11</v>
      </c>
      <c r="I4" s="898" t="s">
        <v>13</v>
      </c>
      <c r="J4" s="898" t="s">
        <v>10</v>
      </c>
      <c r="K4" s="895" t="s">
        <v>11</v>
      </c>
      <c r="L4" s="898" t="s">
        <v>13</v>
      </c>
      <c r="M4" s="898" t="s">
        <v>10</v>
      </c>
      <c r="N4" s="895" t="s">
        <v>11</v>
      </c>
      <c r="O4" s="899"/>
      <c r="P4" s="936"/>
      <c r="Q4" s="899"/>
      <c r="R4" s="2"/>
    </row>
    <row r="5" spans="1:18" x14ac:dyDescent="0.25">
      <c r="A5" s="933"/>
      <c r="B5" s="899"/>
      <c r="C5" s="899"/>
      <c r="D5" s="899"/>
      <c r="E5" s="896"/>
      <c r="F5" s="899"/>
      <c r="G5" s="899"/>
      <c r="H5" s="896"/>
      <c r="I5" s="899"/>
      <c r="J5" s="899"/>
      <c r="K5" s="896"/>
      <c r="L5" s="899"/>
      <c r="M5" s="899"/>
      <c r="N5" s="896"/>
      <c r="O5" s="899"/>
      <c r="P5" s="936"/>
      <c r="Q5" s="899"/>
      <c r="R5" s="2"/>
    </row>
    <row r="6" spans="1:18" x14ac:dyDescent="0.25">
      <c r="A6" s="933"/>
      <c r="B6" s="899"/>
      <c r="C6" s="899"/>
      <c r="D6" s="899"/>
      <c r="E6" s="896"/>
      <c r="F6" s="899"/>
      <c r="G6" s="899"/>
      <c r="H6" s="896"/>
      <c r="I6" s="899"/>
      <c r="J6" s="899"/>
      <c r="K6" s="896"/>
      <c r="L6" s="899"/>
      <c r="M6" s="899"/>
      <c r="N6" s="896"/>
      <c r="O6" s="899"/>
      <c r="P6" s="936"/>
      <c r="Q6" s="899"/>
      <c r="R6" s="2"/>
    </row>
    <row r="7" spans="1:18" x14ac:dyDescent="0.25">
      <c r="A7" s="933"/>
      <c r="B7" s="899"/>
      <c r="C7" s="899"/>
      <c r="D7" s="899"/>
      <c r="E7" s="896"/>
      <c r="F7" s="899"/>
      <c r="G7" s="899"/>
      <c r="H7" s="896"/>
      <c r="I7" s="899"/>
      <c r="J7" s="899"/>
      <c r="K7" s="896"/>
      <c r="L7" s="899"/>
      <c r="M7" s="899"/>
      <c r="N7" s="896"/>
      <c r="O7" s="899"/>
      <c r="P7" s="936"/>
      <c r="Q7" s="899"/>
      <c r="R7" s="2"/>
    </row>
    <row r="8" spans="1:18" x14ac:dyDescent="0.25">
      <c r="A8" s="934"/>
      <c r="B8" s="900"/>
      <c r="C8" s="900"/>
      <c r="D8" s="900"/>
      <c r="E8" s="897"/>
      <c r="F8" s="900"/>
      <c r="G8" s="900"/>
      <c r="H8" s="897"/>
      <c r="I8" s="900"/>
      <c r="J8" s="900"/>
      <c r="K8" s="897"/>
      <c r="L8" s="900"/>
      <c r="M8" s="900"/>
      <c r="N8" s="897"/>
      <c r="O8" s="900"/>
      <c r="P8" s="937"/>
      <c r="Q8" s="900"/>
      <c r="R8" s="2"/>
    </row>
    <row r="9" spans="1:18" x14ac:dyDescent="0.25">
      <c r="A9" s="169">
        <v>1</v>
      </c>
      <c r="B9" s="169">
        <v>2</v>
      </c>
      <c r="C9" s="170">
        <v>3</v>
      </c>
      <c r="D9" s="170">
        <v>4</v>
      </c>
      <c r="E9" s="5">
        <v>5</v>
      </c>
      <c r="F9" s="170">
        <v>6</v>
      </c>
      <c r="G9" s="170">
        <v>7</v>
      </c>
      <c r="H9" s="170">
        <v>8</v>
      </c>
      <c r="I9" s="170">
        <v>11</v>
      </c>
      <c r="J9" s="170">
        <v>12</v>
      </c>
      <c r="K9" s="170">
        <v>13</v>
      </c>
      <c r="L9" s="170">
        <v>17</v>
      </c>
      <c r="M9" s="170">
        <v>18</v>
      </c>
      <c r="N9" s="170">
        <v>19</v>
      </c>
      <c r="O9" s="170">
        <v>20</v>
      </c>
      <c r="P9" s="5">
        <v>21</v>
      </c>
      <c r="Q9" s="170">
        <v>22</v>
      </c>
      <c r="R9" s="6"/>
    </row>
    <row r="10" spans="1:18" ht="31.5" customHeight="1" x14ac:dyDescent="0.25">
      <c r="A10" s="7">
        <v>1</v>
      </c>
      <c r="B10" s="8" t="s">
        <v>14</v>
      </c>
      <c r="C10" s="5">
        <f t="shared" ref="C10:O10" si="0">C139</f>
        <v>26163906</v>
      </c>
      <c r="D10" s="5">
        <f t="shared" si="0"/>
        <v>28708478</v>
      </c>
      <c r="E10" s="9">
        <f t="shared" si="0"/>
        <v>-8.863486249601948</v>
      </c>
      <c r="F10" s="5">
        <f t="shared" si="0"/>
        <v>12039962</v>
      </c>
      <c r="G10" s="10">
        <f t="shared" si="0"/>
        <v>13300680</v>
      </c>
      <c r="H10" s="11">
        <f t="shared" si="0"/>
        <v>-9.4785980867143564</v>
      </c>
      <c r="I10" s="10">
        <f t="shared" si="0"/>
        <v>23961759</v>
      </c>
      <c r="J10" s="10">
        <f t="shared" si="0"/>
        <v>30212817</v>
      </c>
      <c r="K10" s="11">
        <f t="shared" si="0"/>
        <v>-20.690086594705818</v>
      </c>
      <c r="L10" s="5">
        <f t="shared" si="0"/>
        <v>11935366</v>
      </c>
      <c r="M10" s="5">
        <f t="shared" si="0"/>
        <v>17133129</v>
      </c>
      <c r="N10" s="9">
        <f t="shared" si="0"/>
        <v>-30.337499939444797</v>
      </c>
      <c r="O10" s="5">
        <f t="shared" si="0"/>
        <v>5997</v>
      </c>
      <c r="P10" s="9">
        <f>P139</f>
        <v>174.92412873103217</v>
      </c>
      <c r="Q10" s="5">
        <f>Q139</f>
        <v>5990</v>
      </c>
      <c r="R10" s="12">
        <f>R139</f>
        <v>1049020</v>
      </c>
    </row>
    <row r="11" spans="1:18" ht="31.5" customHeight="1" x14ac:dyDescent="0.25">
      <c r="A11" s="7"/>
      <c r="B11" s="8" t="s">
        <v>15</v>
      </c>
      <c r="C11" s="5">
        <f>C150</f>
        <v>24311525</v>
      </c>
      <c r="D11" s="5">
        <f>D150</f>
        <v>27786016</v>
      </c>
      <c r="E11" s="9">
        <f t="shared" ref="E11:Q11" si="1">E150</f>
        <v>-12.50445907754461</v>
      </c>
      <c r="F11" s="5">
        <f t="shared" si="1"/>
        <v>11896988</v>
      </c>
      <c r="G11" s="5">
        <f t="shared" si="1"/>
        <v>13609121</v>
      </c>
      <c r="H11" s="9">
        <f t="shared" si="1"/>
        <v>-12.580775790001425</v>
      </c>
      <c r="I11" s="5">
        <f t="shared" si="1"/>
        <v>24314393</v>
      </c>
      <c r="J11" s="5">
        <f t="shared" si="1"/>
        <v>28357860</v>
      </c>
      <c r="K11" s="9">
        <f t="shared" si="1"/>
        <v>-14.25871698358057</v>
      </c>
      <c r="L11" s="5">
        <f t="shared" si="1"/>
        <v>23313178</v>
      </c>
      <c r="M11" s="5">
        <f t="shared" si="1"/>
        <v>27116448</v>
      </c>
      <c r="N11" s="9">
        <f t="shared" si="1"/>
        <v>-14.0256939256941</v>
      </c>
      <c r="O11" s="5">
        <f t="shared" si="1"/>
        <v>3774</v>
      </c>
      <c r="P11" s="5">
        <f>P150</f>
        <v>130.64096449390567</v>
      </c>
      <c r="Q11" s="5">
        <f t="shared" si="1"/>
        <v>3756</v>
      </c>
      <c r="R11" s="12">
        <f t="shared" ref="R11:R22" si="2">O11*P11</f>
        <v>493039</v>
      </c>
    </row>
    <row r="12" spans="1:18" ht="31.5" customHeight="1" x14ac:dyDescent="0.25">
      <c r="A12" s="7">
        <v>2</v>
      </c>
      <c r="B12" s="8" t="s">
        <v>16</v>
      </c>
      <c r="C12" s="5">
        <f t="shared" ref="C12:O12" si="3">C160</f>
        <v>2079814</v>
      </c>
      <c r="D12" s="5">
        <f t="shared" si="3"/>
        <v>2235149</v>
      </c>
      <c r="E12" s="9">
        <f t="shared" si="3"/>
        <v>-6.9496485469201446</v>
      </c>
      <c r="F12" s="5">
        <f t="shared" si="3"/>
        <v>1099287</v>
      </c>
      <c r="G12" s="10">
        <f t="shared" si="3"/>
        <v>1153076</v>
      </c>
      <c r="H12" s="11">
        <f t="shared" si="3"/>
        <v>-4.664826949828111</v>
      </c>
      <c r="I12" s="10">
        <f t="shared" si="3"/>
        <v>2132856</v>
      </c>
      <c r="J12" s="10">
        <f t="shared" si="3"/>
        <v>1728648</v>
      </c>
      <c r="K12" s="11">
        <f t="shared" si="3"/>
        <v>23.382898079886715</v>
      </c>
      <c r="L12" s="5">
        <f t="shared" si="3"/>
        <v>938162</v>
      </c>
      <c r="M12" s="5">
        <f t="shared" si="3"/>
        <v>874283</v>
      </c>
      <c r="N12" s="9">
        <f t="shared" si="3"/>
        <v>7.3064442520328186</v>
      </c>
      <c r="O12" s="5">
        <f t="shared" si="3"/>
        <v>1427</v>
      </c>
      <c r="P12" s="9">
        <f>P160</f>
        <v>98.269096005606173</v>
      </c>
      <c r="Q12" s="5">
        <f>SUM(Q154:Q159)</f>
        <v>1425</v>
      </c>
      <c r="R12" s="12">
        <f t="shared" si="2"/>
        <v>140230</v>
      </c>
    </row>
    <row r="13" spans="1:18" ht="31.5" customHeight="1" x14ac:dyDescent="0.25">
      <c r="A13" s="7">
        <v>3</v>
      </c>
      <c r="B13" s="8" t="s">
        <v>17</v>
      </c>
      <c r="C13" s="5">
        <f t="shared" ref="C13:P13" si="4">C226</f>
        <v>2420700</v>
      </c>
      <c r="D13" s="5">
        <f t="shared" si="4"/>
        <v>1748895</v>
      </c>
      <c r="E13" s="9">
        <f t="shared" si="4"/>
        <v>38.413112279467896</v>
      </c>
      <c r="F13" s="5">
        <f t="shared" si="4"/>
        <v>1642795</v>
      </c>
      <c r="G13" s="5">
        <f t="shared" si="4"/>
        <v>956237</v>
      </c>
      <c r="H13" s="5">
        <f t="shared" si="4"/>
        <v>71.79789110858502</v>
      </c>
      <c r="I13" s="5">
        <f t="shared" si="4"/>
        <v>2265108</v>
      </c>
      <c r="J13" s="5">
        <f t="shared" si="4"/>
        <v>1960619</v>
      </c>
      <c r="K13" s="9">
        <f t="shared" si="4"/>
        <v>15.53024835523884</v>
      </c>
      <c r="L13" s="5">
        <f t="shared" si="4"/>
        <v>1905647</v>
      </c>
      <c r="M13" s="5">
        <f t="shared" si="4"/>
        <v>1445348</v>
      </c>
      <c r="N13" s="9">
        <f t="shared" si="4"/>
        <v>31.846932365077464</v>
      </c>
      <c r="O13" s="5">
        <f t="shared" si="4"/>
        <v>608</v>
      </c>
      <c r="P13" s="5">
        <f t="shared" si="4"/>
        <v>142.45065789473685</v>
      </c>
      <c r="Q13" s="5">
        <f>Q226</f>
        <v>599</v>
      </c>
      <c r="R13" s="12">
        <f>R226</f>
        <v>86610</v>
      </c>
    </row>
    <row r="14" spans="1:18" ht="31.5" customHeight="1" x14ac:dyDescent="0.25">
      <c r="A14" s="7">
        <v>4</v>
      </c>
      <c r="B14" s="8" t="s">
        <v>18</v>
      </c>
      <c r="C14" s="5">
        <f>C54</f>
        <v>155601</v>
      </c>
      <c r="D14" s="10">
        <f>D54</f>
        <v>375428</v>
      </c>
      <c r="E14" s="11">
        <f t="shared" ref="E14:Q14" si="5">E54</f>
        <v>-58.553704039123353</v>
      </c>
      <c r="F14" s="10">
        <f t="shared" si="5"/>
        <v>74361</v>
      </c>
      <c r="G14" s="10">
        <f t="shared" si="5"/>
        <v>231567</v>
      </c>
      <c r="H14" s="11">
        <f t="shared" si="5"/>
        <v>-67.887911489979132</v>
      </c>
      <c r="I14" s="10">
        <f t="shared" si="5"/>
        <v>178196</v>
      </c>
      <c r="J14" s="10">
        <f t="shared" si="5"/>
        <v>384269</v>
      </c>
      <c r="K14" s="11">
        <f t="shared" si="5"/>
        <v>-53.627276725418909</v>
      </c>
      <c r="L14" s="10">
        <f t="shared" si="5"/>
        <v>30717</v>
      </c>
      <c r="M14" s="10">
        <f t="shared" si="5"/>
        <v>211251</v>
      </c>
      <c r="N14" s="11">
        <f t="shared" si="5"/>
        <v>-85.459477114901233</v>
      </c>
      <c r="O14" s="10">
        <f t="shared" si="5"/>
        <v>711</v>
      </c>
      <c r="P14" s="11">
        <f t="shared" si="5"/>
        <v>107.36708860759494</v>
      </c>
      <c r="Q14" s="5">
        <f t="shared" si="5"/>
        <v>750</v>
      </c>
      <c r="R14" s="12">
        <f t="shared" si="2"/>
        <v>76338</v>
      </c>
    </row>
    <row r="15" spans="1:18" ht="31.5" customHeight="1" x14ac:dyDescent="0.25">
      <c r="A15" s="7">
        <v>5</v>
      </c>
      <c r="B15" s="8" t="s">
        <v>19</v>
      </c>
      <c r="C15" s="5">
        <f t="shared" ref="C15:Q15" si="6">C66</f>
        <v>133697</v>
      </c>
      <c r="D15" s="10">
        <f t="shared" si="6"/>
        <v>124285</v>
      </c>
      <c r="E15" s="11">
        <f t="shared" si="6"/>
        <v>7.5729170857303814</v>
      </c>
      <c r="F15" s="10">
        <f t="shared" si="6"/>
        <v>95315</v>
      </c>
      <c r="G15" s="10">
        <f t="shared" si="6"/>
        <v>67740</v>
      </c>
      <c r="H15" s="11">
        <f t="shared" si="6"/>
        <v>40.707115441393569</v>
      </c>
      <c r="I15" s="10">
        <f t="shared" si="6"/>
        <v>104122</v>
      </c>
      <c r="J15" s="10">
        <f t="shared" si="6"/>
        <v>138269</v>
      </c>
      <c r="K15" s="11">
        <f t="shared" si="6"/>
        <v>-24.696063470481448</v>
      </c>
      <c r="L15" s="10">
        <f t="shared" si="6"/>
        <v>30275</v>
      </c>
      <c r="M15" s="10">
        <f t="shared" si="6"/>
        <v>71492</v>
      </c>
      <c r="N15" s="11">
        <f t="shared" si="6"/>
        <v>-57.652604487215356</v>
      </c>
      <c r="O15" s="10">
        <f t="shared" si="6"/>
        <v>550</v>
      </c>
      <c r="P15" s="11">
        <f t="shared" si="6"/>
        <v>86.938181818181818</v>
      </c>
      <c r="Q15" s="5">
        <f t="shared" si="6"/>
        <v>569</v>
      </c>
      <c r="R15" s="12">
        <f t="shared" si="2"/>
        <v>47816</v>
      </c>
    </row>
    <row r="16" spans="1:18" ht="31.5" customHeight="1" x14ac:dyDescent="0.25">
      <c r="A16" s="7">
        <v>6</v>
      </c>
      <c r="B16" s="8" t="s">
        <v>20</v>
      </c>
      <c r="C16" s="5">
        <f t="shared" ref="C16:Q16" si="7">C77</f>
        <v>133107</v>
      </c>
      <c r="D16" s="10">
        <f t="shared" si="7"/>
        <v>210128</v>
      </c>
      <c r="E16" s="11">
        <f t="shared" si="7"/>
        <v>-36.654324982867578</v>
      </c>
      <c r="F16" s="10">
        <f t="shared" si="7"/>
        <v>49750</v>
      </c>
      <c r="G16" s="10">
        <f t="shared" si="7"/>
        <v>104594</v>
      </c>
      <c r="H16" s="11">
        <f t="shared" si="7"/>
        <v>-52.435130122186742</v>
      </c>
      <c r="I16" s="10">
        <f t="shared" si="7"/>
        <v>131531</v>
      </c>
      <c r="J16" s="10">
        <f t="shared" si="7"/>
        <v>246471</v>
      </c>
      <c r="K16" s="11">
        <f t="shared" si="7"/>
        <v>-46.634289632451683</v>
      </c>
      <c r="L16" s="10">
        <f t="shared" si="7"/>
        <v>54457</v>
      </c>
      <c r="M16" s="10">
        <f t="shared" si="7"/>
        <v>121001</v>
      </c>
      <c r="N16" s="11">
        <f t="shared" si="7"/>
        <v>-54.994586821596513</v>
      </c>
      <c r="O16" s="10">
        <f t="shared" si="7"/>
        <v>461</v>
      </c>
      <c r="P16" s="11">
        <f t="shared" si="7"/>
        <v>106.5531453362256</v>
      </c>
      <c r="Q16" s="5">
        <f t="shared" si="7"/>
        <v>463</v>
      </c>
      <c r="R16" s="12">
        <f t="shared" si="2"/>
        <v>49121</v>
      </c>
    </row>
    <row r="17" spans="1:18" ht="31.5" customHeight="1" x14ac:dyDescent="0.25">
      <c r="A17" s="7">
        <v>7</v>
      </c>
      <c r="B17" s="8" t="s">
        <v>21</v>
      </c>
      <c r="C17" s="5">
        <f t="shared" ref="C17:Q17" si="8">C92</f>
        <v>937562</v>
      </c>
      <c r="D17" s="10">
        <f t="shared" si="8"/>
        <v>866175</v>
      </c>
      <c r="E17" s="11">
        <f t="shared" si="8"/>
        <v>8.2416370825756786</v>
      </c>
      <c r="F17" s="10">
        <f t="shared" si="8"/>
        <v>662930</v>
      </c>
      <c r="G17" s="10">
        <f t="shared" si="8"/>
        <v>475851</v>
      </c>
      <c r="H17" s="11">
        <f t="shared" si="8"/>
        <v>39.314617390737851</v>
      </c>
      <c r="I17" s="10">
        <f t="shared" si="8"/>
        <v>1128906</v>
      </c>
      <c r="J17" s="10">
        <f t="shared" si="8"/>
        <v>1333386</v>
      </c>
      <c r="K17" s="11">
        <f t="shared" si="8"/>
        <v>-15.335394251927042</v>
      </c>
      <c r="L17" s="10">
        <f t="shared" si="8"/>
        <v>370438</v>
      </c>
      <c r="M17" s="10">
        <f t="shared" si="8"/>
        <v>420413</v>
      </c>
      <c r="N17" s="11">
        <f t="shared" si="8"/>
        <v>-11.887120521962927</v>
      </c>
      <c r="O17" s="10">
        <f t="shared" si="8"/>
        <v>1233</v>
      </c>
      <c r="P17" s="11">
        <f t="shared" si="8"/>
        <v>139.75425790754258</v>
      </c>
      <c r="Q17" s="5">
        <f t="shared" si="8"/>
        <v>1235</v>
      </c>
      <c r="R17" s="12">
        <f t="shared" si="2"/>
        <v>172317</v>
      </c>
    </row>
    <row r="18" spans="1:18" ht="31.5" customHeight="1" x14ac:dyDescent="0.25">
      <c r="A18" s="7">
        <v>8</v>
      </c>
      <c r="B18" s="8" t="s">
        <v>22</v>
      </c>
      <c r="C18" s="5">
        <f t="shared" ref="C18:P18" si="9">C207</f>
        <v>22973740</v>
      </c>
      <c r="D18" s="5">
        <f t="shared" si="9"/>
        <v>26229603</v>
      </c>
      <c r="E18" s="9">
        <f t="shared" si="9"/>
        <v>-12.412932822505923</v>
      </c>
      <c r="F18" s="5">
        <f t="shared" si="9"/>
        <v>12450336</v>
      </c>
      <c r="G18" s="5">
        <f t="shared" si="9"/>
        <v>12592703</v>
      </c>
      <c r="H18" s="9">
        <f t="shared" si="9"/>
        <v>-1.1305515583111827</v>
      </c>
      <c r="I18" s="5">
        <f t="shared" si="9"/>
        <v>18664804</v>
      </c>
      <c r="J18" s="5">
        <f t="shared" si="9"/>
        <v>18705908</v>
      </c>
      <c r="K18" s="9">
        <f t="shared" si="9"/>
        <v>-0.21973806350378311</v>
      </c>
      <c r="L18" s="5">
        <f t="shared" si="9"/>
        <v>9819907</v>
      </c>
      <c r="M18" s="5">
        <f t="shared" si="9"/>
        <v>9216918</v>
      </c>
      <c r="N18" s="9">
        <f t="shared" si="9"/>
        <v>6.5421977281342976</v>
      </c>
      <c r="O18" s="5">
        <f t="shared" si="9"/>
        <v>9312</v>
      </c>
      <c r="P18" s="9">
        <f t="shared" si="9"/>
        <v>46.499785223367695</v>
      </c>
      <c r="Q18" s="5">
        <f>Q182+Q188+Q206</f>
        <v>7817</v>
      </c>
      <c r="R18" s="12">
        <f t="shared" si="2"/>
        <v>433006</v>
      </c>
    </row>
    <row r="19" spans="1:18" ht="31.5" customHeight="1" x14ac:dyDescent="0.25">
      <c r="A19" s="7">
        <v>9</v>
      </c>
      <c r="B19" s="8" t="s">
        <v>23</v>
      </c>
      <c r="C19" s="5">
        <f t="shared" ref="C19:Q19" si="10">C122</f>
        <v>647230</v>
      </c>
      <c r="D19" s="10">
        <f t="shared" si="10"/>
        <v>401920</v>
      </c>
      <c r="E19" s="11">
        <f t="shared" si="10"/>
        <v>61.034534235668787</v>
      </c>
      <c r="F19" s="10">
        <f t="shared" si="10"/>
        <v>334545</v>
      </c>
      <c r="G19" s="10">
        <f t="shared" si="10"/>
        <v>218457</v>
      </c>
      <c r="H19" s="11">
        <f t="shared" si="10"/>
        <v>53.139977203751755</v>
      </c>
      <c r="I19" s="10">
        <f t="shared" si="10"/>
        <v>621545</v>
      </c>
      <c r="J19" s="10">
        <f t="shared" si="10"/>
        <v>292462</v>
      </c>
      <c r="K19" s="11">
        <f t="shared" si="10"/>
        <v>112.52162674125182</v>
      </c>
      <c r="L19" s="10">
        <f t="shared" si="10"/>
        <v>459065</v>
      </c>
      <c r="M19" s="10">
        <f t="shared" si="10"/>
        <v>181093</v>
      </c>
      <c r="N19" s="11">
        <f t="shared" si="10"/>
        <v>153.49682207484551</v>
      </c>
      <c r="O19" s="10">
        <f t="shared" si="10"/>
        <v>2302</v>
      </c>
      <c r="P19" s="11">
        <f>P122</f>
        <v>73.835794960903556</v>
      </c>
      <c r="Q19" s="5">
        <f t="shared" si="10"/>
        <v>2372</v>
      </c>
      <c r="R19" s="12">
        <f t="shared" si="2"/>
        <v>169969.99999999997</v>
      </c>
    </row>
    <row r="20" spans="1:18" ht="31.5" customHeight="1" x14ac:dyDescent="0.25">
      <c r="A20" s="7">
        <v>10</v>
      </c>
      <c r="B20" s="8" t="s">
        <v>24</v>
      </c>
      <c r="C20" s="5">
        <f t="shared" ref="C20:Q20" si="11">C131</f>
        <v>29064</v>
      </c>
      <c r="D20" s="10">
        <f t="shared" si="11"/>
        <v>14434</v>
      </c>
      <c r="E20" s="11">
        <f t="shared" si="11"/>
        <v>101.35790494665375</v>
      </c>
      <c r="F20" s="10">
        <f t="shared" si="11"/>
        <v>19743</v>
      </c>
      <c r="G20" s="10">
        <f t="shared" si="11"/>
        <v>12062</v>
      </c>
      <c r="H20" s="11">
        <f>H131</f>
        <v>63.679323495274417</v>
      </c>
      <c r="I20" s="10">
        <f t="shared" si="11"/>
        <v>24239</v>
      </c>
      <c r="J20" s="10">
        <f t="shared" si="11"/>
        <v>18590</v>
      </c>
      <c r="K20" s="11">
        <f t="shared" si="11"/>
        <v>30.387305002689629</v>
      </c>
      <c r="L20" s="10">
        <f>L131</f>
        <v>0</v>
      </c>
      <c r="M20" s="10">
        <f t="shared" si="11"/>
        <v>0</v>
      </c>
      <c r="N20" s="11">
        <f t="shared" si="11"/>
        <v>0</v>
      </c>
      <c r="O20" s="10">
        <f t="shared" si="11"/>
        <v>104</v>
      </c>
      <c r="P20" s="11">
        <f>P131</f>
        <v>83.65384615384616</v>
      </c>
      <c r="Q20" s="5">
        <f t="shared" si="11"/>
        <v>102</v>
      </c>
      <c r="R20" s="12">
        <f t="shared" si="2"/>
        <v>8700</v>
      </c>
    </row>
    <row r="21" spans="1:18" ht="31.5" customHeight="1" x14ac:dyDescent="0.25">
      <c r="A21" s="7">
        <v>11</v>
      </c>
      <c r="B21" s="8" t="s">
        <v>25</v>
      </c>
      <c r="C21" s="5">
        <f t="shared" ref="C21:P21" si="12">C238</f>
        <v>142590.20000000001</v>
      </c>
      <c r="D21" s="10">
        <f t="shared" si="12"/>
        <v>128453.8</v>
      </c>
      <c r="E21" s="11">
        <f t="shared" si="12"/>
        <v>11.005046172242473</v>
      </c>
      <c r="F21" s="10">
        <f t="shared" si="12"/>
        <v>91664.2</v>
      </c>
      <c r="G21" s="10">
        <f t="shared" si="12"/>
        <v>76796.7</v>
      </c>
      <c r="H21" s="11">
        <f t="shared" si="12"/>
        <v>19.359555814247216</v>
      </c>
      <c r="I21" s="10">
        <f t="shared" si="12"/>
        <v>64120.2</v>
      </c>
      <c r="J21" s="10">
        <f t="shared" si="12"/>
        <v>30791</v>
      </c>
      <c r="K21" s="11">
        <f t="shared" si="12"/>
        <v>108.24331785261924</v>
      </c>
      <c r="L21" s="10">
        <f t="shared" si="12"/>
        <v>8040</v>
      </c>
      <c r="M21" s="10">
        <f t="shared" si="12"/>
        <v>1213</v>
      </c>
      <c r="N21" s="11">
        <f t="shared" si="12"/>
        <v>562.8194558944765</v>
      </c>
      <c r="O21" s="10">
        <f t="shared" si="12"/>
        <v>452</v>
      </c>
      <c r="P21" s="11">
        <f t="shared" si="12"/>
        <v>174.29358407079644</v>
      </c>
      <c r="Q21" s="5">
        <f>Q238</f>
        <v>449</v>
      </c>
      <c r="R21" s="12">
        <f t="shared" si="2"/>
        <v>78780.7</v>
      </c>
    </row>
    <row r="22" spans="1:18" ht="31.5" customHeight="1" x14ac:dyDescent="0.25">
      <c r="A22" s="7">
        <v>12</v>
      </c>
      <c r="B22" s="8" t="s">
        <v>26</v>
      </c>
      <c r="C22" s="5">
        <f t="shared" ref="C22:Q22" si="13">C243</f>
        <v>2443</v>
      </c>
      <c r="D22" s="10">
        <f t="shared" si="13"/>
        <v>37568</v>
      </c>
      <c r="E22" s="11">
        <f t="shared" si="13"/>
        <v>-93.497125212947196</v>
      </c>
      <c r="F22" s="10">
        <f t="shared" si="13"/>
        <v>992</v>
      </c>
      <c r="G22" s="10">
        <f t="shared" si="13"/>
        <v>34476</v>
      </c>
      <c r="H22" s="11">
        <f t="shared" si="13"/>
        <v>-97.122636036663181</v>
      </c>
      <c r="I22" s="10">
        <f t="shared" si="13"/>
        <v>5197</v>
      </c>
      <c r="J22" s="10">
        <f t="shared" si="13"/>
        <v>32199</v>
      </c>
      <c r="K22" s="11">
        <f t="shared" si="13"/>
        <v>-83.859747197117926</v>
      </c>
      <c r="L22" s="10">
        <f t="shared" si="13"/>
        <v>5197</v>
      </c>
      <c r="M22" s="10">
        <f t="shared" si="13"/>
        <v>32199</v>
      </c>
      <c r="N22" s="11">
        <f t="shared" si="13"/>
        <v>-83.859747197117926</v>
      </c>
      <c r="O22" s="10">
        <f t="shared" si="13"/>
        <v>212</v>
      </c>
      <c r="P22" s="11">
        <f t="shared" si="13"/>
        <v>63.433962264150942</v>
      </c>
      <c r="Q22" s="5">
        <f t="shared" si="13"/>
        <v>208</v>
      </c>
      <c r="R22" s="12">
        <f t="shared" si="2"/>
        <v>13448</v>
      </c>
    </row>
    <row r="23" spans="1:18" x14ac:dyDescent="0.25">
      <c r="A23" s="13"/>
      <c r="B23" s="14" t="s">
        <v>27</v>
      </c>
      <c r="C23" s="15">
        <f>SUM(C10:C22)</f>
        <v>80130979.200000003</v>
      </c>
      <c r="D23" s="15">
        <f>SUM(D10:D22)</f>
        <v>88866532.799999997</v>
      </c>
      <c r="E23" s="16">
        <f>C23/D23*100-100</f>
        <v>-9.8299700964590784</v>
      </c>
      <c r="F23" s="15">
        <f>SUM(F10:F22)</f>
        <v>40458668.200000003</v>
      </c>
      <c r="G23" s="15">
        <f>SUM(G10:G22)</f>
        <v>42833360.700000003</v>
      </c>
      <c r="H23" s="16">
        <f>F23/G23*100-100</f>
        <v>-5.5440256407431576</v>
      </c>
      <c r="I23" s="15">
        <f>SUM(I10:I22)</f>
        <v>73596776.200000003</v>
      </c>
      <c r="J23" s="15">
        <f>SUM(J10:J22)</f>
        <v>83442289</v>
      </c>
      <c r="K23" s="16">
        <f>I23/J23*100-100</f>
        <v>-11.799188298873247</v>
      </c>
      <c r="L23" s="15">
        <f>SUM(L10:L22)</f>
        <v>48870449</v>
      </c>
      <c r="M23" s="15">
        <f>SUM(M10:M22)</f>
        <v>56824788</v>
      </c>
      <c r="N23" s="16">
        <f>L23/M23*100-100</f>
        <v>-13.99800910827858</v>
      </c>
      <c r="O23" s="15">
        <f>SUM(O10:O22)</f>
        <v>27143</v>
      </c>
      <c r="P23" s="17">
        <f>R23/O23</f>
        <v>103.83508455218657</v>
      </c>
      <c r="Q23" s="15">
        <f>SUM(Q10:Q22)</f>
        <v>25735</v>
      </c>
      <c r="R23" s="18">
        <f>SUM(R10:R22)</f>
        <v>2818395.7</v>
      </c>
    </row>
    <row r="24" spans="1:18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9"/>
      <c r="Q24" s="19"/>
      <c r="R24" s="20"/>
    </row>
    <row r="25" spans="1:18" x14ac:dyDescent="0.25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2"/>
      <c r="R25" s="23"/>
    </row>
    <row r="26" spans="1:18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32.2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24" customHeight="1" x14ac:dyDescent="0.25">
      <c r="A29" s="943" t="s">
        <v>241</v>
      </c>
      <c r="B29" s="943"/>
      <c r="C29" s="943"/>
      <c r="D29" s="943"/>
      <c r="E29" s="943"/>
      <c r="F29" s="943"/>
      <c r="G29" s="943"/>
      <c r="H29" s="943"/>
      <c r="I29" s="943"/>
      <c r="J29" s="943"/>
      <c r="K29" s="943"/>
      <c r="L29" s="943"/>
      <c r="M29" s="943"/>
      <c r="N29" s="943"/>
      <c r="O29" s="943"/>
      <c r="P29" s="943"/>
      <c r="Q29" s="943"/>
      <c r="R29" s="24"/>
    </row>
    <row r="30" spans="1:18" x14ac:dyDescent="0.25">
      <c r="A30" s="943"/>
      <c r="B30" s="943"/>
      <c r="C30" s="943"/>
      <c r="D30" s="943"/>
      <c r="E30" s="943"/>
      <c r="F30" s="943"/>
      <c r="G30" s="943"/>
      <c r="H30" s="943"/>
      <c r="I30" s="943"/>
      <c r="J30" s="943"/>
      <c r="K30" s="943"/>
      <c r="L30" s="943"/>
      <c r="M30" s="943"/>
      <c r="N30" s="943"/>
      <c r="O30" s="943"/>
      <c r="P30" s="943"/>
      <c r="Q30" s="943"/>
      <c r="R30" s="24"/>
    </row>
    <row r="31" spans="1:18" ht="15.75" x14ac:dyDescent="0.25">
      <c r="A31" s="944"/>
      <c r="B31" s="944"/>
      <c r="C31" s="944"/>
      <c r="D31" s="944"/>
      <c r="E31" s="944"/>
      <c r="F31" s="944"/>
      <c r="G31" s="944"/>
      <c r="H31" s="944"/>
      <c r="I31" s="944"/>
      <c r="J31" s="944"/>
      <c r="K31" s="944"/>
      <c r="L31" s="944"/>
      <c r="M31" s="944"/>
      <c r="N31" s="944"/>
      <c r="O31" s="944"/>
      <c r="P31" s="944"/>
      <c r="Q31" s="944"/>
      <c r="R31" s="25"/>
    </row>
    <row r="32" spans="1:18" x14ac:dyDescent="0.25">
      <c r="A32" s="954" t="s">
        <v>1</v>
      </c>
      <c r="B32" s="921" t="s">
        <v>29</v>
      </c>
      <c r="C32" s="946" t="s">
        <v>3</v>
      </c>
      <c r="D32" s="947"/>
      <c r="E32" s="947"/>
      <c r="F32" s="947"/>
      <c r="G32" s="948"/>
      <c r="H32" s="946" t="s">
        <v>4</v>
      </c>
      <c r="I32" s="947"/>
      <c r="J32" s="947"/>
      <c r="K32" s="948"/>
      <c r="L32" s="173"/>
      <c r="M32" s="173" t="s">
        <v>5</v>
      </c>
      <c r="N32" s="27"/>
      <c r="O32" s="921" t="s">
        <v>30</v>
      </c>
      <c r="P32" s="945" t="s">
        <v>31</v>
      </c>
      <c r="Q32" s="921" t="s">
        <v>32</v>
      </c>
      <c r="R32" s="28"/>
    </row>
    <row r="33" spans="1:18" ht="65.25" customHeight="1" x14ac:dyDescent="0.25">
      <c r="A33" s="926"/>
      <c r="B33" s="922"/>
      <c r="C33" s="172" t="s">
        <v>9</v>
      </c>
      <c r="D33" s="172" t="s">
        <v>33</v>
      </c>
      <c r="E33" s="30" t="s">
        <v>11</v>
      </c>
      <c r="F33" s="172" t="s">
        <v>12</v>
      </c>
      <c r="G33" s="172" t="s">
        <v>34</v>
      </c>
      <c r="H33" s="30" t="s">
        <v>11</v>
      </c>
      <c r="I33" s="172" t="s">
        <v>13</v>
      </c>
      <c r="J33" s="172" t="s">
        <v>33</v>
      </c>
      <c r="K33" s="30" t="s">
        <v>11</v>
      </c>
      <c r="L33" s="172" t="s">
        <v>13</v>
      </c>
      <c r="M33" s="172" t="s">
        <v>33</v>
      </c>
      <c r="N33" s="30" t="s">
        <v>11</v>
      </c>
      <c r="O33" s="922"/>
      <c r="P33" s="923"/>
      <c r="Q33" s="922"/>
      <c r="R33" s="31"/>
    </row>
    <row r="34" spans="1:18" x14ac:dyDescent="0.25">
      <c r="A34" s="32"/>
      <c r="B34" s="33" t="s">
        <v>35</v>
      </c>
      <c r="C34" s="32"/>
      <c r="D34" s="32"/>
      <c r="E34" s="32"/>
      <c r="F34" s="32"/>
      <c r="G34" s="32"/>
      <c r="H34" s="32"/>
      <c r="I34" s="32"/>
      <c r="J34" s="32"/>
      <c r="K34" s="34"/>
      <c r="L34" s="32"/>
      <c r="M34" s="32"/>
      <c r="N34" s="32"/>
      <c r="O34" s="32"/>
      <c r="P34" s="35"/>
      <c r="Q34" s="35"/>
      <c r="R34" s="36"/>
    </row>
    <row r="35" spans="1:18" x14ac:dyDescent="0.25">
      <c r="A35" s="891" t="s">
        <v>36</v>
      </c>
      <c r="B35" s="892"/>
      <c r="C35" s="37">
        <v>3</v>
      </c>
      <c r="D35" s="37">
        <v>4</v>
      </c>
      <c r="E35" s="38">
        <v>5</v>
      </c>
      <c r="F35" s="37">
        <v>6</v>
      </c>
      <c r="G35" s="37">
        <v>7</v>
      </c>
      <c r="H35" s="37">
        <v>8</v>
      </c>
      <c r="I35" s="37">
        <v>9</v>
      </c>
      <c r="J35" s="37">
        <v>10</v>
      </c>
      <c r="K35" s="37">
        <v>11</v>
      </c>
      <c r="L35" s="37">
        <v>12</v>
      </c>
      <c r="M35" s="37">
        <v>13</v>
      </c>
      <c r="N35" s="37">
        <v>14</v>
      </c>
      <c r="O35" s="37">
        <v>15</v>
      </c>
      <c r="P35" s="38">
        <v>16</v>
      </c>
      <c r="Q35" s="37">
        <v>17</v>
      </c>
      <c r="R35" s="39"/>
    </row>
    <row r="36" spans="1:18" x14ac:dyDescent="0.25">
      <c r="A36" s="40">
        <v>1</v>
      </c>
      <c r="B36" s="41" t="s">
        <v>37</v>
      </c>
      <c r="C36" s="42">
        <v>12108</v>
      </c>
      <c r="D36" s="42">
        <v>16407</v>
      </c>
      <c r="E36" s="43">
        <f>C36/D36*100-100</f>
        <v>-26.202230755165473</v>
      </c>
      <c r="F36" s="42">
        <v>4403</v>
      </c>
      <c r="G36" s="42">
        <v>10702</v>
      </c>
      <c r="H36" s="43">
        <f>F36/G36*100-100</f>
        <v>-58.858157353765648</v>
      </c>
      <c r="I36" s="42">
        <v>2150</v>
      </c>
      <c r="J36" s="42">
        <v>16407</v>
      </c>
      <c r="K36" s="43">
        <f>I36/J36*100-100</f>
        <v>-86.895837142683007</v>
      </c>
      <c r="L36" s="42">
        <v>0</v>
      </c>
      <c r="M36" s="42">
        <v>0</v>
      </c>
      <c r="N36" s="43">
        <v>0</v>
      </c>
      <c r="O36" s="42">
        <v>72</v>
      </c>
      <c r="P36" s="42">
        <v>113</v>
      </c>
      <c r="Q36" s="42">
        <v>71</v>
      </c>
      <c r="R36" s="44">
        <f>O36*P36</f>
        <v>8136</v>
      </c>
    </row>
    <row r="37" spans="1:18" x14ac:dyDescent="0.25">
      <c r="A37" s="40">
        <v>2</v>
      </c>
      <c r="B37" s="41" t="s">
        <v>38</v>
      </c>
      <c r="C37" s="42">
        <v>18536</v>
      </c>
      <c r="D37" s="42">
        <v>16325</v>
      </c>
      <c r="E37" s="43">
        <f>C37/D37*100-100</f>
        <v>13.543644716692185</v>
      </c>
      <c r="F37" s="42">
        <v>6171</v>
      </c>
      <c r="G37" s="42">
        <v>16325</v>
      </c>
      <c r="H37" s="43">
        <f>F37/G37*100-100</f>
        <v>-62.199081163859113</v>
      </c>
      <c r="I37" s="42">
        <v>18536</v>
      </c>
      <c r="J37" s="42">
        <v>16325</v>
      </c>
      <c r="K37" s="43">
        <f>I37/J37*100-100</f>
        <v>13.543644716692185</v>
      </c>
      <c r="L37" s="42">
        <v>0</v>
      </c>
      <c r="M37" s="42">
        <v>8122</v>
      </c>
      <c r="N37" s="43">
        <v>0</v>
      </c>
      <c r="O37" s="45">
        <v>72</v>
      </c>
      <c r="P37" s="46">
        <v>204</v>
      </c>
      <c r="Q37" s="45">
        <v>71</v>
      </c>
      <c r="R37" s="44">
        <f t="shared" ref="R37:R53" si="14">O37*P37</f>
        <v>14688</v>
      </c>
    </row>
    <row r="38" spans="1:18" x14ac:dyDescent="0.25">
      <c r="A38" s="40">
        <v>3</v>
      </c>
      <c r="B38" s="41" t="s">
        <v>39</v>
      </c>
      <c r="C38" s="42">
        <v>0</v>
      </c>
      <c r="D38" s="42">
        <v>12100</v>
      </c>
      <c r="E38" s="43">
        <f t="shared" ref="E38:E53" si="15">C38/D38*100-100</f>
        <v>-100</v>
      </c>
      <c r="F38" s="42">
        <v>0</v>
      </c>
      <c r="G38" s="42">
        <v>5487</v>
      </c>
      <c r="H38" s="43">
        <f t="shared" ref="H38:H54" si="16">F38/G38*100-100</f>
        <v>-100</v>
      </c>
      <c r="I38" s="42">
        <v>0</v>
      </c>
      <c r="J38" s="42">
        <v>10429</v>
      </c>
      <c r="K38" s="43">
        <f t="shared" ref="K38:K54" si="17">I38/J38*100-100</f>
        <v>-100</v>
      </c>
      <c r="L38" s="42">
        <v>0</v>
      </c>
      <c r="M38" s="42">
        <v>0</v>
      </c>
      <c r="N38" s="43">
        <v>0</v>
      </c>
      <c r="O38" s="45">
        <v>21</v>
      </c>
      <c r="P38" s="46">
        <v>90</v>
      </c>
      <c r="Q38" s="45">
        <v>21</v>
      </c>
      <c r="R38" s="44">
        <f t="shared" si="14"/>
        <v>1890</v>
      </c>
    </row>
    <row r="39" spans="1:18" x14ac:dyDescent="0.25">
      <c r="A39" s="40">
        <v>4</v>
      </c>
      <c r="B39" s="41" t="s">
        <v>40</v>
      </c>
      <c r="C39" s="42">
        <v>0</v>
      </c>
      <c r="D39" s="42">
        <v>5030</v>
      </c>
      <c r="E39" s="43">
        <f t="shared" si="15"/>
        <v>-100</v>
      </c>
      <c r="F39" s="42">
        <v>0</v>
      </c>
      <c r="G39" s="42">
        <v>2380</v>
      </c>
      <c r="H39" s="43">
        <f t="shared" si="16"/>
        <v>-100</v>
      </c>
      <c r="I39" s="42">
        <v>0</v>
      </c>
      <c r="J39" s="42">
        <v>5312</v>
      </c>
      <c r="K39" s="43">
        <f t="shared" si="17"/>
        <v>-100</v>
      </c>
      <c r="L39" s="42">
        <v>0</v>
      </c>
      <c r="M39" s="42">
        <v>5312</v>
      </c>
      <c r="N39" s="43">
        <v>0</v>
      </c>
      <c r="O39" s="45">
        <v>19</v>
      </c>
      <c r="P39" s="46">
        <v>60</v>
      </c>
      <c r="Q39" s="45">
        <v>21</v>
      </c>
      <c r="R39" s="44">
        <f t="shared" si="14"/>
        <v>1140</v>
      </c>
    </row>
    <row r="40" spans="1:18" x14ac:dyDescent="0.25">
      <c r="A40" s="40">
        <v>5</v>
      </c>
      <c r="B40" s="41" t="s">
        <v>41</v>
      </c>
      <c r="C40" s="47">
        <v>4137</v>
      </c>
      <c r="D40" s="47">
        <v>679</v>
      </c>
      <c r="E40" s="43">
        <f t="shared" si="15"/>
        <v>509.2783505154639</v>
      </c>
      <c r="F40" s="47">
        <v>3626</v>
      </c>
      <c r="G40" s="47">
        <v>4103</v>
      </c>
      <c r="H40" s="43">
        <f t="shared" si="16"/>
        <v>-11.62563977577382</v>
      </c>
      <c r="I40" s="47">
        <v>4231</v>
      </c>
      <c r="J40" s="47">
        <v>9892</v>
      </c>
      <c r="K40" s="43">
        <f t="shared" si="17"/>
        <v>-57.228063081277803</v>
      </c>
      <c r="L40" s="47">
        <v>0</v>
      </c>
      <c r="M40" s="47">
        <v>1345</v>
      </c>
      <c r="N40" s="43">
        <f t="shared" ref="N40:N54" si="18">L40/M40*100-100</f>
        <v>-100</v>
      </c>
      <c r="O40" s="45">
        <v>54</v>
      </c>
      <c r="P40" s="46">
        <v>70</v>
      </c>
      <c r="Q40" s="45">
        <v>56</v>
      </c>
      <c r="R40" s="44">
        <f t="shared" si="14"/>
        <v>3780</v>
      </c>
    </row>
    <row r="41" spans="1:18" x14ac:dyDescent="0.25">
      <c r="A41" s="40">
        <v>6</v>
      </c>
      <c r="B41" s="41" t="s">
        <v>42</v>
      </c>
      <c r="C41" s="48">
        <v>8635</v>
      </c>
      <c r="D41" s="42">
        <v>15905</v>
      </c>
      <c r="E41" s="43">
        <f t="shared" si="15"/>
        <v>-45.708896573404587</v>
      </c>
      <c r="F41" s="42">
        <v>8635</v>
      </c>
      <c r="G41" s="42">
        <v>15905</v>
      </c>
      <c r="H41" s="43">
        <f t="shared" si="16"/>
        <v>-45.708896573404587</v>
      </c>
      <c r="I41" s="42">
        <v>10305</v>
      </c>
      <c r="J41" s="42">
        <v>14922</v>
      </c>
      <c r="K41" s="43">
        <f t="shared" si="17"/>
        <v>-30.940892641737022</v>
      </c>
      <c r="L41" s="42">
        <v>0</v>
      </c>
      <c r="M41" s="42">
        <v>0</v>
      </c>
      <c r="N41" s="43">
        <v>0</v>
      </c>
      <c r="O41" s="45">
        <v>65</v>
      </c>
      <c r="P41" s="46">
        <v>100</v>
      </c>
      <c r="Q41" s="45">
        <v>65</v>
      </c>
      <c r="R41" s="44">
        <f t="shared" si="14"/>
        <v>6500</v>
      </c>
    </row>
    <row r="42" spans="1:18" x14ac:dyDescent="0.25">
      <c r="A42" s="40">
        <v>7</v>
      </c>
      <c r="B42" s="41" t="s">
        <v>43</v>
      </c>
      <c r="C42" s="42">
        <v>0</v>
      </c>
      <c r="D42" s="42">
        <v>0</v>
      </c>
      <c r="E42" s="43">
        <v>0</v>
      </c>
      <c r="F42" s="42">
        <v>0</v>
      </c>
      <c r="G42" s="42">
        <v>0</v>
      </c>
      <c r="H42" s="43">
        <v>0</v>
      </c>
      <c r="I42" s="42">
        <v>0</v>
      </c>
      <c r="J42" s="42">
        <v>0</v>
      </c>
      <c r="K42" s="43">
        <v>0</v>
      </c>
      <c r="L42" s="42">
        <v>0</v>
      </c>
      <c r="M42" s="42">
        <v>0</v>
      </c>
      <c r="N42" s="43">
        <v>0</v>
      </c>
      <c r="O42" s="45">
        <v>0</v>
      </c>
      <c r="P42" s="46">
        <v>0</v>
      </c>
      <c r="Q42" s="45">
        <v>0</v>
      </c>
      <c r="R42" s="44">
        <f t="shared" si="14"/>
        <v>0</v>
      </c>
    </row>
    <row r="43" spans="1:18" x14ac:dyDescent="0.25">
      <c r="A43" s="40">
        <v>8</v>
      </c>
      <c r="B43" s="41" t="s">
        <v>44</v>
      </c>
      <c r="C43" s="47">
        <v>22641</v>
      </c>
      <c r="D43" s="47">
        <v>26102</v>
      </c>
      <c r="E43" s="43">
        <f t="shared" si="15"/>
        <v>-13.259520343268719</v>
      </c>
      <c r="F43" s="47">
        <v>5979</v>
      </c>
      <c r="G43" s="47">
        <v>13719</v>
      </c>
      <c r="H43" s="43">
        <f t="shared" si="16"/>
        <v>-56.418106275967638</v>
      </c>
      <c r="I43" s="47">
        <v>22878</v>
      </c>
      <c r="J43" s="47">
        <v>20735</v>
      </c>
      <c r="K43" s="43">
        <f t="shared" si="17"/>
        <v>10.335182059319976</v>
      </c>
      <c r="L43" s="42">
        <v>0</v>
      </c>
      <c r="M43" s="42">
        <v>0</v>
      </c>
      <c r="N43" s="43">
        <v>0</v>
      </c>
      <c r="O43" s="45">
        <v>43</v>
      </c>
      <c r="P43" s="46">
        <v>86</v>
      </c>
      <c r="Q43" s="45">
        <v>42</v>
      </c>
      <c r="R43" s="44">
        <f t="shared" si="14"/>
        <v>3698</v>
      </c>
    </row>
    <row r="44" spans="1:18" x14ac:dyDescent="0.25">
      <c r="A44" s="40">
        <v>9</v>
      </c>
      <c r="B44" s="41" t="s">
        <v>45</v>
      </c>
      <c r="C44" s="49">
        <v>19721</v>
      </c>
      <c r="D44" s="42">
        <v>17401</v>
      </c>
      <c r="E44" s="43">
        <f t="shared" si="15"/>
        <v>13.332567093845185</v>
      </c>
      <c r="F44" s="49">
        <v>11850</v>
      </c>
      <c r="G44" s="42">
        <v>10647</v>
      </c>
      <c r="H44" s="43">
        <f t="shared" si="16"/>
        <v>11.298957452803606</v>
      </c>
      <c r="I44" s="42">
        <v>9243</v>
      </c>
      <c r="J44" s="42">
        <v>13900</v>
      </c>
      <c r="K44" s="43">
        <f t="shared" si="17"/>
        <v>-33.503597122302153</v>
      </c>
      <c r="L44" s="42">
        <v>0</v>
      </c>
      <c r="M44" s="42">
        <v>0</v>
      </c>
      <c r="N44" s="43">
        <v>0</v>
      </c>
      <c r="O44" s="45">
        <v>58</v>
      </c>
      <c r="P44" s="46">
        <v>90</v>
      </c>
      <c r="Q44" s="45">
        <v>56</v>
      </c>
      <c r="R44" s="44">
        <f t="shared" si="14"/>
        <v>5220</v>
      </c>
    </row>
    <row r="45" spans="1:18" x14ac:dyDescent="0.25">
      <c r="A45" s="50">
        <v>10</v>
      </c>
      <c r="B45" s="41" t="s">
        <v>46</v>
      </c>
      <c r="C45" s="49">
        <v>12348</v>
      </c>
      <c r="D45" s="42">
        <v>82682</v>
      </c>
      <c r="E45" s="43">
        <f t="shared" si="15"/>
        <v>-85.065673302532588</v>
      </c>
      <c r="F45" s="49">
        <v>12348</v>
      </c>
      <c r="G45" s="42">
        <v>82682</v>
      </c>
      <c r="H45" s="43">
        <f t="shared" si="16"/>
        <v>-85.065673302532588</v>
      </c>
      <c r="I45" s="42">
        <v>17</v>
      </c>
      <c r="J45" s="42">
        <v>101859</v>
      </c>
      <c r="K45" s="43">
        <f t="shared" si="17"/>
        <v>-99.983310262225231</v>
      </c>
      <c r="L45" s="42">
        <v>0</v>
      </c>
      <c r="M45" s="42">
        <v>101111</v>
      </c>
      <c r="N45" s="43">
        <f t="shared" si="18"/>
        <v>-100</v>
      </c>
      <c r="O45" s="45">
        <v>23</v>
      </c>
      <c r="P45" s="46">
        <v>84</v>
      </c>
      <c r="Q45" s="45">
        <v>23</v>
      </c>
      <c r="R45" s="44">
        <f t="shared" si="14"/>
        <v>1932</v>
      </c>
    </row>
    <row r="46" spans="1:18" x14ac:dyDescent="0.25">
      <c r="A46" s="40">
        <v>11</v>
      </c>
      <c r="B46" s="41" t="s">
        <v>47</v>
      </c>
      <c r="C46" s="49">
        <v>0</v>
      </c>
      <c r="D46" s="42">
        <v>0</v>
      </c>
      <c r="E46" s="43"/>
      <c r="F46" s="42">
        <v>0</v>
      </c>
      <c r="G46" s="42">
        <v>0</v>
      </c>
      <c r="H46" s="43">
        <v>0</v>
      </c>
      <c r="I46" s="42">
        <v>5769</v>
      </c>
      <c r="J46" s="42">
        <v>0</v>
      </c>
      <c r="K46" s="43">
        <v>0</v>
      </c>
      <c r="L46" s="49">
        <v>5769</v>
      </c>
      <c r="M46" s="42">
        <v>0</v>
      </c>
      <c r="N46" s="43">
        <v>0</v>
      </c>
      <c r="O46" s="45">
        <v>23</v>
      </c>
      <c r="P46" s="46">
        <v>80</v>
      </c>
      <c r="Q46" s="45">
        <v>23</v>
      </c>
      <c r="R46" s="44">
        <f t="shared" si="14"/>
        <v>1840</v>
      </c>
    </row>
    <row r="47" spans="1:18" x14ac:dyDescent="0.25">
      <c r="A47" s="40">
        <v>12</v>
      </c>
      <c r="B47" s="41" t="s">
        <v>48</v>
      </c>
      <c r="C47" s="42">
        <v>2550</v>
      </c>
      <c r="D47" s="42">
        <v>15519</v>
      </c>
      <c r="E47" s="43">
        <f t="shared" si="15"/>
        <v>-83.568528900057998</v>
      </c>
      <c r="F47" s="51">
        <v>2550</v>
      </c>
      <c r="G47" s="51">
        <v>6064</v>
      </c>
      <c r="H47" s="43">
        <f t="shared" ref="H47" si="19">F47/G47*100-100</f>
        <v>-57.94854881266491</v>
      </c>
      <c r="I47" s="51">
        <v>0</v>
      </c>
      <c r="J47" s="51">
        <v>12035</v>
      </c>
      <c r="K47" s="43">
        <f t="shared" ref="K47" si="20">I47/J47*100-100</f>
        <v>-100</v>
      </c>
      <c r="L47" s="52">
        <v>0</v>
      </c>
      <c r="M47" s="51">
        <v>10635</v>
      </c>
      <c r="N47" s="43">
        <f t="shared" ref="N47" si="21">L47/M47*100-100</f>
        <v>-100</v>
      </c>
      <c r="O47" s="45">
        <v>23</v>
      </c>
      <c r="P47" s="46">
        <v>151</v>
      </c>
      <c r="Q47" s="45">
        <v>23</v>
      </c>
      <c r="R47" s="44">
        <f t="shared" si="14"/>
        <v>3473</v>
      </c>
    </row>
    <row r="48" spans="1:18" x14ac:dyDescent="0.25">
      <c r="A48" s="40">
        <v>13</v>
      </c>
      <c r="B48" s="41" t="s">
        <v>49</v>
      </c>
      <c r="C48" s="48">
        <v>26780</v>
      </c>
      <c r="D48" s="48">
        <v>63648</v>
      </c>
      <c r="E48" s="43">
        <f t="shared" si="15"/>
        <v>-57.924836601307192</v>
      </c>
      <c r="F48" s="48">
        <v>16895</v>
      </c>
      <c r="G48" s="48">
        <v>30731</v>
      </c>
      <c r="H48" s="43">
        <f t="shared" si="16"/>
        <v>-45.022941004197712</v>
      </c>
      <c r="I48" s="42">
        <v>30367</v>
      </c>
      <c r="J48" s="42">
        <v>61032</v>
      </c>
      <c r="K48" s="43">
        <f t="shared" si="17"/>
        <v>-50.244134224669025</v>
      </c>
      <c r="L48" s="48">
        <v>0</v>
      </c>
      <c r="M48" s="48">
        <v>0</v>
      </c>
      <c r="N48" s="43">
        <v>0</v>
      </c>
      <c r="O48" s="45">
        <v>33</v>
      </c>
      <c r="P48" s="46">
        <v>150</v>
      </c>
      <c r="Q48" s="45">
        <v>66</v>
      </c>
      <c r="R48" s="44">
        <f t="shared" si="14"/>
        <v>4950</v>
      </c>
    </row>
    <row r="49" spans="1:18" x14ac:dyDescent="0.25">
      <c r="A49" s="40">
        <v>14</v>
      </c>
      <c r="B49" s="41" t="s">
        <v>50</v>
      </c>
      <c r="C49" s="45">
        <v>3654</v>
      </c>
      <c r="D49" s="45">
        <v>4926</v>
      </c>
      <c r="E49" s="43">
        <f t="shared" si="15"/>
        <v>-25.822168087697932</v>
      </c>
      <c r="F49" s="45">
        <v>1904</v>
      </c>
      <c r="G49" s="45">
        <v>1946</v>
      </c>
      <c r="H49" s="43">
        <f t="shared" si="16"/>
        <v>-2.1582733812949613</v>
      </c>
      <c r="I49" s="45">
        <v>2500</v>
      </c>
      <c r="J49" s="45">
        <v>2717</v>
      </c>
      <c r="K49" s="43">
        <f t="shared" si="17"/>
        <v>-7.9867500920132528</v>
      </c>
      <c r="L49" s="45">
        <v>0</v>
      </c>
      <c r="M49" s="45">
        <v>1576</v>
      </c>
      <c r="N49" s="43">
        <v>0</v>
      </c>
      <c r="O49" s="45">
        <v>14</v>
      </c>
      <c r="P49" s="46">
        <v>80</v>
      </c>
      <c r="Q49" s="45">
        <v>15</v>
      </c>
      <c r="R49" s="44">
        <f t="shared" si="14"/>
        <v>1120</v>
      </c>
    </row>
    <row r="50" spans="1:18" x14ac:dyDescent="0.25">
      <c r="A50" s="40">
        <v>15</v>
      </c>
      <c r="B50" s="41" t="s">
        <v>51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3">
        <v>0</v>
      </c>
      <c r="I50" s="45">
        <v>36615</v>
      </c>
      <c r="J50" s="45">
        <v>0</v>
      </c>
      <c r="K50" s="45">
        <v>0</v>
      </c>
      <c r="L50" s="45">
        <v>24948</v>
      </c>
      <c r="M50" s="45">
        <v>0</v>
      </c>
      <c r="N50" s="43">
        <v>0</v>
      </c>
      <c r="O50" s="45">
        <v>60</v>
      </c>
      <c r="P50" s="46">
        <v>126</v>
      </c>
      <c r="Q50" s="45">
        <v>58</v>
      </c>
      <c r="R50" s="44">
        <f t="shared" si="14"/>
        <v>7560</v>
      </c>
    </row>
    <row r="51" spans="1:18" x14ac:dyDescent="0.25">
      <c r="A51" s="40">
        <v>16</v>
      </c>
      <c r="B51" s="41" t="s">
        <v>52</v>
      </c>
      <c r="C51" s="42">
        <v>0</v>
      </c>
      <c r="D51" s="53">
        <v>0</v>
      </c>
      <c r="E51" s="43">
        <v>0</v>
      </c>
      <c r="F51" s="42">
        <v>0</v>
      </c>
      <c r="G51" s="42">
        <v>0</v>
      </c>
      <c r="H51" s="43">
        <v>0</v>
      </c>
      <c r="I51" s="42">
        <v>0</v>
      </c>
      <c r="J51" s="42">
        <v>0</v>
      </c>
      <c r="K51" s="43">
        <v>0</v>
      </c>
      <c r="L51" s="42">
        <v>0</v>
      </c>
      <c r="M51" s="42">
        <v>0</v>
      </c>
      <c r="N51" s="43">
        <v>0</v>
      </c>
      <c r="O51" s="45">
        <v>17</v>
      </c>
      <c r="P51" s="46">
        <v>45</v>
      </c>
      <c r="Q51" s="45">
        <v>17</v>
      </c>
      <c r="R51" s="44">
        <f t="shared" si="14"/>
        <v>765</v>
      </c>
    </row>
    <row r="52" spans="1:18" x14ac:dyDescent="0.25">
      <c r="A52" s="40">
        <v>17</v>
      </c>
      <c r="B52" s="41" t="s">
        <v>53</v>
      </c>
      <c r="C52" s="45">
        <v>0</v>
      </c>
      <c r="D52" s="45">
        <v>9370</v>
      </c>
      <c r="E52" s="43">
        <f t="shared" si="15"/>
        <v>-100</v>
      </c>
      <c r="F52" s="45">
        <v>0</v>
      </c>
      <c r="G52" s="45">
        <v>0</v>
      </c>
      <c r="H52" s="43">
        <v>0</v>
      </c>
      <c r="I52" s="45">
        <v>0</v>
      </c>
      <c r="J52" s="45">
        <v>9370</v>
      </c>
      <c r="K52" s="54">
        <v>0</v>
      </c>
      <c r="L52" s="45">
        <v>0</v>
      </c>
      <c r="M52" s="45">
        <v>0</v>
      </c>
      <c r="N52" s="43">
        <v>0</v>
      </c>
      <c r="O52" s="45">
        <v>2</v>
      </c>
      <c r="P52" s="46">
        <v>63</v>
      </c>
      <c r="Q52" s="45">
        <v>2</v>
      </c>
      <c r="R52" s="44">
        <f t="shared" si="14"/>
        <v>126</v>
      </c>
    </row>
    <row r="53" spans="1:18" x14ac:dyDescent="0.25">
      <c r="A53" s="40">
        <v>18</v>
      </c>
      <c r="B53" s="55" t="s">
        <v>54</v>
      </c>
      <c r="C53" s="45">
        <v>24491</v>
      </c>
      <c r="D53" s="45">
        <v>89334</v>
      </c>
      <c r="E53" s="43">
        <f t="shared" si="15"/>
        <v>-72.584906082790425</v>
      </c>
      <c r="F53" s="45">
        <v>0</v>
      </c>
      <c r="G53" s="45">
        <v>30876</v>
      </c>
      <c r="H53" s="43">
        <v>0</v>
      </c>
      <c r="I53" s="45">
        <v>35585</v>
      </c>
      <c r="J53" s="45">
        <v>89334</v>
      </c>
      <c r="K53" s="43">
        <v>0</v>
      </c>
      <c r="L53" s="45">
        <v>0</v>
      </c>
      <c r="M53" s="45">
        <f>78275+4875</f>
        <v>83150</v>
      </c>
      <c r="N53" s="43">
        <v>0</v>
      </c>
      <c r="O53" s="45">
        <v>112</v>
      </c>
      <c r="P53" s="46">
        <v>85</v>
      </c>
      <c r="Q53" s="45">
        <v>120</v>
      </c>
      <c r="R53" s="44">
        <f t="shared" si="14"/>
        <v>9520</v>
      </c>
    </row>
    <row r="54" spans="1:18" x14ac:dyDescent="0.25">
      <c r="A54" s="893" t="s">
        <v>55</v>
      </c>
      <c r="B54" s="894"/>
      <c r="C54" s="56">
        <f>SUM(C36:C53)</f>
        <v>155601</v>
      </c>
      <c r="D54" s="56">
        <f>SUM(D36:D53)</f>
        <v>375428</v>
      </c>
      <c r="E54" s="57">
        <f>C54/D54*100-100</f>
        <v>-58.553704039123353</v>
      </c>
      <c r="F54" s="56">
        <f>SUM(F36:F53)</f>
        <v>74361</v>
      </c>
      <c r="G54" s="56">
        <f>SUM(G36:G53)</f>
        <v>231567</v>
      </c>
      <c r="H54" s="57">
        <f t="shared" si="16"/>
        <v>-67.887911489979132</v>
      </c>
      <c r="I54" s="56">
        <f>SUM(I36:I53)</f>
        <v>178196</v>
      </c>
      <c r="J54" s="56">
        <f>SUM(J36:J53)</f>
        <v>384269</v>
      </c>
      <c r="K54" s="57">
        <f t="shared" si="17"/>
        <v>-53.627276725418909</v>
      </c>
      <c r="L54" s="56">
        <f>SUM(L36:L53)</f>
        <v>30717</v>
      </c>
      <c r="M54" s="56">
        <f>SUM(M36:M53)</f>
        <v>211251</v>
      </c>
      <c r="N54" s="57">
        <f t="shared" si="18"/>
        <v>-85.459477114901233</v>
      </c>
      <c r="O54" s="56">
        <f>SUM(O36:O53)</f>
        <v>711</v>
      </c>
      <c r="P54" s="58">
        <f>R54/O54</f>
        <v>107.36708860759494</v>
      </c>
      <c r="Q54" s="56">
        <f>SUM(Q36:Q53)</f>
        <v>750</v>
      </c>
      <c r="R54" s="56">
        <f>SUM(R36:R53)</f>
        <v>76338</v>
      </c>
    </row>
    <row r="55" spans="1:18" ht="10.5" customHeight="1" x14ac:dyDescent="0.2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45"/>
      <c r="R55" s="71"/>
    </row>
    <row r="56" spans="1:18" x14ac:dyDescent="0.25">
      <c r="A56" s="891" t="s">
        <v>56</v>
      </c>
      <c r="B56" s="892"/>
      <c r="C56" s="37">
        <v>3</v>
      </c>
      <c r="D56" s="37">
        <v>4</v>
      </c>
      <c r="E56" s="38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38">
        <v>16</v>
      </c>
      <c r="Q56" s="37">
        <v>15</v>
      </c>
      <c r="R56" s="39"/>
    </row>
    <row r="57" spans="1:18" x14ac:dyDescent="0.25">
      <c r="A57" s="46">
        <v>1</v>
      </c>
      <c r="B57" s="55" t="s">
        <v>57</v>
      </c>
      <c r="C57" s="61">
        <v>32069</v>
      </c>
      <c r="D57" s="62">
        <v>42817</v>
      </c>
      <c r="E57" s="43">
        <f t="shared" ref="E57:E66" si="22">C57/D57*100-100</f>
        <v>-25.1021790410351</v>
      </c>
      <c r="F57" s="62">
        <v>32069</v>
      </c>
      <c r="G57" s="54">
        <v>21984</v>
      </c>
      <c r="H57" s="54">
        <f t="shared" ref="H57:H66" si="23">F57/G57*100-100</f>
        <v>45.874272197962171</v>
      </c>
      <c r="I57" s="62">
        <v>0</v>
      </c>
      <c r="J57" s="62">
        <v>50030</v>
      </c>
      <c r="K57" s="43">
        <f t="shared" ref="K57:K66" si="24">I57/J57*100-100</f>
        <v>-100</v>
      </c>
      <c r="L57" s="62">
        <v>0</v>
      </c>
      <c r="M57" s="62">
        <v>49781</v>
      </c>
      <c r="N57" s="43">
        <f t="shared" ref="N57:N66" si="25">L57/M57*100-100</f>
        <v>-100</v>
      </c>
      <c r="O57" s="54">
        <v>146</v>
      </c>
      <c r="P57" s="62">
        <v>86</v>
      </c>
      <c r="Q57" s="54">
        <v>158</v>
      </c>
      <c r="R57" s="44">
        <f>O57*P57</f>
        <v>12556</v>
      </c>
    </row>
    <row r="58" spans="1:18" x14ac:dyDescent="0.25">
      <c r="A58" s="63">
        <v>2</v>
      </c>
      <c r="B58" s="55" t="s">
        <v>58</v>
      </c>
      <c r="C58" s="42">
        <v>10793</v>
      </c>
      <c r="D58" s="42">
        <v>611</v>
      </c>
      <c r="E58" s="43">
        <f t="shared" si="22"/>
        <v>1666.4484451718495</v>
      </c>
      <c r="F58" s="54">
        <v>5870</v>
      </c>
      <c r="G58" s="54">
        <v>376</v>
      </c>
      <c r="H58" s="54">
        <f t="shared" si="23"/>
        <v>1461.1702127659576</v>
      </c>
      <c r="I58" s="54">
        <v>12064</v>
      </c>
      <c r="J58" s="54">
        <v>373</v>
      </c>
      <c r="K58" s="43">
        <f t="shared" si="24"/>
        <v>3134.3163538873996</v>
      </c>
      <c r="L58" s="54">
        <v>0</v>
      </c>
      <c r="M58" s="54">
        <v>0</v>
      </c>
      <c r="N58" s="43">
        <v>0</v>
      </c>
      <c r="O58" s="54">
        <v>101</v>
      </c>
      <c r="P58" s="54">
        <v>105</v>
      </c>
      <c r="Q58" s="54">
        <v>101</v>
      </c>
      <c r="R58" s="44">
        <f t="shared" ref="R58:R65" si="26">O58*P58</f>
        <v>10605</v>
      </c>
    </row>
    <row r="59" spans="1:18" x14ac:dyDescent="0.25">
      <c r="A59" s="63">
        <v>3</v>
      </c>
      <c r="B59" s="55" t="s">
        <v>59</v>
      </c>
      <c r="C59" s="54">
        <v>31503</v>
      </c>
      <c r="D59" s="54">
        <v>27447</v>
      </c>
      <c r="E59" s="43">
        <f t="shared" si="22"/>
        <v>14.777571319269867</v>
      </c>
      <c r="F59" s="54">
        <v>20499</v>
      </c>
      <c r="G59" s="54">
        <v>15511</v>
      </c>
      <c r="H59" s="43">
        <f t="shared" si="23"/>
        <v>32.157823480110892</v>
      </c>
      <c r="I59" s="54">
        <v>31503</v>
      </c>
      <c r="J59" s="54">
        <v>27447</v>
      </c>
      <c r="K59" s="43">
        <f t="shared" si="24"/>
        <v>14.777571319269867</v>
      </c>
      <c r="L59" s="54">
        <v>0</v>
      </c>
      <c r="M59" s="54">
        <v>0</v>
      </c>
      <c r="N59" s="43">
        <v>0</v>
      </c>
      <c r="O59" s="54">
        <v>108</v>
      </c>
      <c r="P59" s="54">
        <v>89</v>
      </c>
      <c r="Q59" s="54">
        <v>111</v>
      </c>
      <c r="R59" s="44">
        <f t="shared" si="26"/>
        <v>9612</v>
      </c>
    </row>
    <row r="60" spans="1:18" x14ac:dyDescent="0.25">
      <c r="A60" s="46">
        <v>4</v>
      </c>
      <c r="B60" s="55" t="s">
        <v>60</v>
      </c>
      <c r="C60" s="54">
        <v>30227</v>
      </c>
      <c r="D60" s="54">
        <v>39035</v>
      </c>
      <c r="E60" s="43">
        <f t="shared" si="22"/>
        <v>-22.564365313180474</v>
      </c>
      <c r="F60" s="54">
        <v>18562</v>
      </c>
      <c r="G60" s="54">
        <v>19394</v>
      </c>
      <c r="H60" s="43">
        <f t="shared" si="23"/>
        <v>-4.2899865937918946</v>
      </c>
      <c r="I60" s="47">
        <v>30227</v>
      </c>
      <c r="J60" s="47">
        <v>38708</v>
      </c>
      <c r="K60" s="43">
        <f t="shared" si="24"/>
        <v>-21.91019944197582</v>
      </c>
      <c r="L60" s="54">
        <v>0</v>
      </c>
      <c r="M60" s="54">
        <v>0</v>
      </c>
      <c r="N60" s="43">
        <v>0</v>
      </c>
      <c r="O60" s="54">
        <v>67</v>
      </c>
      <c r="P60" s="54">
        <v>124</v>
      </c>
      <c r="Q60" s="54">
        <v>67</v>
      </c>
      <c r="R60" s="44">
        <f t="shared" si="26"/>
        <v>8308</v>
      </c>
    </row>
    <row r="61" spans="1:18" x14ac:dyDescent="0.25">
      <c r="A61" s="63">
        <v>5</v>
      </c>
      <c r="B61" s="55" t="s">
        <v>61</v>
      </c>
      <c r="C61" s="42">
        <v>0</v>
      </c>
      <c r="D61" s="42">
        <v>0</v>
      </c>
      <c r="E61" s="43">
        <v>0</v>
      </c>
      <c r="F61" s="42">
        <v>0</v>
      </c>
      <c r="G61" s="42">
        <v>0</v>
      </c>
      <c r="H61" s="43">
        <v>0</v>
      </c>
      <c r="I61" s="42">
        <v>0</v>
      </c>
      <c r="J61" s="42">
        <v>0</v>
      </c>
      <c r="K61" s="43">
        <v>0</v>
      </c>
      <c r="L61" s="42">
        <v>0</v>
      </c>
      <c r="M61" s="42">
        <v>0</v>
      </c>
      <c r="N61" s="43">
        <v>0</v>
      </c>
      <c r="O61" s="45">
        <v>35</v>
      </c>
      <c r="P61" s="46">
        <v>0</v>
      </c>
      <c r="Q61" s="45">
        <v>35</v>
      </c>
      <c r="R61" s="44">
        <f t="shared" si="26"/>
        <v>0</v>
      </c>
    </row>
    <row r="62" spans="1:18" x14ac:dyDescent="0.25">
      <c r="A62" s="63">
        <v>6</v>
      </c>
      <c r="B62" s="55" t="s">
        <v>62</v>
      </c>
      <c r="C62" s="54">
        <v>6348</v>
      </c>
      <c r="D62" s="54">
        <v>9637</v>
      </c>
      <c r="E62" s="43">
        <f t="shared" si="22"/>
        <v>-34.128878281622903</v>
      </c>
      <c r="F62" s="54">
        <v>5647</v>
      </c>
      <c r="G62" s="54">
        <v>5737</v>
      </c>
      <c r="H62" s="43">
        <f t="shared" si="23"/>
        <v>-1.5687641624542437</v>
      </c>
      <c r="I62" s="54">
        <v>10950</v>
      </c>
      <c r="J62" s="54">
        <v>12924</v>
      </c>
      <c r="K62" s="43">
        <f t="shared" si="24"/>
        <v>-15.273909006499537</v>
      </c>
      <c r="L62" s="54">
        <v>10950</v>
      </c>
      <c r="M62" s="54">
        <v>12924</v>
      </c>
      <c r="N62" s="43">
        <f t="shared" si="25"/>
        <v>-15.273909006499537</v>
      </c>
      <c r="O62" s="54">
        <v>31</v>
      </c>
      <c r="P62" s="54">
        <v>67</v>
      </c>
      <c r="Q62" s="54">
        <v>31</v>
      </c>
      <c r="R62" s="44">
        <f t="shared" si="26"/>
        <v>2077</v>
      </c>
    </row>
    <row r="63" spans="1:18" x14ac:dyDescent="0.25">
      <c r="A63" s="46">
        <v>7</v>
      </c>
      <c r="B63" s="55" t="s">
        <v>63</v>
      </c>
      <c r="C63" s="42">
        <v>22757</v>
      </c>
      <c r="D63" s="42">
        <v>4738</v>
      </c>
      <c r="E63" s="43">
        <f t="shared" si="22"/>
        <v>380.3081468974251</v>
      </c>
      <c r="F63" s="42">
        <v>12668</v>
      </c>
      <c r="G63" s="42">
        <v>4738</v>
      </c>
      <c r="H63" s="43">
        <f t="shared" si="23"/>
        <v>167.37019839594763</v>
      </c>
      <c r="I63" s="42">
        <v>19378</v>
      </c>
      <c r="J63" s="42">
        <v>8787</v>
      </c>
      <c r="K63" s="43">
        <f t="shared" si="24"/>
        <v>120.53032889495844</v>
      </c>
      <c r="L63" s="64">
        <v>19325</v>
      </c>
      <c r="M63" s="42">
        <v>8787</v>
      </c>
      <c r="N63" s="43">
        <f t="shared" si="25"/>
        <v>119.92716513030612</v>
      </c>
      <c r="O63" s="54">
        <v>34</v>
      </c>
      <c r="P63" s="54">
        <v>67</v>
      </c>
      <c r="Q63" s="54">
        <v>31</v>
      </c>
      <c r="R63" s="44">
        <f t="shared" si="26"/>
        <v>2278</v>
      </c>
    </row>
    <row r="64" spans="1:18" x14ac:dyDescent="0.25">
      <c r="A64" s="63">
        <v>8</v>
      </c>
      <c r="B64" s="55" t="s">
        <v>64</v>
      </c>
      <c r="C64" s="65">
        <v>0</v>
      </c>
      <c r="D64" s="42">
        <v>0</v>
      </c>
      <c r="E64" s="43">
        <v>0</v>
      </c>
      <c r="F64" s="42">
        <v>0</v>
      </c>
      <c r="G64" s="66">
        <v>0</v>
      </c>
      <c r="H64" s="43">
        <v>0</v>
      </c>
      <c r="I64" s="42">
        <v>0</v>
      </c>
      <c r="J64" s="66">
        <v>0</v>
      </c>
      <c r="K64" s="43">
        <v>0</v>
      </c>
      <c r="L64" s="42">
        <v>0</v>
      </c>
      <c r="M64" s="66">
        <v>0</v>
      </c>
      <c r="N64" s="43">
        <v>0</v>
      </c>
      <c r="O64" s="54">
        <v>28</v>
      </c>
      <c r="P64" s="62">
        <v>85</v>
      </c>
      <c r="Q64" s="54">
        <v>35</v>
      </c>
      <c r="R64" s="44">
        <f t="shared" si="26"/>
        <v>2380</v>
      </c>
    </row>
    <row r="65" spans="1:18" x14ac:dyDescent="0.25">
      <c r="A65" s="63">
        <v>9</v>
      </c>
      <c r="B65" s="55" t="s">
        <v>65</v>
      </c>
      <c r="C65" s="42">
        <v>0</v>
      </c>
      <c r="D65" s="42">
        <v>0</v>
      </c>
      <c r="E65" s="43">
        <v>0</v>
      </c>
      <c r="F65" s="42">
        <v>0</v>
      </c>
      <c r="G65" s="42">
        <v>0</v>
      </c>
      <c r="H65" s="43">
        <v>0</v>
      </c>
      <c r="I65" s="42">
        <v>0</v>
      </c>
      <c r="J65" s="42">
        <v>0</v>
      </c>
      <c r="K65" s="43">
        <v>0</v>
      </c>
      <c r="L65" s="42">
        <v>0</v>
      </c>
      <c r="M65" s="42">
        <v>0</v>
      </c>
      <c r="N65" s="43">
        <v>0</v>
      </c>
      <c r="O65" s="45">
        <v>0</v>
      </c>
      <c r="P65" s="46">
        <v>0</v>
      </c>
      <c r="Q65" s="45">
        <v>0</v>
      </c>
      <c r="R65" s="44">
        <f t="shared" si="26"/>
        <v>0</v>
      </c>
    </row>
    <row r="66" spans="1:18" x14ac:dyDescent="0.25">
      <c r="A66" s="907" t="s">
        <v>66</v>
      </c>
      <c r="B66" s="908"/>
      <c r="C66" s="67">
        <f>SUM(C57:C65)</f>
        <v>133697</v>
      </c>
      <c r="D66" s="67">
        <f>SUM(D57:D65)</f>
        <v>124285</v>
      </c>
      <c r="E66" s="57">
        <f t="shared" si="22"/>
        <v>7.5729170857303814</v>
      </c>
      <c r="F66" s="67">
        <f>SUM(F57:F65)</f>
        <v>95315</v>
      </c>
      <c r="G66" s="67">
        <f>SUM(G57:G65)</f>
        <v>67740</v>
      </c>
      <c r="H66" s="57">
        <f t="shared" si="23"/>
        <v>40.707115441393569</v>
      </c>
      <c r="I66" s="68">
        <f>SUM(I57:I65)</f>
        <v>104122</v>
      </c>
      <c r="J66" s="67">
        <f>SUM(J57:J65)</f>
        <v>138269</v>
      </c>
      <c r="K66" s="57">
        <f t="shared" si="24"/>
        <v>-24.696063470481448</v>
      </c>
      <c r="L66" s="67">
        <f>SUM(L57:L65)</f>
        <v>30275</v>
      </c>
      <c r="M66" s="67">
        <f>SUM(M57:M65)</f>
        <v>71492</v>
      </c>
      <c r="N66" s="57">
        <f t="shared" si="25"/>
        <v>-57.652604487215356</v>
      </c>
      <c r="O66" s="68">
        <f>SUM(O57:O65)</f>
        <v>550</v>
      </c>
      <c r="P66" s="69">
        <f>R66/O66</f>
        <v>86.938181818181818</v>
      </c>
      <c r="Q66" s="68">
        <f>SUM(Q57:Q65)</f>
        <v>569</v>
      </c>
      <c r="R66" s="70">
        <f>SUM(R57:R65)</f>
        <v>47816</v>
      </c>
    </row>
    <row r="67" spans="1:18" ht="9.75" customHeight="1" x14ac:dyDescent="0.25">
      <c r="A67" s="39"/>
      <c r="B67" s="71"/>
      <c r="C67" s="39"/>
      <c r="D67" s="39"/>
      <c r="E67" s="39"/>
      <c r="F67" s="39"/>
      <c r="G67" s="39"/>
      <c r="H67" s="39"/>
      <c r="I67" s="39"/>
      <c r="J67" s="39"/>
      <c r="K67" s="72"/>
      <c r="L67" s="39"/>
      <c r="M67" s="39"/>
      <c r="N67" s="39"/>
      <c r="O67" s="39"/>
      <c r="P67" s="73"/>
      <c r="Q67" s="39"/>
      <c r="R67" s="39"/>
    </row>
    <row r="68" spans="1:18" x14ac:dyDescent="0.25">
      <c r="A68" s="891" t="s">
        <v>67</v>
      </c>
      <c r="B68" s="892"/>
      <c r="C68" s="37">
        <v>3</v>
      </c>
      <c r="D68" s="37">
        <v>4</v>
      </c>
      <c r="E68" s="38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38">
        <v>16</v>
      </c>
      <c r="Q68" s="37">
        <v>15</v>
      </c>
      <c r="R68" s="39"/>
    </row>
    <row r="69" spans="1:18" x14ac:dyDescent="0.25">
      <c r="A69" s="40">
        <v>1</v>
      </c>
      <c r="B69" s="41" t="s">
        <v>68</v>
      </c>
      <c r="C69" s="45">
        <v>179</v>
      </c>
      <c r="D69" s="45">
        <v>818</v>
      </c>
      <c r="E69" s="43">
        <f t="shared" ref="E69:E78" si="27">C69/D69*100-100</f>
        <v>-78.117359413202934</v>
      </c>
      <c r="F69" s="45">
        <v>158</v>
      </c>
      <c r="G69" s="45">
        <v>818</v>
      </c>
      <c r="H69" s="54">
        <f t="shared" ref="H69:H78" si="28">F69/G69*100-100</f>
        <v>-80.684596577017118</v>
      </c>
      <c r="I69" s="45">
        <v>179</v>
      </c>
      <c r="J69" s="45">
        <v>900</v>
      </c>
      <c r="K69" s="74">
        <f>I69/J69*100</f>
        <v>19.888888888888889</v>
      </c>
      <c r="L69" s="45">
        <v>0</v>
      </c>
      <c r="M69" s="45">
        <v>0</v>
      </c>
      <c r="N69" s="43">
        <v>0</v>
      </c>
      <c r="O69" s="45">
        <v>138</v>
      </c>
      <c r="P69" s="60">
        <v>55</v>
      </c>
      <c r="Q69" s="45">
        <v>138</v>
      </c>
      <c r="R69" s="44">
        <f t="shared" ref="R69:R76" si="29">O69*P69</f>
        <v>7590</v>
      </c>
    </row>
    <row r="70" spans="1:18" x14ac:dyDescent="0.25">
      <c r="A70" s="40">
        <v>2</v>
      </c>
      <c r="B70" s="41" t="s">
        <v>69</v>
      </c>
      <c r="C70" s="49">
        <v>33629</v>
      </c>
      <c r="D70" s="49">
        <v>94967</v>
      </c>
      <c r="E70" s="43">
        <f t="shared" si="27"/>
        <v>-64.588751882232771</v>
      </c>
      <c r="F70" s="49">
        <v>14338</v>
      </c>
      <c r="G70" s="49">
        <v>31872</v>
      </c>
      <c r="H70" s="43">
        <f t="shared" si="28"/>
        <v>-55.013805220883533</v>
      </c>
      <c r="I70" s="49">
        <v>33725</v>
      </c>
      <c r="J70" s="49">
        <v>95299</v>
      </c>
      <c r="K70" s="43">
        <f t="shared" ref="K70:K78" si="30">I70/J70*100-100</f>
        <v>-64.611381021836536</v>
      </c>
      <c r="L70" s="49">
        <v>33725</v>
      </c>
      <c r="M70" s="49">
        <v>95299</v>
      </c>
      <c r="N70" s="43">
        <f t="shared" ref="N70:N78" si="31">L70/M70*100-100</f>
        <v>-64.611381021836536</v>
      </c>
      <c r="O70" s="45">
        <v>13</v>
      </c>
      <c r="P70" s="46">
        <v>92</v>
      </c>
      <c r="Q70" s="45">
        <v>12</v>
      </c>
      <c r="R70" s="44">
        <f t="shared" si="29"/>
        <v>1196</v>
      </c>
    </row>
    <row r="71" spans="1:18" x14ac:dyDescent="0.25">
      <c r="A71" s="40">
        <v>3</v>
      </c>
      <c r="B71" s="41" t="s">
        <v>70</v>
      </c>
      <c r="C71" s="45">
        <v>0</v>
      </c>
      <c r="D71" s="45">
        <v>0</v>
      </c>
      <c r="E71" s="43">
        <v>0</v>
      </c>
      <c r="F71" s="45">
        <v>0</v>
      </c>
      <c r="G71" s="45">
        <v>0</v>
      </c>
      <c r="H71" s="43">
        <v>0</v>
      </c>
      <c r="I71" s="45">
        <v>0</v>
      </c>
      <c r="J71" s="45">
        <v>0</v>
      </c>
      <c r="K71" s="43" t="e">
        <f t="shared" si="30"/>
        <v>#DIV/0!</v>
      </c>
      <c r="L71" s="45">
        <v>0</v>
      </c>
      <c r="M71" s="45">
        <v>0</v>
      </c>
      <c r="N71" s="43">
        <v>0</v>
      </c>
      <c r="O71" s="45">
        <v>37</v>
      </c>
      <c r="P71" s="60">
        <v>71</v>
      </c>
      <c r="Q71" s="45">
        <v>37</v>
      </c>
      <c r="R71" s="44">
        <f t="shared" si="29"/>
        <v>2627</v>
      </c>
    </row>
    <row r="72" spans="1:18" x14ac:dyDescent="0.25">
      <c r="A72" s="40">
        <v>4</v>
      </c>
      <c r="B72" s="41" t="s">
        <v>71</v>
      </c>
      <c r="C72" s="45">
        <v>3056</v>
      </c>
      <c r="D72" s="45">
        <v>15652</v>
      </c>
      <c r="E72" s="43">
        <f t="shared" si="27"/>
        <v>-80.475338614873493</v>
      </c>
      <c r="F72" s="45">
        <v>101</v>
      </c>
      <c r="G72" s="45">
        <v>947</v>
      </c>
      <c r="H72" s="43">
        <f t="shared" si="28"/>
        <v>-89.334741288278778</v>
      </c>
      <c r="I72" s="45">
        <v>0</v>
      </c>
      <c r="J72" s="45">
        <v>2675</v>
      </c>
      <c r="K72" s="43">
        <f t="shared" si="30"/>
        <v>-100</v>
      </c>
      <c r="L72" s="45">
        <v>0</v>
      </c>
      <c r="M72" s="45">
        <v>0</v>
      </c>
      <c r="N72" s="43">
        <v>0</v>
      </c>
      <c r="O72" s="45">
        <v>41</v>
      </c>
      <c r="P72" s="75">
        <v>50</v>
      </c>
      <c r="Q72" s="45">
        <v>41</v>
      </c>
      <c r="R72" s="44">
        <f t="shared" si="29"/>
        <v>2050</v>
      </c>
    </row>
    <row r="73" spans="1:18" x14ac:dyDescent="0.25">
      <c r="A73" s="40">
        <v>5</v>
      </c>
      <c r="B73" s="41" t="s">
        <v>72</v>
      </c>
      <c r="C73" s="45">
        <v>416</v>
      </c>
      <c r="D73" s="45">
        <v>200</v>
      </c>
      <c r="E73" s="43">
        <f t="shared" si="27"/>
        <v>108</v>
      </c>
      <c r="F73" s="45">
        <v>208</v>
      </c>
      <c r="G73" s="45">
        <v>125</v>
      </c>
      <c r="H73" s="43">
        <f t="shared" si="28"/>
        <v>66.400000000000006</v>
      </c>
      <c r="I73" s="45">
        <v>416</v>
      </c>
      <c r="J73" s="45">
        <v>200</v>
      </c>
      <c r="K73" s="43">
        <f t="shared" si="30"/>
        <v>108</v>
      </c>
      <c r="L73" s="45">
        <v>0</v>
      </c>
      <c r="M73" s="45">
        <v>0</v>
      </c>
      <c r="N73" s="43">
        <v>0</v>
      </c>
      <c r="O73" s="45">
        <v>66</v>
      </c>
      <c r="P73" s="60">
        <v>120</v>
      </c>
      <c r="Q73" s="45">
        <v>67</v>
      </c>
      <c r="R73" s="44">
        <f t="shared" si="29"/>
        <v>7920</v>
      </c>
    </row>
    <row r="74" spans="1:18" x14ac:dyDescent="0.25">
      <c r="A74" s="50">
        <v>6</v>
      </c>
      <c r="B74" s="41" t="s">
        <v>73</v>
      </c>
      <c r="C74" s="45">
        <v>0</v>
      </c>
      <c r="D74" s="45">
        <v>2050</v>
      </c>
      <c r="E74" s="54">
        <f t="shared" si="27"/>
        <v>-100</v>
      </c>
      <c r="F74" s="45">
        <v>0</v>
      </c>
      <c r="G74" s="45">
        <v>0</v>
      </c>
      <c r="H74" s="43">
        <v>0</v>
      </c>
      <c r="I74" s="45">
        <v>120</v>
      </c>
      <c r="J74" s="45">
        <v>20584</v>
      </c>
      <c r="K74" s="54">
        <f t="shared" si="30"/>
        <v>-99.417022930431401</v>
      </c>
      <c r="L74" s="45">
        <v>0</v>
      </c>
      <c r="M74" s="45">
        <v>28</v>
      </c>
      <c r="N74" s="43">
        <f t="shared" si="31"/>
        <v>-100</v>
      </c>
      <c r="O74" s="45">
        <v>6</v>
      </c>
      <c r="P74" s="60">
        <v>63</v>
      </c>
      <c r="Q74" s="45">
        <v>8</v>
      </c>
      <c r="R74" s="44">
        <f t="shared" si="29"/>
        <v>378</v>
      </c>
    </row>
    <row r="75" spans="1:18" x14ac:dyDescent="0.25">
      <c r="A75" s="40">
        <v>7</v>
      </c>
      <c r="B75" s="41" t="s">
        <v>74</v>
      </c>
      <c r="C75" s="45">
        <v>76171</v>
      </c>
      <c r="D75" s="45">
        <v>81057</v>
      </c>
      <c r="E75" s="43">
        <f t="shared" si="27"/>
        <v>-6.0278569401778981</v>
      </c>
      <c r="F75" s="45">
        <v>17964</v>
      </c>
      <c r="G75" s="45">
        <v>55448</v>
      </c>
      <c r="H75" s="43">
        <f t="shared" si="28"/>
        <v>-67.602077622276738</v>
      </c>
      <c r="I75" s="45">
        <v>77435</v>
      </c>
      <c r="J75" s="45">
        <v>111991</v>
      </c>
      <c r="K75" s="43">
        <f t="shared" si="30"/>
        <v>-30.856050932664232</v>
      </c>
      <c r="L75" s="45">
        <v>20732</v>
      </c>
      <c r="M75" s="45">
        <v>25674</v>
      </c>
      <c r="N75" s="43">
        <f t="shared" si="31"/>
        <v>-19.249045727194826</v>
      </c>
      <c r="O75" s="45">
        <v>131</v>
      </c>
      <c r="P75" s="46">
        <v>200</v>
      </c>
      <c r="Q75" s="45">
        <v>131</v>
      </c>
      <c r="R75" s="44">
        <f t="shared" si="29"/>
        <v>26200</v>
      </c>
    </row>
    <row r="76" spans="1:18" x14ac:dyDescent="0.25">
      <c r="A76" s="40">
        <v>8</v>
      </c>
      <c r="B76" s="41" t="s">
        <v>75</v>
      </c>
      <c r="C76" s="45">
        <v>19656</v>
      </c>
      <c r="D76" s="45">
        <v>15384</v>
      </c>
      <c r="E76" s="54">
        <f t="shared" si="27"/>
        <v>27.769110764430579</v>
      </c>
      <c r="F76" s="45">
        <v>16981</v>
      </c>
      <c r="G76" s="45">
        <v>15384</v>
      </c>
      <c r="H76" s="43">
        <v>0</v>
      </c>
      <c r="I76" s="45">
        <v>19656</v>
      </c>
      <c r="J76" s="45">
        <v>14822</v>
      </c>
      <c r="K76" s="54">
        <f t="shared" si="30"/>
        <v>32.613682364053432</v>
      </c>
      <c r="L76" s="45">
        <v>0</v>
      </c>
      <c r="M76" s="45">
        <v>0</v>
      </c>
      <c r="N76" s="43">
        <v>0</v>
      </c>
      <c r="O76" s="45">
        <v>29</v>
      </c>
      <c r="P76" s="60">
        <v>40</v>
      </c>
      <c r="Q76" s="45">
        <v>29</v>
      </c>
      <c r="R76" s="44">
        <f t="shared" si="29"/>
        <v>1160</v>
      </c>
    </row>
    <row r="77" spans="1:18" x14ac:dyDescent="0.25">
      <c r="A77" s="174"/>
      <c r="B77" s="175" t="s">
        <v>77</v>
      </c>
      <c r="C77" s="56">
        <f>SUM(C69:C76)</f>
        <v>133107</v>
      </c>
      <c r="D77" s="56">
        <f>SUM(D69:D76)</f>
        <v>210128</v>
      </c>
      <c r="E77" s="57">
        <f t="shared" si="27"/>
        <v>-36.654324982867578</v>
      </c>
      <c r="F77" s="56">
        <f>SUM(F69:F76)</f>
        <v>49750</v>
      </c>
      <c r="G77" s="56">
        <f>SUM(G69:G76)</f>
        <v>104594</v>
      </c>
      <c r="H77" s="57">
        <f t="shared" si="28"/>
        <v>-52.435130122186742</v>
      </c>
      <c r="I77" s="56">
        <f>SUM(I69:I76)</f>
        <v>131531</v>
      </c>
      <c r="J77" s="56">
        <f>SUM(J69:J76)</f>
        <v>246471</v>
      </c>
      <c r="K77" s="57">
        <f t="shared" si="30"/>
        <v>-46.634289632451683</v>
      </c>
      <c r="L77" s="56">
        <f>SUM(L69:L76)</f>
        <v>54457</v>
      </c>
      <c r="M77" s="56">
        <f>SUM(M69:M76)</f>
        <v>121001</v>
      </c>
      <c r="N77" s="57">
        <f t="shared" si="31"/>
        <v>-54.994586821596513</v>
      </c>
      <c r="O77" s="56">
        <f>SUM(O69:O76)</f>
        <v>461</v>
      </c>
      <c r="P77" s="58">
        <f>R77/O77</f>
        <v>106.5531453362256</v>
      </c>
      <c r="Q77" s="56">
        <f>SUM(Q69:Q76)</f>
        <v>463</v>
      </c>
      <c r="R77" s="70">
        <f>SUM(R69:R76)</f>
        <v>49121</v>
      </c>
    </row>
    <row r="78" spans="1:18" x14ac:dyDescent="0.25">
      <c r="A78" s="905" t="s">
        <v>78</v>
      </c>
      <c r="B78" s="906" t="s">
        <v>78</v>
      </c>
      <c r="C78" s="76">
        <f>C54+C66+C77</f>
        <v>422405</v>
      </c>
      <c r="D78" s="76">
        <f>D54+D66+D77</f>
        <v>709841</v>
      </c>
      <c r="E78" s="77">
        <f t="shared" si="27"/>
        <v>-40.493011815322021</v>
      </c>
      <c r="F78" s="76">
        <f>F54+F66+F77</f>
        <v>219426</v>
      </c>
      <c r="G78" s="76">
        <f>G54+G66+G77</f>
        <v>403901</v>
      </c>
      <c r="H78" s="77">
        <f t="shared" si="28"/>
        <v>-45.673320937556483</v>
      </c>
      <c r="I78" s="76">
        <f>I54+I66+I77</f>
        <v>413849</v>
      </c>
      <c r="J78" s="76">
        <f>J54+J66+J77</f>
        <v>769009</v>
      </c>
      <c r="K78" s="77">
        <f t="shared" si="30"/>
        <v>-46.184114880319996</v>
      </c>
      <c r="L78" s="76">
        <f>L54+L66+L77</f>
        <v>115449</v>
      </c>
      <c r="M78" s="76">
        <f>M54+M66+M77</f>
        <v>403744</v>
      </c>
      <c r="N78" s="77">
        <f t="shared" si="31"/>
        <v>-71.405395498137437</v>
      </c>
      <c r="O78" s="76">
        <f>O54+O66+O77</f>
        <v>1722</v>
      </c>
      <c r="P78" s="78">
        <f>R78/O78</f>
        <v>100.62427409988386</v>
      </c>
      <c r="Q78" s="76">
        <f>Q54+Q66+Q77</f>
        <v>1782</v>
      </c>
      <c r="R78" s="79">
        <f>R54+R66+R77</f>
        <v>173275</v>
      </c>
    </row>
    <row r="79" spans="1:18" ht="9.75" customHeight="1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45"/>
      <c r="R79" s="71"/>
    </row>
    <row r="80" spans="1:18" x14ac:dyDescent="0.25">
      <c r="A80" s="903" t="s">
        <v>79</v>
      </c>
      <c r="B80" s="904"/>
      <c r="C80" s="37">
        <v>3</v>
      </c>
      <c r="D80" s="37">
        <v>4</v>
      </c>
      <c r="E80" s="38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38">
        <v>16</v>
      </c>
      <c r="Q80" s="37">
        <v>15</v>
      </c>
      <c r="R80" s="39"/>
    </row>
    <row r="81" spans="1:18" x14ac:dyDescent="0.25">
      <c r="A81" s="80">
        <v>1</v>
      </c>
      <c r="B81" s="81" t="s">
        <v>80</v>
      </c>
      <c r="C81" s="49">
        <v>0</v>
      </c>
      <c r="D81" s="49">
        <v>595</v>
      </c>
      <c r="E81" s="43">
        <f t="shared" ref="E81:E92" si="32">C81/D81*100-100</f>
        <v>-100</v>
      </c>
      <c r="F81" s="49">
        <v>0</v>
      </c>
      <c r="G81" s="49">
        <v>354</v>
      </c>
      <c r="H81" s="43">
        <f t="shared" ref="H81:H92" si="33">F81/G81*100-100</f>
        <v>-100</v>
      </c>
      <c r="I81" s="49">
        <v>0</v>
      </c>
      <c r="J81" s="49">
        <v>595</v>
      </c>
      <c r="K81" s="43">
        <v>0</v>
      </c>
      <c r="L81" s="45">
        <v>0</v>
      </c>
      <c r="M81" s="49">
        <v>0</v>
      </c>
      <c r="N81" s="43">
        <v>0</v>
      </c>
      <c r="O81" s="45"/>
      <c r="P81" s="49">
        <v>113</v>
      </c>
      <c r="Q81" s="45"/>
      <c r="R81" s="44">
        <f t="shared" ref="R81:R91" si="34">O81*P81</f>
        <v>0</v>
      </c>
    </row>
    <row r="82" spans="1:18" x14ac:dyDescent="0.25">
      <c r="A82" s="82">
        <v>2</v>
      </c>
      <c r="B82" s="81" t="s">
        <v>81</v>
      </c>
      <c r="C82" s="49">
        <v>0</v>
      </c>
      <c r="D82" s="49">
        <v>143947</v>
      </c>
      <c r="E82" s="43">
        <f t="shared" si="32"/>
        <v>-100</v>
      </c>
      <c r="F82" s="49">
        <v>0</v>
      </c>
      <c r="G82" s="49">
        <v>71575</v>
      </c>
      <c r="H82" s="43">
        <f t="shared" si="33"/>
        <v>-100</v>
      </c>
      <c r="I82" s="49">
        <v>440</v>
      </c>
      <c r="J82" s="49">
        <v>157782</v>
      </c>
      <c r="K82" s="43">
        <f t="shared" ref="K82:K92" si="35">I82/J82*100-100</f>
        <v>-99.721134223168676</v>
      </c>
      <c r="L82" s="49">
        <v>0</v>
      </c>
      <c r="M82" s="49">
        <v>156699</v>
      </c>
      <c r="N82" s="43">
        <f t="shared" ref="N82:N92" si="36">L82/M82*100-100</f>
        <v>-100</v>
      </c>
      <c r="O82" s="45">
        <v>693</v>
      </c>
      <c r="P82" s="49">
        <v>130</v>
      </c>
      <c r="Q82" s="45">
        <v>703</v>
      </c>
      <c r="R82" s="44">
        <f t="shared" si="34"/>
        <v>90090</v>
      </c>
    </row>
    <row r="83" spans="1:18" x14ac:dyDescent="0.25">
      <c r="A83" s="80">
        <v>3</v>
      </c>
      <c r="B83" s="81" t="s">
        <v>82</v>
      </c>
      <c r="C83" s="49">
        <v>268054</v>
      </c>
      <c r="D83" s="49">
        <v>178641</v>
      </c>
      <c r="E83" s="43">
        <f t="shared" si="32"/>
        <v>50.051779826579548</v>
      </c>
      <c r="F83" s="49">
        <v>268054</v>
      </c>
      <c r="G83" s="49">
        <v>92906</v>
      </c>
      <c r="H83" s="43">
        <f t="shared" si="33"/>
        <v>188.52173164273569</v>
      </c>
      <c r="I83" s="49">
        <v>174754</v>
      </c>
      <c r="J83" s="49">
        <v>199286</v>
      </c>
      <c r="K83" s="43">
        <f t="shared" si="35"/>
        <v>-12.30994650903726</v>
      </c>
      <c r="L83" s="49">
        <v>53648</v>
      </c>
      <c r="M83" s="49">
        <v>67339</v>
      </c>
      <c r="N83" s="43">
        <f t="shared" si="36"/>
        <v>-20.331457253597478</v>
      </c>
      <c r="O83" s="45">
        <v>33</v>
      </c>
      <c r="P83" s="49">
        <v>306</v>
      </c>
      <c r="Q83" s="45">
        <v>30</v>
      </c>
      <c r="R83" s="44">
        <f t="shared" si="34"/>
        <v>10098</v>
      </c>
    </row>
    <row r="84" spans="1:18" x14ac:dyDescent="0.25">
      <c r="A84" s="82">
        <v>4</v>
      </c>
      <c r="B84" s="81" t="s">
        <v>83</v>
      </c>
      <c r="C84" s="49">
        <v>199309</v>
      </c>
      <c r="D84" s="49">
        <v>126992</v>
      </c>
      <c r="E84" s="43">
        <f t="shared" si="32"/>
        <v>56.946106841375837</v>
      </c>
      <c r="F84" s="49">
        <v>109706</v>
      </c>
      <c r="G84" s="49">
        <v>63625</v>
      </c>
      <c r="H84" s="43">
        <f t="shared" si="33"/>
        <v>72.425933202357584</v>
      </c>
      <c r="I84" s="49">
        <v>152822</v>
      </c>
      <c r="J84" s="49">
        <v>72917</v>
      </c>
      <c r="K84" s="43">
        <f t="shared" si="35"/>
        <v>109.5834990468615</v>
      </c>
      <c r="L84" s="45">
        <v>108578</v>
      </c>
      <c r="M84" s="49">
        <v>27147</v>
      </c>
      <c r="N84" s="43">
        <f t="shared" si="36"/>
        <v>299.96316351714739</v>
      </c>
      <c r="O84" s="45">
        <v>181</v>
      </c>
      <c r="P84" s="49">
        <v>40</v>
      </c>
      <c r="Q84" s="45">
        <v>181</v>
      </c>
      <c r="R84" s="44">
        <f t="shared" si="34"/>
        <v>7240</v>
      </c>
    </row>
    <row r="85" spans="1:18" x14ac:dyDescent="0.25">
      <c r="A85" s="80">
        <v>5</v>
      </c>
      <c r="B85" s="81" t="s">
        <v>84</v>
      </c>
      <c r="C85" s="60">
        <v>43216</v>
      </c>
      <c r="D85" s="60">
        <v>59778</v>
      </c>
      <c r="E85" s="43">
        <f t="shared" si="32"/>
        <v>-27.705844959684171</v>
      </c>
      <c r="F85" s="60">
        <v>33219</v>
      </c>
      <c r="G85" s="60">
        <v>27799</v>
      </c>
      <c r="H85" s="43">
        <f t="shared" si="33"/>
        <v>19.497104212381728</v>
      </c>
      <c r="I85" s="60">
        <v>41381</v>
      </c>
      <c r="J85" s="60">
        <v>58349</v>
      </c>
      <c r="K85" s="43">
        <f t="shared" si="35"/>
        <v>-29.080189891857614</v>
      </c>
      <c r="L85" s="45">
        <v>21917</v>
      </c>
      <c r="M85" s="60">
        <v>33397</v>
      </c>
      <c r="N85" s="43">
        <f t="shared" si="36"/>
        <v>-34.374345001047999</v>
      </c>
      <c r="O85" s="45">
        <v>89</v>
      </c>
      <c r="P85" s="60">
        <v>79</v>
      </c>
      <c r="Q85" s="45">
        <v>89</v>
      </c>
      <c r="R85" s="44">
        <f t="shared" si="34"/>
        <v>7031</v>
      </c>
    </row>
    <row r="86" spans="1:18" x14ac:dyDescent="0.25">
      <c r="A86" s="82">
        <v>6</v>
      </c>
      <c r="B86" s="81" t="s">
        <v>85</v>
      </c>
      <c r="C86" s="42">
        <v>0</v>
      </c>
      <c r="D86" s="42">
        <v>0</v>
      </c>
      <c r="E86" s="43">
        <v>0</v>
      </c>
      <c r="F86" s="42">
        <v>0</v>
      </c>
      <c r="G86" s="42">
        <v>0</v>
      </c>
      <c r="H86" s="43">
        <v>0</v>
      </c>
      <c r="I86" s="42">
        <v>0</v>
      </c>
      <c r="J86" s="42">
        <v>0</v>
      </c>
      <c r="K86" s="43">
        <v>0</v>
      </c>
      <c r="L86" s="42">
        <v>0</v>
      </c>
      <c r="M86" s="42">
        <v>0</v>
      </c>
      <c r="N86" s="43">
        <v>0</v>
      </c>
      <c r="O86" s="45">
        <v>0</v>
      </c>
      <c r="P86" s="46">
        <v>0</v>
      </c>
      <c r="Q86" s="45">
        <v>0</v>
      </c>
      <c r="R86" s="44">
        <f t="shared" si="34"/>
        <v>0</v>
      </c>
    </row>
    <row r="87" spans="1:18" x14ac:dyDescent="0.25">
      <c r="A87" s="82">
        <v>7</v>
      </c>
      <c r="B87" s="83" t="s">
        <v>86</v>
      </c>
      <c r="C87" s="60"/>
      <c r="D87" s="60"/>
      <c r="E87" s="43" t="e">
        <f t="shared" si="32"/>
        <v>#DIV/0!</v>
      </c>
      <c r="F87" s="60"/>
      <c r="G87" s="60"/>
      <c r="H87" s="43" t="e">
        <f t="shared" si="33"/>
        <v>#DIV/0!</v>
      </c>
      <c r="I87" s="60"/>
      <c r="J87" s="60"/>
      <c r="K87" s="43" t="e">
        <f t="shared" si="35"/>
        <v>#DIV/0!</v>
      </c>
      <c r="L87" s="45"/>
      <c r="M87" s="60"/>
      <c r="N87" s="43" t="e">
        <f t="shared" si="36"/>
        <v>#DIV/0!</v>
      </c>
      <c r="O87" s="45"/>
      <c r="P87" s="49"/>
      <c r="Q87" s="45"/>
      <c r="R87" s="44">
        <f t="shared" si="34"/>
        <v>0</v>
      </c>
    </row>
    <row r="88" spans="1:18" x14ac:dyDescent="0.25">
      <c r="A88" s="80">
        <v>8</v>
      </c>
      <c r="B88" s="81" t="s">
        <v>87</v>
      </c>
      <c r="C88" s="49">
        <v>202805</v>
      </c>
      <c r="D88" s="49">
        <v>170716</v>
      </c>
      <c r="E88" s="43">
        <f t="shared" si="32"/>
        <v>18.796715012066841</v>
      </c>
      <c r="F88" s="49">
        <v>128958</v>
      </c>
      <c r="G88" s="49">
        <v>101652</v>
      </c>
      <c r="H88" s="43">
        <f t="shared" si="33"/>
        <v>26.862235863534394</v>
      </c>
      <c r="I88" s="49">
        <v>202805</v>
      </c>
      <c r="J88" s="49">
        <v>168716</v>
      </c>
      <c r="K88" s="43">
        <f t="shared" si="35"/>
        <v>20.204959814125516</v>
      </c>
      <c r="L88" s="45">
        <f>20218+96287</f>
        <v>116505</v>
      </c>
      <c r="M88" s="49">
        <f>4819+71831</f>
        <v>76650</v>
      </c>
      <c r="N88" s="43">
        <f t="shared" si="36"/>
        <v>51.996086105675147</v>
      </c>
      <c r="O88" s="45">
        <v>105</v>
      </c>
      <c r="P88" s="49">
        <v>300</v>
      </c>
      <c r="Q88" s="45">
        <v>106</v>
      </c>
      <c r="R88" s="44">
        <f t="shared" si="34"/>
        <v>31500</v>
      </c>
    </row>
    <row r="89" spans="1:18" x14ac:dyDescent="0.25">
      <c r="A89" s="80">
        <v>9</v>
      </c>
      <c r="B89" s="81" t="s">
        <v>88</v>
      </c>
      <c r="C89" s="49">
        <v>144219</v>
      </c>
      <c r="D89" s="49">
        <v>103439</v>
      </c>
      <c r="E89" s="43">
        <f t="shared" si="32"/>
        <v>39.424201703419413</v>
      </c>
      <c r="F89" s="49">
        <v>80606</v>
      </c>
      <c r="G89" s="49">
        <v>63989</v>
      </c>
      <c r="H89" s="43">
        <f t="shared" si="33"/>
        <v>25.968525840378803</v>
      </c>
      <c r="I89" s="49">
        <v>109041</v>
      </c>
      <c r="J89" s="49">
        <v>122710</v>
      </c>
      <c r="K89" s="43">
        <f t="shared" si="35"/>
        <v>-11.139271453019319</v>
      </c>
      <c r="L89" s="45">
        <f>18885+9985</f>
        <v>28870</v>
      </c>
      <c r="M89" s="49">
        <v>21376</v>
      </c>
      <c r="N89" s="43">
        <f t="shared" si="36"/>
        <v>35.058008982035915</v>
      </c>
      <c r="O89" s="45">
        <v>82</v>
      </c>
      <c r="P89" s="49">
        <v>169</v>
      </c>
      <c r="Q89" s="45">
        <v>76</v>
      </c>
      <c r="R89" s="44">
        <f t="shared" si="34"/>
        <v>13858</v>
      </c>
    </row>
    <row r="90" spans="1:18" x14ac:dyDescent="0.25">
      <c r="A90" s="80">
        <v>10</v>
      </c>
      <c r="B90" s="81" t="s">
        <v>89</v>
      </c>
      <c r="C90" s="49">
        <v>21900</v>
      </c>
      <c r="D90" s="49">
        <v>26461</v>
      </c>
      <c r="E90" s="43">
        <f t="shared" si="32"/>
        <v>-17.236687955859566</v>
      </c>
      <c r="F90" s="49">
        <v>13331</v>
      </c>
      <c r="G90" s="49">
        <v>17975</v>
      </c>
      <c r="H90" s="43">
        <f t="shared" si="33"/>
        <v>-25.835883171070932</v>
      </c>
      <c r="I90" s="49">
        <v>21900</v>
      </c>
      <c r="J90" s="49">
        <v>26461</v>
      </c>
      <c r="K90" s="43">
        <f t="shared" si="35"/>
        <v>-17.236687955859566</v>
      </c>
      <c r="L90" s="45">
        <f>7795+2212</f>
        <v>10007</v>
      </c>
      <c r="M90" s="49">
        <f>6925+5603</f>
        <v>12528</v>
      </c>
      <c r="N90" s="43">
        <f t="shared" si="36"/>
        <v>-20.122924648786721</v>
      </c>
      <c r="O90" s="45"/>
      <c r="P90" s="49"/>
      <c r="Q90" s="45"/>
      <c r="R90" s="44">
        <f t="shared" si="34"/>
        <v>0</v>
      </c>
    </row>
    <row r="91" spans="1:18" x14ac:dyDescent="0.25">
      <c r="A91" s="82">
        <v>11</v>
      </c>
      <c r="B91" s="81" t="s">
        <v>90</v>
      </c>
      <c r="C91" s="80">
        <v>58059</v>
      </c>
      <c r="D91" s="84">
        <v>55606</v>
      </c>
      <c r="E91" s="43">
        <f t="shared" si="32"/>
        <v>4.4113944538359107</v>
      </c>
      <c r="F91" s="49">
        <v>29056</v>
      </c>
      <c r="G91" s="49">
        <v>35976</v>
      </c>
      <c r="H91" s="43">
        <f t="shared" si="33"/>
        <v>-19.235045585946182</v>
      </c>
      <c r="I91" s="85">
        <v>425763</v>
      </c>
      <c r="J91" s="86">
        <v>526570</v>
      </c>
      <c r="K91" s="43">
        <f t="shared" si="35"/>
        <v>-19.144083407714078</v>
      </c>
      <c r="L91" s="85">
        <v>30913</v>
      </c>
      <c r="M91" s="86">
        <v>25277</v>
      </c>
      <c r="N91" s="43">
        <f t="shared" si="36"/>
        <v>22.296949796257465</v>
      </c>
      <c r="O91" s="45">
        <v>50</v>
      </c>
      <c r="P91" s="49">
        <v>250</v>
      </c>
      <c r="Q91" s="45">
        <v>50</v>
      </c>
      <c r="R91" s="44">
        <f t="shared" si="34"/>
        <v>12500</v>
      </c>
    </row>
    <row r="92" spans="1:18" x14ac:dyDescent="0.25">
      <c r="A92" s="171"/>
      <c r="B92" s="171" t="s">
        <v>92</v>
      </c>
      <c r="C92" s="87">
        <f>SUM(C81:C91)</f>
        <v>937562</v>
      </c>
      <c r="D92" s="87">
        <f>SUM(D81:D91)</f>
        <v>866175</v>
      </c>
      <c r="E92" s="57">
        <f t="shared" si="32"/>
        <v>8.2416370825756786</v>
      </c>
      <c r="F92" s="87">
        <f>SUM(F81:F91)</f>
        <v>662930</v>
      </c>
      <c r="G92" s="87">
        <f>SUM(G81:G91)</f>
        <v>475851</v>
      </c>
      <c r="H92" s="57">
        <f t="shared" si="33"/>
        <v>39.314617390737851</v>
      </c>
      <c r="I92" s="87">
        <f>SUM(I81:I91)</f>
        <v>1128906</v>
      </c>
      <c r="J92" s="87">
        <f>SUM(J81:J91)</f>
        <v>1333386</v>
      </c>
      <c r="K92" s="57">
        <f t="shared" si="35"/>
        <v>-15.335394251927042</v>
      </c>
      <c r="L92" s="87">
        <f>SUM(L81:L91)</f>
        <v>370438</v>
      </c>
      <c r="M92" s="87">
        <f>SUM(M81:M91)</f>
        <v>420413</v>
      </c>
      <c r="N92" s="57">
        <f t="shared" si="36"/>
        <v>-11.887120521962927</v>
      </c>
      <c r="O92" s="56">
        <f>SUM(O81:O91)</f>
        <v>1233</v>
      </c>
      <c r="P92" s="58">
        <f>R92/O92</f>
        <v>139.75425790754258</v>
      </c>
      <c r="Q92" s="56">
        <f>SUM(Q81:Q91)</f>
        <v>1235</v>
      </c>
      <c r="R92" s="70">
        <f>SUM(R81:R91)</f>
        <v>172317</v>
      </c>
    </row>
    <row r="93" spans="1:18" ht="9" customHeight="1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45"/>
      <c r="R93" s="71"/>
    </row>
    <row r="94" spans="1:18" x14ac:dyDescent="0.25">
      <c r="A94" s="903" t="s">
        <v>93</v>
      </c>
      <c r="B94" s="904"/>
      <c r="C94" s="37">
        <v>3</v>
      </c>
      <c r="D94" s="37">
        <v>4</v>
      </c>
      <c r="E94" s="38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38">
        <v>16</v>
      </c>
      <c r="Q94" s="37">
        <v>15</v>
      </c>
      <c r="R94" s="39"/>
    </row>
    <row r="95" spans="1:18" x14ac:dyDescent="0.25">
      <c r="A95" s="88">
        <v>1</v>
      </c>
      <c r="B95" s="83" t="s">
        <v>94</v>
      </c>
      <c r="C95" s="89">
        <v>100671</v>
      </c>
      <c r="D95" s="89">
        <v>0</v>
      </c>
      <c r="E95" s="43">
        <v>0</v>
      </c>
      <c r="F95" s="89">
        <v>48955</v>
      </c>
      <c r="G95" s="89">
        <v>0</v>
      </c>
      <c r="H95" s="43">
        <v>0</v>
      </c>
      <c r="I95" s="89">
        <v>83626</v>
      </c>
      <c r="J95" s="90">
        <v>18133</v>
      </c>
      <c r="K95" s="54">
        <f t="shared" ref="K95:K122" si="37">I95/J95*100-100</f>
        <v>361.18127171455353</v>
      </c>
      <c r="L95" s="89">
        <v>83626</v>
      </c>
      <c r="M95" s="89">
        <v>18113</v>
      </c>
      <c r="N95" s="43">
        <f t="shared" ref="N95:N122" si="38">L95/M95*100-100</f>
        <v>361.69049853696242</v>
      </c>
      <c r="O95" s="89">
        <v>315</v>
      </c>
      <c r="P95" s="89">
        <v>121</v>
      </c>
      <c r="Q95" s="89">
        <v>282</v>
      </c>
      <c r="R95" s="44">
        <f t="shared" ref="R95:R121" si="39">O95*P95</f>
        <v>38115</v>
      </c>
    </row>
    <row r="96" spans="1:18" x14ac:dyDescent="0.25">
      <c r="A96" s="88">
        <v>2</v>
      </c>
      <c r="B96" s="83" t="s">
        <v>95</v>
      </c>
      <c r="C96" s="42">
        <v>0</v>
      </c>
      <c r="D96" s="42">
        <v>0</v>
      </c>
      <c r="E96" s="43">
        <v>0</v>
      </c>
      <c r="F96" s="42">
        <v>0</v>
      </c>
      <c r="G96" s="42">
        <v>0</v>
      </c>
      <c r="H96" s="43">
        <v>0</v>
      </c>
      <c r="I96" s="42">
        <v>0</v>
      </c>
      <c r="J96" s="42">
        <v>0</v>
      </c>
      <c r="K96" s="43">
        <v>0</v>
      </c>
      <c r="L96" s="42">
        <v>0</v>
      </c>
      <c r="M96" s="42">
        <v>0</v>
      </c>
      <c r="N96" s="43">
        <v>0</v>
      </c>
      <c r="O96" s="89">
        <v>0</v>
      </c>
      <c r="P96" s="89">
        <v>0</v>
      </c>
      <c r="Q96" s="89">
        <v>0</v>
      </c>
      <c r="R96" s="44">
        <f t="shared" si="39"/>
        <v>0</v>
      </c>
    </row>
    <row r="97" spans="1:19" x14ac:dyDescent="0.25">
      <c r="A97" s="88">
        <v>3</v>
      </c>
      <c r="B97" s="81" t="s">
        <v>96</v>
      </c>
      <c r="C97" s="42">
        <v>0</v>
      </c>
      <c r="D97" s="42">
        <v>0</v>
      </c>
      <c r="E97" s="43">
        <v>0</v>
      </c>
      <c r="F97" s="42">
        <v>0</v>
      </c>
      <c r="G97" s="42">
        <v>0</v>
      </c>
      <c r="H97" s="43">
        <v>0</v>
      </c>
      <c r="I97" s="42">
        <v>0</v>
      </c>
      <c r="J97" s="42">
        <v>0</v>
      </c>
      <c r="K97" s="43">
        <v>0</v>
      </c>
      <c r="L97" s="42">
        <v>0</v>
      </c>
      <c r="M97" s="42">
        <v>0</v>
      </c>
      <c r="N97" s="43">
        <v>0</v>
      </c>
      <c r="O97" s="89">
        <v>0</v>
      </c>
      <c r="P97" s="89">
        <v>0</v>
      </c>
      <c r="Q97" s="89">
        <v>0</v>
      </c>
      <c r="R97" s="192">
        <v>0</v>
      </c>
      <c r="S97" s="191"/>
    </row>
    <row r="98" spans="1:19" x14ac:dyDescent="0.25">
      <c r="A98" s="88">
        <v>4</v>
      </c>
      <c r="B98" s="81" t="s">
        <v>97</v>
      </c>
      <c r="C98" s="42">
        <v>8921</v>
      </c>
      <c r="D98" s="42">
        <v>0</v>
      </c>
      <c r="E98" s="43">
        <v>0</v>
      </c>
      <c r="F98" s="42">
        <v>6446</v>
      </c>
      <c r="G98" s="42">
        <v>0</v>
      </c>
      <c r="H98" s="43">
        <v>0</v>
      </c>
      <c r="I98" s="42">
        <v>473</v>
      </c>
      <c r="J98" s="42">
        <v>0</v>
      </c>
      <c r="K98" s="43">
        <v>0</v>
      </c>
      <c r="L98" s="42">
        <v>0</v>
      </c>
      <c r="M98" s="42">
        <v>0</v>
      </c>
      <c r="N98" s="43">
        <v>0</v>
      </c>
      <c r="O98" s="89">
        <v>29</v>
      </c>
      <c r="P98" s="89">
        <v>120</v>
      </c>
      <c r="Q98" s="89">
        <v>31</v>
      </c>
      <c r="R98" s="44">
        <f t="shared" si="39"/>
        <v>3480</v>
      </c>
    </row>
    <row r="99" spans="1:19" x14ac:dyDescent="0.25">
      <c r="A99" s="88">
        <v>5</v>
      </c>
      <c r="B99" s="83" t="s">
        <v>98</v>
      </c>
      <c r="C99" s="89">
        <v>84949</v>
      </c>
      <c r="D99" s="89">
        <v>116660</v>
      </c>
      <c r="E99" s="43">
        <f t="shared" ref="E99:E122" si="40">C99/D99*100-100</f>
        <v>-27.182410423452779</v>
      </c>
      <c r="F99" s="89">
        <v>53391</v>
      </c>
      <c r="G99" s="89">
        <v>60651</v>
      </c>
      <c r="H99" s="43">
        <f t="shared" ref="H99:H122" si="41">F99/G99*100-100</f>
        <v>-11.970124152940599</v>
      </c>
      <c r="I99" s="89">
        <v>95753</v>
      </c>
      <c r="J99" s="89">
        <v>67449</v>
      </c>
      <c r="K99" s="43">
        <f t="shared" si="37"/>
        <v>41.963557650965924</v>
      </c>
      <c r="L99" s="89">
        <v>95753</v>
      </c>
      <c r="M99" s="89">
        <v>67449</v>
      </c>
      <c r="N99" s="43">
        <f t="shared" si="38"/>
        <v>41.963557650965924</v>
      </c>
      <c r="O99" s="89">
        <v>401</v>
      </c>
      <c r="P99" s="89">
        <v>52</v>
      </c>
      <c r="Q99" s="89">
        <v>408</v>
      </c>
      <c r="R99" s="44">
        <f t="shared" si="39"/>
        <v>20852</v>
      </c>
    </row>
    <row r="100" spans="1:19" x14ac:dyDescent="0.25">
      <c r="A100" s="88">
        <v>6</v>
      </c>
      <c r="B100" s="83" t="s">
        <v>99</v>
      </c>
      <c r="C100" s="42">
        <v>0</v>
      </c>
      <c r="D100" s="42">
        <v>0</v>
      </c>
      <c r="E100" s="43">
        <v>0</v>
      </c>
      <c r="F100" s="42">
        <v>0</v>
      </c>
      <c r="G100" s="42">
        <v>0</v>
      </c>
      <c r="H100" s="43">
        <v>0</v>
      </c>
      <c r="I100" s="42">
        <v>0</v>
      </c>
      <c r="J100" s="42">
        <v>0</v>
      </c>
      <c r="K100" s="43">
        <v>0</v>
      </c>
      <c r="L100" s="42">
        <v>0</v>
      </c>
      <c r="M100" s="42">
        <v>0</v>
      </c>
      <c r="N100" s="43">
        <v>0</v>
      </c>
      <c r="O100" s="89">
        <v>0</v>
      </c>
      <c r="P100" s="89">
        <v>0</v>
      </c>
      <c r="Q100" s="89">
        <v>0</v>
      </c>
      <c r="R100" s="44">
        <f t="shared" si="39"/>
        <v>0</v>
      </c>
    </row>
    <row r="101" spans="1:19" x14ac:dyDescent="0.25">
      <c r="A101" s="88">
        <v>7</v>
      </c>
      <c r="B101" s="81" t="s">
        <v>100</v>
      </c>
      <c r="C101" s="42">
        <v>0</v>
      </c>
      <c r="D101" s="42">
        <v>0</v>
      </c>
      <c r="E101" s="43">
        <v>0</v>
      </c>
      <c r="F101" s="42">
        <v>0</v>
      </c>
      <c r="G101" s="42">
        <v>0</v>
      </c>
      <c r="H101" s="43">
        <v>0</v>
      </c>
      <c r="I101" s="42">
        <v>0</v>
      </c>
      <c r="J101" s="42">
        <v>0</v>
      </c>
      <c r="K101" s="43">
        <v>0</v>
      </c>
      <c r="L101" s="42">
        <v>0</v>
      </c>
      <c r="M101" s="42">
        <v>0</v>
      </c>
      <c r="N101" s="43">
        <v>0</v>
      </c>
      <c r="O101" s="89">
        <v>0</v>
      </c>
      <c r="P101" s="89">
        <v>0</v>
      </c>
      <c r="Q101" s="89">
        <v>0</v>
      </c>
      <c r="R101" s="44">
        <f t="shared" si="39"/>
        <v>0</v>
      </c>
    </row>
    <row r="102" spans="1:19" x14ac:dyDescent="0.25">
      <c r="A102" s="88">
        <v>8</v>
      </c>
      <c r="B102" s="83" t="s">
        <v>101</v>
      </c>
      <c r="C102" s="49">
        <v>28560</v>
      </c>
      <c r="D102" s="49">
        <v>92217</v>
      </c>
      <c r="E102" s="43">
        <f t="shared" si="40"/>
        <v>-69.029571554051856</v>
      </c>
      <c r="F102" s="49">
        <v>18264</v>
      </c>
      <c r="G102" s="49">
        <v>67332</v>
      </c>
      <c r="H102" s="43">
        <f t="shared" si="41"/>
        <v>-72.874710390304756</v>
      </c>
      <c r="I102" s="49">
        <v>29820</v>
      </c>
      <c r="J102" s="49">
        <v>53530</v>
      </c>
      <c r="K102" s="43">
        <f t="shared" si="37"/>
        <v>-44.292919858023538</v>
      </c>
      <c r="L102" s="49">
        <v>0</v>
      </c>
      <c r="M102" s="49">
        <v>36845</v>
      </c>
      <c r="N102" s="54">
        <f t="shared" si="38"/>
        <v>-100</v>
      </c>
      <c r="O102" s="89">
        <v>109</v>
      </c>
      <c r="P102" s="89">
        <v>74</v>
      </c>
      <c r="Q102" s="89">
        <v>120</v>
      </c>
      <c r="R102" s="44">
        <f t="shared" si="39"/>
        <v>8066</v>
      </c>
    </row>
    <row r="103" spans="1:19" x14ac:dyDescent="0.25">
      <c r="A103" s="88">
        <v>9</v>
      </c>
      <c r="B103" s="83" t="s">
        <v>102</v>
      </c>
      <c r="C103" s="42">
        <v>0</v>
      </c>
      <c r="D103" s="42">
        <v>0</v>
      </c>
      <c r="E103" s="43">
        <v>0</v>
      </c>
      <c r="F103" s="42">
        <v>0</v>
      </c>
      <c r="G103" s="42">
        <v>0</v>
      </c>
      <c r="H103" s="43">
        <v>0</v>
      </c>
      <c r="I103" s="42">
        <v>0</v>
      </c>
      <c r="J103" s="42">
        <v>0</v>
      </c>
      <c r="K103" s="43">
        <v>0</v>
      </c>
      <c r="L103" s="42">
        <v>0</v>
      </c>
      <c r="M103" s="42">
        <v>0</v>
      </c>
      <c r="N103" s="43">
        <v>0</v>
      </c>
      <c r="O103" s="89">
        <v>0</v>
      </c>
      <c r="P103" s="89">
        <v>0</v>
      </c>
      <c r="Q103" s="89">
        <v>0</v>
      </c>
      <c r="R103" s="44">
        <f t="shared" si="39"/>
        <v>0</v>
      </c>
    </row>
    <row r="104" spans="1:19" x14ac:dyDescent="0.25">
      <c r="A104" s="88">
        <v>10</v>
      </c>
      <c r="B104" s="81" t="s">
        <v>103</v>
      </c>
      <c r="C104" s="45">
        <v>0</v>
      </c>
      <c r="D104" s="45">
        <v>24222</v>
      </c>
      <c r="E104" s="43">
        <f t="shared" si="40"/>
        <v>-100</v>
      </c>
      <c r="F104" s="45">
        <v>0</v>
      </c>
      <c r="G104" s="45">
        <v>0</v>
      </c>
      <c r="H104" s="43">
        <v>0</v>
      </c>
      <c r="I104" s="45">
        <v>0</v>
      </c>
      <c r="J104" s="45">
        <v>24222</v>
      </c>
      <c r="K104" s="43">
        <f t="shared" si="37"/>
        <v>-100</v>
      </c>
      <c r="L104" s="45">
        <v>0</v>
      </c>
      <c r="M104" s="45">
        <v>24222</v>
      </c>
      <c r="N104" s="43">
        <f t="shared" si="38"/>
        <v>-100</v>
      </c>
      <c r="O104" s="89">
        <v>89</v>
      </c>
      <c r="P104" s="89">
        <v>58</v>
      </c>
      <c r="Q104" s="89">
        <v>92</v>
      </c>
      <c r="R104" s="44">
        <f t="shared" si="39"/>
        <v>5162</v>
      </c>
    </row>
    <row r="105" spans="1:19" x14ac:dyDescent="0.25">
      <c r="A105" s="88">
        <v>11</v>
      </c>
      <c r="B105" s="83" t="s">
        <v>104</v>
      </c>
      <c r="C105" s="42">
        <v>0</v>
      </c>
      <c r="D105" s="42">
        <v>0</v>
      </c>
      <c r="E105" s="43">
        <v>0</v>
      </c>
      <c r="F105" s="42">
        <v>0</v>
      </c>
      <c r="G105" s="42">
        <v>0</v>
      </c>
      <c r="H105" s="43">
        <v>0</v>
      </c>
      <c r="I105" s="42">
        <v>0</v>
      </c>
      <c r="J105" s="42">
        <v>0</v>
      </c>
      <c r="K105" s="43">
        <v>0</v>
      </c>
      <c r="L105" s="42">
        <v>0</v>
      </c>
      <c r="M105" s="42">
        <v>0</v>
      </c>
      <c r="N105" s="43">
        <v>0</v>
      </c>
      <c r="O105" s="89">
        <v>0</v>
      </c>
      <c r="P105" s="89">
        <v>0</v>
      </c>
      <c r="Q105" s="89">
        <v>0</v>
      </c>
      <c r="R105" s="44">
        <f t="shared" si="39"/>
        <v>0</v>
      </c>
    </row>
    <row r="106" spans="1:19" x14ac:dyDescent="0.25">
      <c r="A106" s="88">
        <v>12</v>
      </c>
      <c r="B106" s="83" t="s">
        <v>105</v>
      </c>
      <c r="C106" s="90">
        <v>0</v>
      </c>
      <c r="D106" s="89">
        <v>4230</v>
      </c>
      <c r="E106" s="43">
        <f t="shared" si="40"/>
        <v>-100</v>
      </c>
      <c r="F106" s="90">
        <v>0</v>
      </c>
      <c r="G106" s="89">
        <v>2820</v>
      </c>
      <c r="H106" s="43">
        <v>0</v>
      </c>
      <c r="I106" s="90">
        <v>0</v>
      </c>
      <c r="J106" s="90">
        <v>0</v>
      </c>
      <c r="K106" s="43">
        <v>0</v>
      </c>
      <c r="L106" s="89">
        <v>0</v>
      </c>
      <c r="M106" s="89">
        <v>0</v>
      </c>
      <c r="N106" s="43">
        <v>0</v>
      </c>
      <c r="O106" s="89">
        <v>8</v>
      </c>
      <c r="P106" s="89">
        <v>58</v>
      </c>
      <c r="Q106" s="89">
        <v>8</v>
      </c>
      <c r="R106" s="44">
        <f t="shared" si="39"/>
        <v>464</v>
      </c>
    </row>
    <row r="107" spans="1:19" x14ac:dyDescent="0.25">
      <c r="A107" s="88">
        <v>13</v>
      </c>
      <c r="B107" s="83" t="s">
        <v>106</v>
      </c>
      <c r="C107" s="90">
        <v>6733</v>
      </c>
      <c r="D107" s="90">
        <v>0</v>
      </c>
      <c r="E107" s="92">
        <v>0</v>
      </c>
      <c r="F107" s="90">
        <v>1531</v>
      </c>
      <c r="G107" s="90">
        <v>0</v>
      </c>
      <c r="H107" s="90">
        <v>0</v>
      </c>
      <c r="I107" s="90">
        <v>16258</v>
      </c>
      <c r="J107" s="90">
        <v>2035</v>
      </c>
      <c r="K107" s="92">
        <f t="shared" si="37"/>
        <v>698.91891891891896</v>
      </c>
      <c r="L107" s="90">
        <v>15679</v>
      </c>
      <c r="M107" s="90">
        <v>0</v>
      </c>
      <c r="N107" s="92">
        <v>0</v>
      </c>
      <c r="O107" s="90">
        <v>74</v>
      </c>
      <c r="P107" s="90">
        <v>65</v>
      </c>
      <c r="Q107" s="90">
        <v>75</v>
      </c>
      <c r="R107" s="44">
        <f t="shared" si="39"/>
        <v>4810</v>
      </c>
    </row>
    <row r="108" spans="1:19" x14ac:dyDescent="0.25">
      <c r="A108" s="88">
        <v>14</v>
      </c>
      <c r="B108" s="83" t="s">
        <v>107</v>
      </c>
      <c r="C108" s="42">
        <v>0</v>
      </c>
      <c r="D108" s="42">
        <v>0</v>
      </c>
      <c r="E108" s="43">
        <v>0</v>
      </c>
      <c r="F108" s="42">
        <v>0</v>
      </c>
      <c r="G108" s="42">
        <v>0</v>
      </c>
      <c r="H108" s="43">
        <v>0</v>
      </c>
      <c r="I108" s="42">
        <v>0</v>
      </c>
      <c r="J108" s="42">
        <v>0</v>
      </c>
      <c r="K108" s="43">
        <v>0</v>
      </c>
      <c r="L108" s="42">
        <v>0</v>
      </c>
      <c r="M108" s="42">
        <v>0</v>
      </c>
      <c r="N108" s="43">
        <v>0</v>
      </c>
      <c r="O108" s="89">
        <v>0</v>
      </c>
      <c r="P108" s="89">
        <v>0</v>
      </c>
      <c r="Q108" s="89">
        <v>0</v>
      </c>
      <c r="R108" s="44">
        <f t="shared" si="39"/>
        <v>0</v>
      </c>
    </row>
    <row r="109" spans="1:19" x14ac:dyDescent="0.25">
      <c r="A109" s="88">
        <v>15</v>
      </c>
      <c r="B109" s="83" t="s">
        <v>108</v>
      </c>
      <c r="C109" s="49">
        <v>29373</v>
      </c>
      <c r="D109" s="49">
        <v>26849</v>
      </c>
      <c r="E109" s="43">
        <f t="shared" si="40"/>
        <v>9.4007225594994139</v>
      </c>
      <c r="F109" s="49">
        <v>15856</v>
      </c>
      <c r="G109" s="49">
        <v>11544</v>
      </c>
      <c r="H109" s="43">
        <f t="shared" si="41"/>
        <v>37.352737352737336</v>
      </c>
      <c r="I109" s="49">
        <v>29373</v>
      </c>
      <c r="J109" s="49">
        <v>26849</v>
      </c>
      <c r="K109" s="43">
        <v>0</v>
      </c>
      <c r="L109" s="49">
        <v>29373</v>
      </c>
      <c r="M109" s="49">
        <v>26849</v>
      </c>
      <c r="N109" s="43">
        <f t="shared" si="38"/>
        <v>9.4007225594994139</v>
      </c>
      <c r="O109" s="89">
        <v>87</v>
      </c>
      <c r="P109" s="89">
        <v>85</v>
      </c>
      <c r="Q109" s="89">
        <v>90</v>
      </c>
      <c r="R109" s="44">
        <f t="shared" si="39"/>
        <v>7395</v>
      </c>
    </row>
    <row r="110" spans="1:19" x14ac:dyDescent="0.25">
      <c r="A110" s="88">
        <v>16</v>
      </c>
      <c r="B110" s="83" t="s">
        <v>109</v>
      </c>
      <c r="C110" s="49">
        <v>16262</v>
      </c>
      <c r="D110" s="49">
        <v>136</v>
      </c>
      <c r="E110" s="43">
        <f t="shared" si="40"/>
        <v>11857.35294117647</v>
      </c>
      <c r="F110" s="49">
        <v>12412</v>
      </c>
      <c r="G110" s="49">
        <v>56</v>
      </c>
      <c r="H110" s="43">
        <f t="shared" si="41"/>
        <v>22064.285714285714</v>
      </c>
      <c r="I110" s="49">
        <v>16134</v>
      </c>
      <c r="J110" s="49">
        <v>4118</v>
      </c>
      <c r="K110" s="43">
        <f t="shared" si="37"/>
        <v>291.79213210296263</v>
      </c>
      <c r="L110" s="49">
        <v>0</v>
      </c>
      <c r="M110" s="49">
        <v>0</v>
      </c>
      <c r="N110" s="43">
        <v>0</v>
      </c>
      <c r="O110" s="89">
        <v>44</v>
      </c>
      <c r="P110" s="89">
        <v>65</v>
      </c>
      <c r="Q110" s="89">
        <v>96</v>
      </c>
      <c r="R110" s="44">
        <f t="shared" si="39"/>
        <v>2860</v>
      </c>
    </row>
    <row r="111" spans="1:19" x14ac:dyDescent="0.25">
      <c r="A111" s="88">
        <v>17</v>
      </c>
      <c r="B111" s="83" t="s">
        <v>110</v>
      </c>
      <c r="C111" s="90">
        <v>80192</v>
      </c>
      <c r="D111" s="89">
        <v>89650</v>
      </c>
      <c r="E111" s="43">
        <f t="shared" si="40"/>
        <v>-10.549916341327375</v>
      </c>
      <c r="F111" s="90">
        <v>38988</v>
      </c>
      <c r="G111" s="90">
        <v>46817</v>
      </c>
      <c r="H111" s="43">
        <f t="shared" si="41"/>
        <v>-16.722558045154528</v>
      </c>
      <c r="I111" s="90">
        <v>66542</v>
      </c>
      <c r="J111" s="90">
        <v>27801</v>
      </c>
      <c r="K111" s="43">
        <f t="shared" si="37"/>
        <v>139.35110247832813</v>
      </c>
      <c r="L111" s="89">
        <v>0</v>
      </c>
      <c r="M111" s="89">
        <v>0</v>
      </c>
      <c r="N111" s="90">
        <v>0</v>
      </c>
      <c r="O111" s="89">
        <v>168</v>
      </c>
      <c r="P111" s="89">
        <v>80</v>
      </c>
      <c r="Q111" s="89">
        <v>168</v>
      </c>
      <c r="R111" s="44">
        <f t="shared" si="39"/>
        <v>13440</v>
      </c>
    </row>
    <row r="112" spans="1:19" ht="25.5" x14ac:dyDescent="0.25">
      <c r="A112" s="185">
        <v>18</v>
      </c>
      <c r="B112" s="194" t="s">
        <v>245</v>
      </c>
      <c r="C112" s="47">
        <v>231198</v>
      </c>
      <c r="D112" s="47">
        <v>0</v>
      </c>
      <c r="E112" s="43">
        <v>0</v>
      </c>
      <c r="F112" s="47">
        <v>107606</v>
      </c>
      <c r="G112" s="47">
        <v>0</v>
      </c>
      <c r="H112" s="43">
        <v>0</v>
      </c>
      <c r="I112" s="47">
        <v>231198</v>
      </c>
      <c r="J112" s="47">
        <v>0</v>
      </c>
      <c r="K112" s="43">
        <v>0</v>
      </c>
      <c r="L112" s="47">
        <v>231198</v>
      </c>
      <c r="M112" s="47">
        <v>0</v>
      </c>
      <c r="N112" s="43">
        <v>0</v>
      </c>
      <c r="O112" s="125">
        <v>830</v>
      </c>
      <c r="P112" s="125">
        <v>70</v>
      </c>
      <c r="Q112" s="125">
        <v>830</v>
      </c>
      <c r="R112" s="44">
        <f t="shared" si="39"/>
        <v>58100</v>
      </c>
    </row>
    <row r="113" spans="1:18" x14ac:dyDescent="0.25">
      <c r="A113" s="88">
        <v>19</v>
      </c>
      <c r="B113" s="83" t="s">
        <v>112</v>
      </c>
      <c r="C113" s="42">
        <v>0</v>
      </c>
      <c r="D113" s="42">
        <v>0</v>
      </c>
      <c r="E113" s="43">
        <v>0</v>
      </c>
      <c r="F113" s="42">
        <v>0</v>
      </c>
      <c r="G113" s="42">
        <v>0</v>
      </c>
      <c r="H113" s="43">
        <v>0</v>
      </c>
      <c r="I113" s="42">
        <v>0</v>
      </c>
      <c r="J113" s="42">
        <v>0</v>
      </c>
      <c r="K113" s="43">
        <v>0</v>
      </c>
      <c r="L113" s="42">
        <v>0</v>
      </c>
      <c r="M113" s="42">
        <v>0</v>
      </c>
      <c r="N113" s="43">
        <v>0</v>
      </c>
      <c r="O113" s="90">
        <v>0</v>
      </c>
      <c r="P113" s="90">
        <v>0</v>
      </c>
      <c r="Q113" s="90">
        <v>0</v>
      </c>
      <c r="R113" s="44">
        <f t="shared" si="39"/>
        <v>0</v>
      </c>
    </row>
    <row r="114" spans="1:18" x14ac:dyDescent="0.25">
      <c r="A114" s="88">
        <v>20</v>
      </c>
      <c r="B114" s="83" t="s">
        <v>113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3">
        <v>0</v>
      </c>
      <c r="I114" s="42">
        <v>0</v>
      </c>
      <c r="J114" s="42">
        <v>0</v>
      </c>
      <c r="K114" s="43">
        <v>0</v>
      </c>
      <c r="L114" s="42">
        <v>0</v>
      </c>
      <c r="M114" s="42">
        <v>0</v>
      </c>
      <c r="N114" s="43">
        <v>0</v>
      </c>
      <c r="O114" s="90">
        <v>0</v>
      </c>
      <c r="P114" s="90">
        <v>0</v>
      </c>
      <c r="Q114" s="90">
        <v>0</v>
      </c>
      <c r="R114" s="44">
        <f t="shared" si="39"/>
        <v>0</v>
      </c>
    </row>
    <row r="115" spans="1:18" x14ac:dyDescent="0.25">
      <c r="A115" s="88">
        <v>21</v>
      </c>
      <c r="B115" s="83" t="s">
        <v>114</v>
      </c>
      <c r="C115" s="89">
        <v>8674</v>
      </c>
      <c r="D115" s="89">
        <v>8469</v>
      </c>
      <c r="E115" s="43">
        <f t="shared" si="40"/>
        <v>2.4205927500295275</v>
      </c>
      <c r="F115" s="89">
        <v>4087</v>
      </c>
      <c r="G115" s="89">
        <v>4446</v>
      </c>
      <c r="H115" s="43">
        <f t="shared" si="41"/>
        <v>-8.0746738641475559</v>
      </c>
      <c r="I115" s="89">
        <v>8674</v>
      </c>
      <c r="J115" s="89">
        <v>8469</v>
      </c>
      <c r="K115" s="43">
        <f t="shared" si="37"/>
        <v>2.4205927500295275</v>
      </c>
      <c r="L115" s="89">
        <v>3436</v>
      </c>
      <c r="M115" s="89">
        <v>7615</v>
      </c>
      <c r="N115" s="43">
        <f t="shared" si="38"/>
        <v>-54.878529218647401</v>
      </c>
      <c r="O115" s="90">
        <v>15</v>
      </c>
      <c r="P115" s="90">
        <v>70</v>
      </c>
      <c r="Q115" s="90">
        <v>15</v>
      </c>
      <c r="R115" s="44">
        <f t="shared" si="39"/>
        <v>1050</v>
      </c>
    </row>
    <row r="116" spans="1:18" x14ac:dyDescent="0.25">
      <c r="A116" s="88">
        <v>22</v>
      </c>
      <c r="B116" s="81" t="s">
        <v>115</v>
      </c>
      <c r="C116" s="90">
        <v>0</v>
      </c>
      <c r="D116" s="90">
        <v>2250</v>
      </c>
      <c r="E116" s="43">
        <f t="shared" si="40"/>
        <v>-100</v>
      </c>
      <c r="F116" s="90">
        <v>0</v>
      </c>
      <c r="G116" s="90">
        <v>2250</v>
      </c>
      <c r="H116" s="43">
        <f t="shared" si="41"/>
        <v>-100</v>
      </c>
      <c r="I116" s="90">
        <v>5364</v>
      </c>
      <c r="J116" s="90">
        <v>4996</v>
      </c>
      <c r="K116" s="43">
        <f t="shared" si="37"/>
        <v>7.3658927141713377</v>
      </c>
      <c r="L116" s="89">
        <v>0</v>
      </c>
      <c r="M116" s="90">
        <v>0</v>
      </c>
      <c r="N116" s="43">
        <v>0</v>
      </c>
      <c r="O116" s="90">
        <v>12</v>
      </c>
      <c r="P116" s="90">
        <v>93</v>
      </c>
      <c r="Q116" s="90">
        <v>13</v>
      </c>
      <c r="R116" s="44">
        <f t="shared" si="39"/>
        <v>1116</v>
      </c>
    </row>
    <row r="117" spans="1:18" x14ac:dyDescent="0.25">
      <c r="A117" s="88">
        <v>23</v>
      </c>
      <c r="B117" s="81" t="s">
        <v>116</v>
      </c>
      <c r="C117" s="90">
        <v>18157</v>
      </c>
      <c r="D117" s="89">
        <v>16949</v>
      </c>
      <c r="E117" s="43">
        <f t="shared" si="40"/>
        <v>7.1272641453772962</v>
      </c>
      <c r="F117" s="90">
        <v>13977</v>
      </c>
      <c r="G117" s="90">
        <v>9962</v>
      </c>
      <c r="H117" s="43">
        <f t="shared" si="41"/>
        <v>40.303151977514545</v>
      </c>
      <c r="I117" s="90">
        <v>17783</v>
      </c>
      <c r="J117" s="90">
        <v>16873</v>
      </c>
      <c r="K117" s="43">
        <v>0</v>
      </c>
      <c r="L117" s="89">
        <v>0</v>
      </c>
      <c r="M117" s="89">
        <v>0</v>
      </c>
      <c r="N117" s="43">
        <v>0</v>
      </c>
      <c r="O117" s="90">
        <v>16</v>
      </c>
      <c r="P117" s="90">
        <v>70</v>
      </c>
      <c r="Q117" s="90">
        <v>37</v>
      </c>
      <c r="R117" s="44">
        <f t="shared" si="39"/>
        <v>1120</v>
      </c>
    </row>
    <row r="118" spans="1:18" x14ac:dyDescent="0.25">
      <c r="A118" s="88">
        <v>24</v>
      </c>
      <c r="B118" s="83" t="s">
        <v>117</v>
      </c>
      <c r="C118" s="89">
        <v>16885</v>
      </c>
      <c r="D118" s="89">
        <v>11854</v>
      </c>
      <c r="E118" s="43">
        <f t="shared" si="40"/>
        <v>42.441370001687204</v>
      </c>
      <c r="F118" s="89">
        <v>4807</v>
      </c>
      <c r="G118" s="90">
        <v>6969</v>
      </c>
      <c r="H118" s="43">
        <f t="shared" si="41"/>
        <v>-31.023102310231025</v>
      </c>
      <c r="I118" s="89">
        <v>5540</v>
      </c>
      <c r="J118" s="89">
        <v>26165</v>
      </c>
      <c r="K118" s="43">
        <f t="shared" si="37"/>
        <v>-78.826676858398628</v>
      </c>
      <c r="L118" s="93">
        <v>0</v>
      </c>
      <c r="M118" s="89">
        <v>0</v>
      </c>
      <c r="N118" s="43">
        <v>0</v>
      </c>
      <c r="O118" s="90">
        <v>48</v>
      </c>
      <c r="P118" s="90">
        <v>61</v>
      </c>
      <c r="Q118" s="90">
        <v>50</v>
      </c>
      <c r="R118" s="44">
        <f t="shared" si="39"/>
        <v>2928</v>
      </c>
    </row>
    <row r="119" spans="1:18" x14ac:dyDescent="0.25">
      <c r="A119" s="88">
        <v>25</v>
      </c>
      <c r="B119" s="83" t="s">
        <v>118</v>
      </c>
      <c r="C119" s="89">
        <v>3064</v>
      </c>
      <c r="D119" s="89">
        <v>2097</v>
      </c>
      <c r="E119" s="43">
        <f t="shared" si="40"/>
        <v>46.113495469718629</v>
      </c>
      <c r="F119" s="89">
        <v>1528</v>
      </c>
      <c r="G119" s="89">
        <v>1106</v>
      </c>
      <c r="H119" s="43">
        <f t="shared" si="41"/>
        <v>38.155515370705245</v>
      </c>
      <c r="I119" s="89">
        <v>3139</v>
      </c>
      <c r="J119" s="89">
        <v>2688</v>
      </c>
      <c r="K119" s="43">
        <f t="shared" si="37"/>
        <v>16.77827380952381</v>
      </c>
      <c r="L119" s="89">
        <v>0</v>
      </c>
      <c r="M119" s="89">
        <v>0</v>
      </c>
      <c r="N119" s="43">
        <v>0</v>
      </c>
      <c r="O119" s="90">
        <v>23</v>
      </c>
      <c r="P119" s="90">
        <v>44</v>
      </c>
      <c r="Q119" s="90">
        <v>23</v>
      </c>
      <c r="R119" s="44">
        <f t="shared" si="39"/>
        <v>1012</v>
      </c>
    </row>
    <row r="120" spans="1:18" x14ac:dyDescent="0.25">
      <c r="A120" s="88">
        <v>26</v>
      </c>
      <c r="B120" s="182" t="s">
        <v>228</v>
      </c>
      <c r="C120" s="89">
        <v>3675</v>
      </c>
      <c r="D120" s="89">
        <v>0</v>
      </c>
      <c r="E120" s="43">
        <v>0</v>
      </c>
      <c r="F120" s="89">
        <v>1275</v>
      </c>
      <c r="G120" s="89">
        <v>0</v>
      </c>
      <c r="H120" s="43">
        <v>0</v>
      </c>
      <c r="I120" s="89">
        <v>1952</v>
      </c>
      <c r="J120" s="89">
        <v>2797</v>
      </c>
      <c r="K120" s="43">
        <f t="shared" si="37"/>
        <v>-30.210940293171248</v>
      </c>
      <c r="L120" s="89">
        <v>0</v>
      </c>
      <c r="M120" s="89">
        <v>0</v>
      </c>
      <c r="N120" s="43">
        <v>0</v>
      </c>
      <c r="O120" s="90"/>
      <c r="P120" s="90"/>
      <c r="Q120" s="90"/>
      <c r="R120" s="44">
        <f t="shared" si="39"/>
        <v>0</v>
      </c>
    </row>
    <row r="121" spans="1:18" x14ac:dyDescent="0.25">
      <c r="A121" s="88">
        <v>27</v>
      </c>
      <c r="B121" s="182" t="s">
        <v>238</v>
      </c>
      <c r="C121" s="89">
        <v>9916</v>
      </c>
      <c r="D121" s="89">
        <v>6337</v>
      </c>
      <c r="E121" s="43">
        <f t="shared" si="40"/>
        <v>56.477828625532595</v>
      </c>
      <c r="F121" s="89">
        <v>5422</v>
      </c>
      <c r="G121" s="89">
        <v>4504</v>
      </c>
      <c r="H121" s="43">
        <f t="shared" si="41"/>
        <v>20.381882770870334</v>
      </c>
      <c r="I121" s="89">
        <v>9916</v>
      </c>
      <c r="J121" s="89">
        <v>6337</v>
      </c>
      <c r="K121" s="43">
        <f t="shared" si="37"/>
        <v>56.477828625532595</v>
      </c>
      <c r="L121" s="89">
        <v>0</v>
      </c>
      <c r="M121" s="89">
        <v>0</v>
      </c>
      <c r="N121" s="43">
        <v>0</v>
      </c>
      <c r="O121" s="90">
        <v>34</v>
      </c>
      <c r="P121" s="90"/>
      <c r="Q121" s="195">
        <v>34</v>
      </c>
      <c r="R121" s="44">
        <f t="shared" si="39"/>
        <v>0</v>
      </c>
    </row>
    <row r="122" spans="1:18" x14ac:dyDescent="0.25">
      <c r="A122" s="171"/>
      <c r="B122" s="171" t="s">
        <v>119</v>
      </c>
      <c r="C122" s="87">
        <f>SUM(C95:C121)</f>
        <v>647230</v>
      </c>
      <c r="D122" s="87">
        <f>SUM(D95:D121)</f>
        <v>401920</v>
      </c>
      <c r="E122" s="57">
        <f t="shared" si="40"/>
        <v>61.034534235668787</v>
      </c>
      <c r="F122" s="87">
        <f>SUM(F95:F121)</f>
        <v>334545</v>
      </c>
      <c r="G122" s="87">
        <f>SUM(G95:G121)</f>
        <v>218457</v>
      </c>
      <c r="H122" s="57">
        <f t="shared" si="41"/>
        <v>53.139977203751755</v>
      </c>
      <c r="I122" s="87">
        <f>SUM(I95:I121)</f>
        <v>621545</v>
      </c>
      <c r="J122" s="87">
        <f>SUM(J95:J121)</f>
        <v>292462</v>
      </c>
      <c r="K122" s="57">
        <f t="shared" si="37"/>
        <v>112.52162674125182</v>
      </c>
      <c r="L122" s="87">
        <f>SUM(L95:L121)</f>
        <v>459065</v>
      </c>
      <c r="M122" s="87">
        <f>SUM(M95:M121)</f>
        <v>181093</v>
      </c>
      <c r="N122" s="57">
        <f t="shared" si="38"/>
        <v>153.49682207484551</v>
      </c>
      <c r="O122" s="87">
        <f>SUM(O95:O121)</f>
        <v>2302</v>
      </c>
      <c r="P122" s="58">
        <f>R122/O122</f>
        <v>73.835794960903556</v>
      </c>
      <c r="Q122" s="87">
        <f>SUM(Q95:Q121)</f>
        <v>2372</v>
      </c>
      <c r="R122" s="87">
        <f>SUM(R95:R121)</f>
        <v>169970</v>
      </c>
    </row>
    <row r="123" spans="1:18" ht="11.25" customHeight="1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37">
        <v>15</v>
      </c>
      <c r="R123" s="39">
        <f t="shared" ref="R123:R130" si="42">O123*P123</f>
        <v>0</v>
      </c>
    </row>
    <row r="124" spans="1:18" x14ac:dyDescent="0.25">
      <c r="A124" s="946" t="s">
        <v>120</v>
      </c>
      <c r="B124" s="948"/>
      <c r="C124" s="37">
        <v>3</v>
      </c>
      <c r="D124" s="37">
        <v>4</v>
      </c>
      <c r="E124" s="38">
        <v>5</v>
      </c>
      <c r="F124" s="37">
        <v>6</v>
      </c>
      <c r="G124" s="37">
        <v>7</v>
      </c>
      <c r="H124" s="37">
        <v>8</v>
      </c>
      <c r="I124" s="37">
        <v>9</v>
      </c>
      <c r="J124" s="37">
        <v>10</v>
      </c>
      <c r="K124" s="37">
        <v>11</v>
      </c>
      <c r="L124" s="37">
        <v>12</v>
      </c>
      <c r="M124" s="37">
        <v>13</v>
      </c>
      <c r="N124" s="37">
        <v>14</v>
      </c>
      <c r="O124" s="37">
        <v>15</v>
      </c>
      <c r="P124" s="38">
        <v>16</v>
      </c>
      <c r="Q124" s="45"/>
      <c r="R124" s="44">
        <f t="shared" si="42"/>
        <v>240</v>
      </c>
    </row>
    <row r="125" spans="1:18" x14ac:dyDescent="0.25">
      <c r="A125" s="50">
        <v>1</v>
      </c>
      <c r="B125" s="97" t="s">
        <v>121</v>
      </c>
      <c r="C125" s="45">
        <v>20774</v>
      </c>
      <c r="D125" s="45">
        <v>10972</v>
      </c>
      <c r="E125" s="43">
        <f t="shared" ref="E125:E131" si="43">C125/D125*100-100</f>
        <v>89.33649289099526</v>
      </c>
      <c r="F125" s="45">
        <v>11453</v>
      </c>
      <c r="G125" s="45">
        <v>9267</v>
      </c>
      <c r="H125" s="43">
        <f t="shared" ref="H125:H131" si="44">F125/G125*100-100</f>
        <v>23.589079529513327</v>
      </c>
      <c r="I125" s="45">
        <v>15439</v>
      </c>
      <c r="J125" s="45">
        <v>14687</v>
      </c>
      <c r="K125" s="43">
        <f t="shared" ref="K125:K131" si="45">I125/J125*100-100</f>
        <v>5.1201743038060954</v>
      </c>
      <c r="L125" s="45">
        <v>0</v>
      </c>
      <c r="M125" s="45">
        <v>0</v>
      </c>
      <c r="N125" s="34">
        <v>0</v>
      </c>
      <c r="O125" s="60">
        <v>73</v>
      </c>
      <c r="P125" s="46">
        <v>80</v>
      </c>
      <c r="Q125" s="60">
        <v>74</v>
      </c>
      <c r="R125" s="44">
        <f t="shared" si="42"/>
        <v>5840</v>
      </c>
    </row>
    <row r="126" spans="1:18" x14ac:dyDescent="0.25">
      <c r="A126" s="50">
        <v>2</v>
      </c>
      <c r="B126" s="97" t="s">
        <v>122</v>
      </c>
      <c r="C126" s="42">
        <v>0</v>
      </c>
      <c r="D126" s="42">
        <v>0</v>
      </c>
      <c r="E126" s="43">
        <v>0</v>
      </c>
      <c r="F126" s="42">
        <v>0</v>
      </c>
      <c r="G126" s="42">
        <v>0</v>
      </c>
      <c r="H126" s="43">
        <v>0</v>
      </c>
      <c r="I126" s="42">
        <v>0</v>
      </c>
      <c r="J126" s="42">
        <v>0</v>
      </c>
      <c r="K126" s="43">
        <v>0</v>
      </c>
      <c r="L126" s="42">
        <v>0</v>
      </c>
      <c r="M126" s="42">
        <v>0</v>
      </c>
      <c r="N126" s="43">
        <v>0</v>
      </c>
      <c r="O126" s="45">
        <v>0</v>
      </c>
      <c r="P126" s="46">
        <v>0</v>
      </c>
      <c r="Q126" s="45">
        <v>0</v>
      </c>
      <c r="R126" s="44">
        <f t="shared" si="42"/>
        <v>0</v>
      </c>
    </row>
    <row r="127" spans="1:18" x14ac:dyDescent="0.25">
      <c r="A127" s="50">
        <v>3</v>
      </c>
      <c r="B127" s="97" t="s">
        <v>123</v>
      </c>
      <c r="C127" s="42">
        <v>0</v>
      </c>
      <c r="D127" s="42">
        <v>0</v>
      </c>
      <c r="E127" s="43">
        <v>0</v>
      </c>
      <c r="F127" s="42">
        <v>0</v>
      </c>
      <c r="G127" s="42">
        <v>0</v>
      </c>
      <c r="H127" s="43">
        <v>0</v>
      </c>
      <c r="I127" s="42">
        <v>0</v>
      </c>
      <c r="J127" s="42">
        <v>0</v>
      </c>
      <c r="K127" s="43">
        <v>0</v>
      </c>
      <c r="L127" s="42">
        <v>0</v>
      </c>
      <c r="M127" s="42">
        <v>0</v>
      </c>
      <c r="N127" s="43">
        <v>0</v>
      </c>
      <c r="O127" s="45">
        <v>0</v>
      </c>
      <c r="P127" s="46">
        <v>0</v>
      </c>
      <c r="Q127" s="45">
        <v>0</v>
      </c>
      <c r="R127" s="44">
        <f t="shared" si="42"/>
        <v>0</v>
      </c>
    </row>
    <row r="128" spans="1:18" x14ac:dyDescent="0.25">
      <c r="A128" s="50">
        <v>4</v>
      </c>
      <c r="B128" s="98" t="s">
        <v>124</v>
      </c>
      <c r="C128" s="90">
        <v>0</v>
      </c>
      <c r="D128" s="90">
        <v>0</v>
      </c>
      <c r="E128" s="43">
        <v>0</v>
      </c>
      <c r="F128" s="90">
        <v>0</v>
      </c>
      <c r="G128" s="90">
        <v>0</v>
      </c>
      <c r="H128" s="43">
        <v>0</v>
      </c>
      <c r="I128" s="90">
        <v>510</v>
      </c>
      <c r="J128" s="90">
        <v>441</v>
      </c>
      <c r="K128" s="43">
        <f t="shared" si="45"/>
        <v>15.646258503401356</v>
      </c>
      <c r="L128" s="90">
        <v>0</v>
      </c>
      <c r="M128" s="90">
        <v>0</v>
      </c>
      <c r="N128" s="90">
        <v>0</v>
      </c>
      <c r="O128" s="60">
        <v>8</v>
      </c>
      <c r="P128" s="99">
        <v>70</v>
      </c>
      <c r="Q128" s="60">
        <v>8</v>
      </c>
      <c r="R128" s="44">
        <f t="shared" si="42"/>
        <v>560</v>
      </c>
    </row>
    <row r="129" spans="1:18" x14ac:dyDescent="0.25">
      <c r="A129" s="50">
        <v>5</v>
      </c>
      <c r="B129" s="98" t="s">
        <v>125</v>
      </c>
      <c r="C129" s="42">
        <v>0</v>
      </c>
      <c r="D129" s="42">
        <v>0</v>
      </c>
      <c r="E129" s="43">
        <v>0</v>
      </c>
      <c r="F129" s="42">
        <v>0</v>
      </c>
      <c r="G129" s="42">
        <v>0</v>
      </c>
      <c r="H129" s="43">
        <v>0</v>
      </c>
      <c r="I129" s="42">
        <v>0</v>
      </c>
      <c r="J129" s="42">
        <v>0</v>
      </c>
      <c r="K129" s="43">
        <v>0</v>
      </c>
      <c r="L129" s="42">
        <v>0</v>
      </c>
      <c r="M129" s="42">
        <v>0</v>
      </c>
      <c r="N129" s="43">
        <v>0</v>
      </c>
      <c r="O129" s="45">
        <v>0</v>
      </c>
      <c r="P129" s="46">
        <v>0</v>
      </c>
      <c r="Q129" s="45">
        <v>0</v>
      </c>
      <c r="R129" s="44">
        <f t="shared" si="42"/>
        <v>0</v>
      </c>
    </row>
    <row r="130" spans="1:18" x14ac:dyDescent="0.25">
      <c r="A130" s="50">
        <v>6</v>
      </c>
      <c r="B130" s="97" t="s">
        <v>126</v>
      </c>
      <c r="C130" s="49">
        <v>8290</v>
      </c>
      <c r="D130" s="49">
        <v>3462</v>
      </c>
      <c r="E130" s="43">
        <f t="shared" si="43"/>
        <v>139.45696129404968</v>
      </c>
      <c r="F130" s="49">
        <v>8290</v>
      </c>
      <c r="G130" s="49">
        <v>2795</v>
      </c>
      <c r="H130" s="43">
        <f t="shared" si="44"/>
        <v>196.60107334525941</v>
      </c>
      <c r="I130" s="49">
        <v>8290</v>
      </c>
      <c r="J130" s="49">
        <v>3462</v>
      </c>
      <c r="K130" s="43">
        <f t="shared" si="45"/>
        <v>139.45696129404968</v>
      </c>
      <c r="L130" s="49">
        <v>0</v>
      </c>
      <c r="M130" s="49">
        <v>0</v>
      </c>
      <c r="N130" s="34">
        <v>0</v>
      </c>
      <c r="O130" s="60">
        <v>23</v>
      </c>
      <c r="P130" s="89">
        <v>100</v>
      </c>
      <c r="Q130" s="60">
        <v>20</v>
      </c>
      <c r="R130" s="44">
        <f t="shared" si="42"/>
        <v>2300</v>
      </c>
    </row>
    <row r="131" spans="1:18" x14ac:dyDescent="0.25">
      <c r="A131" s="171"/>
      <c r="B131" s="171" t="s">
        <v>127</v>
      </c>
      <c r="C131" s="56">
        <f>SUM(C125:C130)</f>
        <v>29064</v>
      </c>
      <c r="D131" s="56">
        <f>SUM(D125:D130)</f>
        <v>14434</v>
      </c>
      <c r="E131" s="57">
        <f t="shared" si="43"/>
        <v>101.35790494665375</v>
      </c>
      <c r="F131" s="56">
        <f>SUM(F125:F130)</f>
        <v>19743</v>
      </c>
      <c r="G131" s="56">
        <f>SUM(G125:G130)</f>
        <v>12062</v>
      </c>
      <c r="H131" s="57">
        <f t="shared" si="44"/>
        <v>63.679323495274417</v>
      </c>
      <c r="I131" s="56">
        <f>SUM(I125:I130)</f>
        <v>24239</v>
      </c>
      <c r="J131" s="56">
        <f>SUM(J125:J130)</f>
        <v>18590</v>
      </c>
      <c r="K131" s="57">
        <f t="shared" si="45"/>
        <v>30.387305002689629</v>
      </c>
      <c r="L131" s="56">
        <f>SUM(L125:L130)</f>
        <v>0</v>
      </c>
      <c r="M131" s="56">
        <f>SUM(M125:M130)</f>
        <v>0</v>
      </c>
      <c r="N131" s="87">
        <v>0</v>
      </c>
      <c r="O131" s="56">
        <f>SUM(O125:O130)</f>
        <v>104</v>
      </c>
      <c r="P131" s="87">
        <f>R131/O131</f>
        <v>83.65384615384616</v>
      </c>
      <c r="Q131" s="56">
        <f>SUM(Q124:Q130)</f>
        <v>102</v>
      </c>
      <c r="R131" s="70">
        <f>SUM(R125:R130)</f>
        <v>8700</v>
      </c>
    </row>
    <row r="132" spans="1:18" ht="10.5" customHeight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45"/>
      <c r="R132" s="39"/>
    </row>
    <row r="133" spans="1:18" x14ac:dyDescent="0.25">
      <c r="A133" s="903" t="s">
        <v>128</v>
      </c>
      <c r="B133" s="904"/>
      <c r="C133" s="37">
        <v>3</v>
      </c>
      <c r="D133" s="37">
        <v>4</v>
      </c>
      <c r="E133" s="38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38">
        <v>16</v>
      </c>
      <c r="Q133" s="37">
        <v>15</v>
      </c>
      <c r="R133" s="31"/>
    </row>
    <row r="134" spans="1:18" x14ac:dyDescent="0.25">
      <c r="A134" s="100">
        <v>1</v>
      </c>
      <c r="B134" s="81" t="s">
        <v>129</v>
      </c>
      <c r="C134" s="60">
        <v>18436075</v>
      </c>
      <c r="D134" s="60">
        <v>20896361</v>
      </c>
      <c r="E134" s="43">
        <f t="shared" ref="E134:E139" si="46">C134/D134*100-100</f>
        <v>-11.773753334372429</v>
      </c>
      <c r="F134" s="60">
        <v>8661679</v>
      </c>
      <c r="G134" s="60">
        <v>9883034</v>
      </c>
      <c r="H134" s="43">
        <f t="shared" ref="H134:H139" si="47">F134/G134*100-100</f>
        <v>-12.35809772586029</v>
      </c>
      <c r="I134" s="100">
        <v>18306585</v>
      </c>
      <c r="J134" s="100">
        <v>22417835</v>
      </c>
      <c r="K134" s="43">
        <f t="shared" ref="K134:K139" si="48">I134/J134*100-100</f>
        <v>-18.339192879241011</v>
      </c>
      <c r="L134" s="100">
        <v>10409118</v>
      </c>
      <c r="M134" s="100">
        <v>12493450</v>
      </c>
      <c r="N134" s="43">
        <f t="shared" ref="N134:N139" si="49">L134/M134*100-100</f>
        <v>-16.68339810060472</v>
      </c>
      <c r="O134" s="45">
        <v>2974</v>
      </c>
      <c r="P134" s="60">
        <v>145</v>
      </c>
      <c r="Q134" s="45">
        <v>2974</v>
      </c>
      <c r="R134" s="44">
        <f>O134*P134</f>
        <v>431230</v>
      </c>
    </row>
    <row r="135" spans="1:18" x14ac:dyDescent="0.25">
      <c r="A135" s="100">
        <v>2</v>
      </c>
      <c r="B135" s="81" t="s">
        <v>130</v>
      </c>
      <c r="C135" s="60">
        <v>4252920</v>
      </c>
      <c r="D135" s="60">
        <v>3845629</v>
      </c>
      <c r="E135" s="43">
        <f t="shared" si="46"/>
        <v>10.591011249395095</v>
      </c>
      <c r="F135" s="60">
        <v>2055899</v>
      </c>
      <c r="G135" s="60">
        <v>1911281</v>
      </c>
      <c r="H135" s="43">
        <f t="shared" si="47"/>
        <v>7.5665482992820046</v>
      </c>
      <c r="I135" s="100">
        <v>4128926</v>
      </c>
      <c r="J135" s="100">
        <v>3155303</v>
      </c>
      <c r="K135" s="43">
        <f t="shared" si="48"/>
        <v>30.856719624074145</v>
      </c>
      <c r="L135" s="100">
        <v>0</v>
      </c>
      <c r="M135" s="100">
        <v>0</v>
      </c>
      <c r="N135" s="43">
        <v>0</v>
      </c>
      <c r="O135" s="45">
        <v>1018</v>
      </c>
      <c r="P135" s="60">
        <v>120</v>
      </c>
      <c r="Q135" s="45">
        <v>1018</v>
      </c>
      <c r="R135" s="44">
        <f>O135*P135</f>
        <v>122160</v>
      </c>
    </row>
    <row r="136" spans="1:18" ht="24" x14ac:dyDescent="0.25">
      <c r="A136" s="48">
        <v>3</v>
      </c>
      <c r="B136" s="124" t="s">
        <v>131</v>
      </c>
      <c r="C136" s="54">
        <v>2321111</v>
      </c>
      <c r="D136" s="54">
        <v>3359808</v>
      </c>
      <c r="E136" s="43">
        <f t="shared" si="46"/>
        <v>-30.915367782920939</v>
      </c>
      <c r="F136" s="54">
        <v>783899</v>
      </c>
      <c r="G136" s="54">
        <v>1265571</v>
      </c>
      <c r="H136" s="43">
        <f t="shared" si="47"/>
        <v>-38.059658446661629</v>
      </c>
      <c r="I136" s="48">
        <v>393317</v>
      </c>
      <c r="J136" s="48">
        <v>3847121</v>
      </c>
      <c r="K136" s="43">
        <f t="shared" si="48"/>
        <v>-89.776328844348797</v>
      </c>
      <c r="L136" s="48">
        <v>393317</v>
      </c>
      <c r="M136" s="48">
        <v>3847121</v>
      </c>
      <c r="N136" s="43">
        <f t="shared" si="49"/>
        <v>-89.776328844348797</v>
      </c>
      <c r="O136" s="42">
        <v>1085</v>
      </c>
      <c r="P136" s="62">
        <v>306</v>
      </c>
      <c r="Q136" s="42">
        <v>1085</v>
      </c>
      <c r="R136" s="44">
        <f>O136*P136</f>
        <v>332010</v>
      </c>
    </row>
    <row r="137" spans="1:18" x14ac:dyDescent="0.25">
      <c r="A137" s="100">
        <v>4</v>
      </c>
      <c r="B137" s="81" t="s">
        <v>132</v>
      </c>
      <c r="C137" s="75">
        <v>1153800</v>
      </c>
      <c r="D137" s="75">
        <v>606680</v>
      </c>
      <c r="E137" s="43">
        <f t="shared" si="46"/>
        <v>90.182633348717616</v>
      </c>
      <c r="F137" s="45">
        <v>538485</v>
      </c>
      <c r="G137" s="45">
        <v>240794</v>
      </c>
      <c r="H137" s="43">
        <f t="shared" si="47"/>
        <v>123.62891101937757</v>
      </c>
      <c r="I137" s="45">
        <v>1132931</v>
      </c>
      <c r="J137" s="45">
        <v>792558</v>
      </c>
      <c r="K137" s="43">
        <f t="shared" si="48"/>
        <v>42.946131387229713</v>
      </c>
      <c r="L137" s="45">
        <v>1132931</v>
      </c>
      <c r="M137" s="45">
        <v>792558</v>
      </c>
      <c r="N137" s="43">
        <f t="shared" si="49"/>
        <v>42.946131387229713</v>
      </c>
      <c r="O137" s="45">
        <v>540</v>
      </c>
      <c r="P137" s="60">
        <v>170</v>
      </c>
      <c r="Q137" s="45">
        <v>533</v>
      </c>
      <c r="R137" s="44">
        <f>O137*P137</f>
        <v>91800</v>
      </c>
    </row>
    <row r="138" spans="1:18" x14ac:dyDescent="0.25">
      <c r="A138" s="100">
        <v>5</v>
      </c>
      <c r="B138" s="81" t="s">
        <v>133</v>
      </c>
      <c r="C138" s="45">
        <v>0</v>
      </c>
      <c r="D138" s="45">
        <v>0</v>
      </c>
      <c r="E138" s="43">
        <v>0</v>
      </c>
      <c r="F138" s="45">
        <v>0</v>
      </c>
      <c r="G138" s="45">
        <v>0</v>
      </c>
      <c r="H138" s="43">
        <v>0</v>
      </c>
      <c r="I138" s="45">
        <v>0</v>
      </c>
      <c r="J138" s="45">
        <v>0</v>
      </c>
      <c r="K138" s="43">
        <v>0</v>
      </c>
      <c r="L138" s="45">
        <v>0</v>
      </c>
      <c r="M138" s="45">
        <v>0</v>
      </c>
      <c r="N138" s="43">
        <v>0</v>
      </c>
      <c r="O138" s="45">
        <v>380</v>
      </c>
      <c r="P138" s="46">
        <v>189</v>
      </c>
      <c r="Q138" s="45">
        <v>380</v>
      </c>
      <c r="R138" s="44">
        <f>O138*P138</f>
        <v>71820</v>
      </c>
    </row>
    <row r="139" spans="1:18" x14ac:dyDescent="0.25">
      <c r="A139" s="893" t="s">
        <v>134</v>
      </c>
      <c r="B139" s="894" t="s">
        <v>135</v>
      </c>
      <c r="C139" s="87">
        <f>SUM(C134:C138)</f>
        <v>26163906</v>
      </c>
      <c r="D139" s="87">
        <f>SUM(D134:D138)</f>
        <v>28708478</v>
      </c>
      <c r="E139" s="57">
        <f t="shared" si="46"/>
        <v>-8.863486249601948</v>
      </c>
      <c r="F139" s="87">
        <f t="shared" ref="F139:G139" si="50">SUM(F134:F138)</f>
        <v>12039962</v>
      </c>
      <c r="G139" s="87">
        <f t="shared" si="50"/>
        <v>13300680</v>
      </c>
      <c r="H139" s="57">
        <f t="shared" si="47"/>
        <v>-9.4785980867143564</v>
      </c>
      <c r="I139" s="87">
        <f t="shared" ref="I139:J139" si="51">SUM(I134:I138)</f>
        <v>23961759</v>
      </c>
      <c r="J139" s="87">
        <f t="shared" si="51"/>
        <v>30212817</v>
      </c>
      <c r="K139" s="57">
        <f t="shared" si="48"/>
        <v>-20.690086594705818</v>
      </c>
      <c r="L139" s="87">
        <f t="shared" ref="L139:M139" si="52">SUM(L134:L138)</f>
        <v>11935366</v>
      </c>
      <c r="M139" s="87">
        <f t="shared" si="52"/>
        <v>17133129</v>
      </c>
      <c r="N139" s="57">
        <f t="shared" si="49"/>
        <v>-30.337499939444797</v>
      </c>
      <c r="O139" s="87">
        <f t="shared" ref="O139:R139" si="53">SUM(O134:O138)</f>
        <v>5997</v>
      </c>
      <c r="P139" s="87">
        <f>R139/O139</f>
        <v>174.92412873103217</v>
      </c>
      <c r="Q139" s="87">
        <f t="shared" ref="Q139" si="54">SUM(Q134:Q138)</f>
        <v>5990</v>
      </c>
      <c r="R139" s="87">
        <f t="shared" si="53"/>
        <v>1049020</v>
      </c>
    </row>
    <row r="140" spans="1:18" ht="14.25" customHeight="1" x14ac:dyDescent="0.2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104"/>
      <c r="R140" s="105"/>
    </row>
    <row r="141" spans="1:18" x14ac:dyDescent="0.25">
      <c r="A141" s="952" t="s">
        <v>136</v>
      </c>
      <c r="B141" s="953"/>
      <c r="C141" s="37">
        <v>3</v>
      </c>
      <c r="D141" s="37">
        <v>4</v>
      </c>
      <c r="E141" s="38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38">
        <v>16</v>
      </c>
      <c r="Q141" s="37">
        <v>15</v>
      </c>
      <c r="R141" s="105"/>
    </row>
    <row r="142" spans="1:18" x14ac:dyDescent="0.25">
      <c r="A142" s="100">
        <v>1</v>
      </c>
      <c r="B142" s="81" t="s">
        <v>137</v>
      </c>
      <c r="C142" s="60">
        <v>2956924</v>
      </c>
      <c r="D142" s="60">
        <v>3551829</v>
      </c>
      <c r="E142" s="43">
        <f t="shared" ref="E142:E151" si="55">C142/D142*100-100</f>
        <v>-16.749257917540518</v>
      </c>
      <c r="F142" s="60">
        <v>1351078</v>
      </c>
      <c r="G142" s="60">
        <v>1748250</v>
      </c>
      <c r="H142" s="43">
        <f t="shared" ref="H142:H151" si="56">F142/G142*100-100</f>
        <v>-22.718261118261125</v>
      </c>
      <c r="I142" s="100">
        <v>2992407</v>
      </c>
      <c r="J142" s="100">
        <v>3704365</v>
      </c>
      <c r="K142" s="43">
        <f t="shared" ref="K142:K151" si="57">I142/J142*100-100</f>
        <v>-19.219434369993238</v>
      </c>
      <c r="L142" s="100">
        <v>2992407</v>
      </c>
      <c r="M142" s="100">
        <v>3704365</v>
      </c>
      <c r="N142" s="43">
        <f t="shared" ref="N142:N151" si="58">L142/M142*100-100</f>
        <v>-19.219434369993238</v>
      </c>
      <c r="O142" s="45">
        <v>498</v>
      </c>
      <c r="P142" s="75">
        <v>150</v>
      </c>
      <c r="Q142" s="45">
        <v>498</v>
      </c>
      <c r="R142" s="44">
        <f t="shared" ref="R142:R148" si="59">O142*P142</f>
        <v>74700</v>
      </c>
    </row>
    <row r="143" spans="1:18" x14ac:dyDescent="0.25">
      <c r="A143" s="100">
        <v>2</v>
      </c>
      <c r="B143" s="81" t="s">
        <v>138</v>
      </c>
      <c r="C143" s="60">
        <v>5197065</v>
      </c>
      <c r="D143" s="60">
        <v>7146751</v>
      </c>
      <c r="E143" s="43">
        <f t="shared" si="55"/>
        <v>-27.280732181658493</v>
      </c>
      <c r="F143" s="75">
        <v>2125042</v>
      </c>
      <c r="G143" s="75">
        <v>3643723</v>
      </c>
      <c r="H143" s="43">
        <f t="shared" si="56"/>
        <v>-41.67937573739826</v>
      </c>
      <c r="I143" s="45">
        <v>5082495</v>
      </c>
      <c r="J143" s="45">
        <v>7615284</v>
      </c>
      <c r="K143" s="43">
        <f t="shared" si="57"/>
        <v>-33.259284880248714</v>
      </c>
      <c r="L143" s="45">
        <v>5078635</v>
      </c>
      <c r="M143" s="45">
        <v>7606990</v>
      </c>
      <c r="N143" s="43">
        <f t="shared" si="58"/>
        <v>-33.23725941535352</v>
      </c>
      <c r="O143" s="45">
        <v>699</v>
      </c>
      <c r="P143" s="60">
        <v>165</v>
      </c>
      <c r="Q143" s="45">
        <v>680</v>
      </c>
      <c r="R143" s="44">
        <f t="shared" si="59"/>
        <v>115335</v>
      </c>
    </row>
    <row r="144" spans="1:18" x14ac:dyDescent="0.25">
      <c r="A144" s="100">
        <v>3</v>
      </c>
      <c r="B144" s="81" t="s">
        <v>232</v>
      </c>
      <c r="C144" s="60">
        <v>4386358</v>
      </c>
      <c r="D144" s="60">
        <v>4973687</v>
      </c>
      <c r="E144" s="43">
        <f t="shared" si="55"/>
        <v>-11.808724594048641</v>
      </c>
      <c r="F144" s="45">
        <v>2046272</v>
      </c>
      <c r="G144" s="45">
        <v>2319347</v>
      </c>
      <c r="H144" s="43">
        <f t="shared" si="56"/>
        <v>-11.773788053275339</v>
      </c>
      <c r="I144" s="45">
        <v>4469652</v>
      </c>
      <c r="J144" s="45">
        <v>5305506</v>
      </c>
      <c r="K144" s="43">
        <f t="shared" si="57"/>
        <v>-15.754463382003522</v>
      </c>
      <c r="L144" s="45">
        <v>4469652</v>
      </c>
      <c r="M144" s="45">
        <v>5305506</v>
      </c>
      <c r="N144" s="43">
        <f t="shared" si="58"/>
        <v>-15.754463382003522</v>
      </c>
      <c r="O144" s="45">
        <v>560</v>
      </c>
      <c r="P144" s="60">
        <v>180</v>
      </c>
      <c r="Q144" s="45">
        <v>560</v>
      </c>
      <c r="R144" s="44">
        <f t="shared" si="59"/>
        <v>100800</v>
      </c>
    </row>
    <row r="145" spans="1:19" x14ac:dyDescent="0.25">
      <c r="A145" s="100">
        <v>4</v>
      </c>
      <c r="B145" s="81" t="s">
        <v>140</v>
      </c>
      <c r="C145" s="75">
        <v>962289</v>
      </c>
      <c r="D145" s="75">
        <v>710394</v>
      </c>
      <c r="E145" s="43">
        <f t="shared" si="55"/>
        <v>35.458492048074731</v>
      </c>
      <c r="F145" s="100">
        <v>501117</v>
      </c>
      <c r="G145" s="100">
        <v>376270</v>
      </c>
      <c r="H145" s="43">
        <f t="shared" si="56"/>
        <v>33.180163180694734</v>
      </c>
      <c r="I145" s="100">
        <v>683861</v>
      </c>
      <c r="J145" s="100">
        <v>925765</v>
      </c>
      <c r="K145" s="43">
        <f t="shared" si="57"/>
        <v>-26.130173424141105</v>
      </c>
      <c r="L145" s="100">
        <v>0</v>
      </c>
      <c r="M145" s="100">
        <v>0</v>
      </c>
      <c r="N145" s="43">
        <v>0</v>
      </c>
      <c r="O145" s="45">
        <v>358</v>
      </c>
      <c r="P145" s="75">
        <v>58</v>
      </c>
      <c r="Q145" s="45">
        <v>358</v>
      </c>
      <c r="R145" s="44">
        <f t="shared" si="59"/>
        <v>20764</v>
      </c>
    </row>
    <row r="146" spans="1:19" x14ac:dyDescent="0.25">
      <c r="A146" s="100">
        <v>5</v>
      </c>
      <c r="B146" s="81" t="s">
        <v>141</v>
      </c>
      <c r="C146" s="75">
        <v>4699353</v>
      </c>
      <c r="D146" s="75">
        <v>5050157</v>
      </c>
      <c r="E146" s="43">
        <f t="shared" si="55"/>
        <v>-6.9463979040651651</v>
      </c>
      <c r="F146" s="75">
        <v>2750348</v>
      </c>
      <c r="G146" s="75">
        <v>2498901</v>
      </c>
      <c r="H146" s="43">
        <f t="shared" si="56"/>
        <v>10.062303388569617</v>
      </c>
      <c r="I146" s="45">
        <v>3920448</v>
      </c>
      <c r="J146" s="45">
        <v>4721597</v>
      </c>
      <c r="K146" s="43">
        <f t="shared" si="57"/>
        <v>-16.967754766025138</v>
      </c>
      <c r="L146" s="45">
        <v>3920448</v>
      </c>
      <c r="M146" s="45">
        <v>4721597</v>
      </c>
      <c r="N146" s="43">
        <f t="shared" si="58"/>
        <v>-16.967754766025138</v>
      </c>
      <c r="O146" s="45">
        <v>985</v>
      </c>
      <c r="P146" s="60">
        <v>100</v>
      </c>
      <c r="Q146" s="45">
        <v>985</v>
      </c>
      <c r="R146" s="44">
        <f t="shared" si="59"/>
        <v>98500</v>
      </c>
    </row>
    <row r="147" spans="1:19" x14ac:dyDescent="0.25">
      <c r="A147" s="100">
        <v>6</v>
      </c>
      <c r="B147" s="183" t="s">
        <v>231</v>
      </c>
      <c r="C147" s="60">
        <v>5603295</v>
      </c>
      <c r="D147" s="60">
        <v>5770021</v>
      </c>
      <c r="E147" s="43">
        <f t="shared" si="55"/>
        <v>-2.8895215459354517</v>
      </c>
      <c r="F147" s="60">
        <v>2874616</v>
      </c>
      <c r="G147" s="60">
        <v>2735550</v>
      </c>
      <c r="H147" s="43">
        <f t="shared" si="56"/>
        <v>5.083657765348832</v>
      </c>
      <c r="I147" s="45">
        <v>6858571</v>
      </c>
      <c r="J147" s="60">
        <v>5779834</v>
      </c>
      <c r="K147" s="43">
        <f t="shared" si="57"/>
        <v>18.663805915533203</v>
      </c>
      <c r="L147" s="45">
        <f>18241+6833795</f>
        <v>6852036</v>
      </c>
      <c r="M147" s="45">
        <v>5777990</v>
      </c>
      <c r="N147" s="43">
        <f t="shared" si="58"/>
        <v>18.588574919651975</v>
      </c>
      <c r="O147" s="45">
        <v>638</v>
      </c>
      <c r="P147" s="60">
        <v>130</v>
      </c>
      <c r="Q147" s="45">
        <v>638</v>
      </c>
      <c r="R147" s="44">
        <f t="shared" si="59"/>
        <v>82940</v>
      </c>
    </row>
    <row r="148" spans="1:19" x14ac:dyDescent="0.25">
      <c r="A148" s="100">
        <v>7</v>
      </c>
      <c r="B148" s="81" t="s">
        <v>143</v>
      </c>
      <c r="C148" s="60">
        <v>506241</v>
      </c>
      <c r="D148" s="60">
        <v>583177</v>
      </c>
      <c r="E148" s="43">
        <f t="shared" si="55"/>
        <v>-13.192564178628444</v>
      </c>
      <c r="F148" s="60">
        <v>248515</v>
      </c>
      <c r="G148" s="60">
        <v>287080</v>
      </c>
      <c r="H148" s="43">
        <f t="shared" si="56"/>
        <v>-13.433537689842552</v>
      </c>
      <c r="I148" s="45">
        <v>306959</v>
      </c>
      <c r="J148" s="60">
        <v>305509</v>
      </c>
      <c r="K148" s="43">
        <f t="shared" si="57"/>
        <v>0.47461776903463715</v>
      </c>
      <c r="L148" s="45">
        <v>0</v>
      </c>
      <c r="M148" s="45">
        <v>0</v>
      </c>
      <c r="N148" s="43">
        <v>0</v>
      </c>
      <c r="O148" s="45">
        <v>36</v>
      </c>
      <c r="P148" s="60"/>
      <c r="Q148" s="45">
        <v>37</v>
      </c>
      <c r="R148" s="44">
        <f t="shared" si="59"/>
        <v>0</v>
      </c>
    </row>
    <row r="149" spans="1:19" x14ac:dyDescent="0.25">
      <c r="A149" s="100">
        <v>8</v>
      </c>
      <c r="B149" s="81" t="s">
        <v>144</v>
      </c>
      <c r="C149" s="42">
        <v>0</v>
      </c>
      <c r="D149" s="42">
        <v>0</v>
      </c>
      <c r="E149" s="43">
        <v>0</v>
      </c>
      <c r="F149" s="42">
        <v>0</v>
      </c>
      <c r="G149" s="42">
        <v>0</v>
      </c>
      <c r="H149" s="43">
        <v>0</v>
      </c>
      <c r="I149" s="42">
        <v>0</v>
      </c>
      <c r="J149" s="42">
        <v>0</v>
      </c>
      <c r="K149" s="43">
        <v>0</v>
      </c>
      <c r="L149" s="42">
        <v>0</v>
      </c>
      <c r="M149" s="42">
        <v>0</v>
      </c>
      <c r="N149" s="43">
        <v>0</v>
      </c>
      <c r="O149" s="45">
        <v>0</v>
      </c>
      <c r="P149" s="46">
        <v>0</v>
      </c>
      <c r="Q149" s="45">
        <v>0</v>
      </c>
      <c r="R149" s="44">
        <v>0</v>
      </c>
    </row>
    <row r="150" spans="1:19" x14ac:dyDescent="0.25">
      <c r="A150" s="893" t="s">
        <v>145</v>
      </c>
      <c r="B150" s="894" t="s">
        <v>135</v>
      </c>
      <c r="C150" s="87">
        <f>SUM(C142:C149)</f>
        <v>24311525</v>
      </c>
      <c r="D150" s="87">
        <f>SUM(D142:D149)</f>
        <v>27786016</v>
      </c>
      <c r="E150" s="57">
        <f t="shared" si="55"/>
        <v>-12.50445907754461</v>
      </c>
      <c r="F150" s="87">
        <f>SUM(F142:F149)</f>
        <v>11896988</v>
      </c>
      <c r="G150" s="87">
        <f>SUM(G142:G149)</f>
        <v>13609121</v>
      </c>
      <c r="H150" s="57">
        <f t="shared" si="56"/>
        <v>-12.580775790001425</v>
      </c>
      <c r="I150" s="87">
        <f>SUM(I142:I149)</f>
        <v>24314393</v>
      </c>
      <c r="J150" s="87">
        <f>SUM(J142:J149)</f>
        <v>28357860</v>
      </c>
      <c r="K150" s="57">
        <f t="shared" si="57"/>
        <v>-14.25871698358057</v>
      </c>
      <c r="L150" s="87">
        <f>SUM(L142:L149)</f>
        <v>23313178</v>
      </c>
      <c r="M150" s="87">
        <f>SUM(M142:M149)</f>
        <v>27116448</v>
      </c>
      <c r="N150" s="57">
        <f t="shared" si="58"/>
        <v>-14.0256939256941</v>
      </c>
      <c r="O150" s="56">
        <f>SUM(O142:O149)</f>
        <v>3774</v>
      </c>
      <c r="P150" s="87">
        <f>R150/O150</f>
        <v>130.64096449390567</v>
      </c>
      <c r="Q150" s="56">
        <f>SUM(Q142:Q149)</f>
        <v>3756</v>
      </c>
      <c r="R150" s="70">
        <f>SUM(R142:R149)</f>
        <v>493039</v>
      </c>
    </row>
    <row r="151" spans="1:19" x14ac:dyDescent="0.25">
      <c r="A151" s="913" t="s">
        <v>146</v>
      </c>
      <c r="B151" s="914" t="s">
        <v>78</v>
      </c>
      <c r="C151" s="106">
        <f>C139+C150</f>
        <v>50475431</v>
      </c>
      <c r="D151" s="106">
        <f>D139+D150</f>
        <v>56494494</v>
      </c>
      <c r="E151" s="16">
        <f t="shared" si="55"/>
        <v>-10.654247120082189</v>
      </c>
      <c r="F151" s="106">
        <f>F139+F150</f>
        <v>23936950</v>
      </c>
      <c r="G151" s="106">
        <f>G139+G150</f>
        <v>26909801</v>
      </c>
      <c r="H151" s="16">
        <f t="shared" si="56"/>
        <v>-11.047465568400156</v>
      </c>
      <c r="I151" s="106">
        <f>I139+I150</f>
        <v>48276152</v>
      </c>
      <c r="J151" s="106">
        <f>J139+J150</f>
        <v>58570677</v>
      </c>
      <c r="K151" s="16">
        <f t="shared" si="57"/>
        <v>-17.576243825899425</v>
      </c>
      <c r="L151" s="106">
        <f>L139+L150</f>
        <v>35248544</v>
      </c>
      <c r="M151" s="106">
        <f>M139+M150</f>
        <v>44249577</v>
      </c>
      <c r="N151" s="16">
        <f t="shared" si="58"/>
        <v>-20.341511965187834</v>
      </c>
      <c r="O151" s="106">
        <f>O139+O150</f>
        <v>9771</v>
      </c>
      <c r="P151" s="107">
        <f>R151/O151</f>
        <v>157.81997748439258</v>
      </c>
      <c r="Q151" s="106">
        <f>Q139+Q150</f>
        <v>9746</v>
      </c>
      <c r="R151">
        <f>R139+R150</f>
        <v>1542059</v>
      </c>
    </row>
    <row r="152" spans="1:19" s="111" customFormat="1" ht="11.25" customHeight="1" x14ac:dyDescent="0.2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102"/>
      <c r="R152"/>
      <c r="S152"/>
    </row>
    <row r="153" spans="1:19" x14ac:dyDescent="0.25">
      <c r="A153" s="911" t="s">
        <v>147</v>
      </c>
      <c r="B153" s="912"/>
      <c r="C153" s="37">
        <v>3</v>
      </c>
      <c r="D153" s="37">
        <v>4</v>
      </c>
      <c r="E153" s="38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38">
        <v>16</v>
      </c>
      <c r="Q153" s="104">
        <v>17</v>
      </c>
    </row>
    <row r="154" spans="1:19" x14ac:dyDescent="0.25">
      <c r="A154" s="100">
        <v>1</v>
      </c>
      <c r="B154" s="114" t="s">
        <v>148</v>
      </c>
      <c r="C154" s="100">
        <v>1868</v>
      </c>
      <c r="D154" s="100">
        <v>2561</v>
      </c>
      <c r="E154" s="43">
        <f t="shared" ref="E154:E160" si="60">C154/D154*100-100</f>
        <v>-27.059742288168692</v>
      </c>
      <c r="F154" s="34">
        <v>1868</v>
      </c>
      <c r="G154" s="100">
        <v>2149</v>
      </c>
      <c r="H154" s="43">
        <f t="shared" ref="H154:H160" si="61">F154/G154*100-100</f>
        <v>-13.075849232201023</v>
      </c>
      <c r="I154" s="100">
        <v>1868</v>
      </c>
      <c r="J154" s="100">
        <v>2561</v>
      </c>
      <c r="K154" s="43">
        <f t="shared" ref="K154:K160" si="62">I154/J154*100-100</f>
        <v>-27.059742288168692</v>
      </c>
      <c r="L154" s="100">
        <v>0</v>
      </c>
      <c r="M154" s="100">
        <v>0</v>
      </c>
      <c r="N154" s="43">
        <v>0</v>
      </c>
      <c r="O154" s="100">
        <v>30</v>
      </c>
      <c r="P154" s="75">
        <v>78</v>
      </c>
      <c r="Q154" s="100">
        <v>31</v>
      </c>
      <c r="R154" s="44">
        <f>O154*P154</f>
        <v>2340</v>
      </c>
    </row>
    <row r="155" spans="1:19" x14ac:dyDescent="0.25">
      <c r="A155" s="100">
        <v>2</v>
      </c>
      <c r="B155" s="114" t="s">
        <v>149</v>
      </c>
      <c r="C155" s="49">
        <v>1518530</v>
      </c>
      <c r="D155" s="49">
        <v>1613599</v>
      </c>
      <c r="E155" s="43">
        <f t="shared" si="60"/>
        <v>-5.8917364227419569</v>
      </c>
      <c r="F155" s="49">
        <v>773636</v>
      </c>
      <c r="G155" s="49">
        <v>793142</v>
      </c>
      <c r="H155" s="43">
        <f t="shared" si="61"/>
        <v>-2.459332628961775</v>
      </c>
      <c r="I155" s="49">
        <v>1401498</v>
      </c>
      <c r="J155" s="49">
        <v>1202524</v>
      </c>
      <c r="K155" s="43">
        <f t="shared" si="62"/>
        <v>16.546364147409946</v>
      </c>
      <c r="L155" s="49">
        <v>598721</v>
      </c>
      <c r="M155" s="49">
        <v>596071</v>
      </c>
      <c r="N155" s="43">
        <f t="shared" ref="N155:N160" si="63">L155/M155*100-100</f>
        <v>0.44457791102065869</v>
      </c>
      <c r="O155" s="100">
        <v>595</v>
      </c>
      <c r="P155" s="75">
        <v>110</v>
      </c>
      <c r="Q155" s="100">
        <v>595</v>
      </c>
      <c r="R155" s="44">
        <f>O155*P155</f>
        <v>65450</v>
      </c>
    </row>
    <row r="156" spans="1:19" x14ac:dyDescent="0.25">
      <c r="A156" s="100">
        <v>3</v>
      </c>
      <c r="B156" s="114" t="s">
        <v>150</v>
      </c>
      <c r="C156" s="42">
        <v>0</v>
      </c>
      <c r="D156" s="42">
        <v>0</v>
      </c>
      <c r="E156" s="43">
        <v>0</v>
      </c>
      <c r="F156" s="42">
        <v>0</v>
      </c>
      <c r="G156" s="42">
        <v>0</v>
      </c>
      <c r="H156" s="43">
        <v>0</v>
      </c>
      <c r="I156" s="42">
        <v>0</v>
      </c>
      <c r="J156" s="42">
        <v>0</v>
      </c>
      <c r="K156" s="43">
        <v>0</v>
      </c>
      <c r="L156" s="42">
        <v>0</v>
      </c>
      <c r="M156" s="42">
        <v>0</v>
      </c>
      <c r="N156" s="43">
        <v>0</v>
      </c>
      <c r="O156" s="45">
        <v>0</v>
      </c>
      <c r="P156" s="46">
        <v>0</v>
      </c>
      <c r="Q156" s="45">
        <v>0</v>
      </c>
      <c r="R156" s="44">
        <v>0</v>
      </c>
    </row>
    <row r="157" spans="1:19" x14ac:dyDescent="0.25">
      <c r="A157" s="100">
        <v>4</v>
      </c>
      <c r="B157" s="114" t="s">
        <v>151</v>
      </c>
      <c r="C157" s="100">
        <v>341656</v>
      </c>
      <c r="D157" s="100">
        <v>435334</v>
      </c>
      <c r="E157" s="43">
        <f t="shared" si="60"/>
        <v>-21.518650048009107</v>
      </c>
      <c r="F157" s="100">
        <v>195223</v>
      </c>
      <c r="G157" s="115">
        <v>256172</v>
      </c>
      <c r="H157" s="43">
        <f t="shared" si="61"/>
        <v>-23.79221772871351</v>
      </c>
      <c r="I157" s="115">
        <v>399442</v>
      </c>
      <c r="J157" s="115">
        <v>343558</v>
      </c>
      <c r="K157" s="43">
        <f t="shared" si="62"/>
        <v>16.266249075847455</v>
      </c>
      <c r="L157" s="115">
        <v>332213</v>
      </c>
      <c r="M157" s="115">
        <v>278212</v>
      </c>
      <c r="N157" s="43">
        <f t="shared" si="63"/>
        <v>19.410018259456805</v>
      </c>
      <c r="O157" s="100">
        <v>290</v>
      </c>
      <c r="P157" s="75">
        <v>100</v>
      </c>
      <c r="Q157" s="100">
        <v>291</v>
      </c>
      <c r="R157" s="44">
        <f>O157*P157</f>
        <v>29000</v>
      </c>
    </row>
    <row r="158" spans="1:19" x14ac:dyDescent="0.25">
      <c r="A158" s="100">
        <v>5</v>
      </c>
      <c r="B158" s="83" t="s">
        <v>152</v>
      </c>
      <c r="C158" s="49">
        <v>217760</v>
      </c>
      <c r="D158" s="49">
        <v>183655</v>
      </c>
      <c r="E158" s="43">
        <f t="shared" si="60"/>
        <v>18.570145109035963</v>
      </c>
      <c r="F158" s="49">
        <v>128560</v>
      </c>
      <c r="G158" s="49">
        <v>101613</v>
      </c>
      <c r="H158" s="43">
        <f t="shared" si="61"/>
        <v>26.519244584846419</v>
      </c>
      <c r="I158" s="49">
        <v>216005</v>
      </c>
      <c r="J158" s="49">
        <v>180005</v>
      </c>
      <c r="K158" s="43">
        <f t="shared" si="62"/>
        <v>19.999444459876116</v>
      </c>
      <c r="L158" s="45">
        <v>7228</v>
      </c>
      <c r="M158" s="49">
        <v>0</v>
      </c>
      <c r="N158" s="43">
        <v>0</v>
      </c>
      <c r="O158" s="45">
        <v>127</v>
      </c>
      <c r="P158" s="49">
        <v>145</v>
      </c>
      <c r="Q158" s="45">
        <v>127</v>
      </c>
      <c r="R158" s="44">
        <f>O158*P158</f>
        <v>18415</v>
      </c>
    </row>
    <row r="159" spans="1:19" x14ac:dyDescent="0.25">
      <c r="A159" s="100">
        <v>6</v>
      </c>
      <c r="B159" s="114" t="s">
        <v>153</v>
      </c>
      <c r="C159" s="42">
        <v>0</v>
      </c>
      <c r="D159" s="42">
        <v>0</v>
      </c>
      <c r="E159" s="43">
        <v>0</v>
      </c>
      <c r="F159" s="42">
        <v>0</v>
      </c>
      <c r="G159" s="42">
        <v>0</v>
      </c>
      <c r="H159" s="43">
        <v>0</v>
      </c>
      <c r="I159" s="42">
        <v>114043</v>
      </c>
      <c r="J159" s="42">
        <v>0</v>
      </c>
      <c r="K159" s="43">
        <v>0</v>
      </c>
      <c r="L159" s="42">
        <v>0</v>
      </c>
      <c r="M159" s="42">
        <v>0</v>
      </c>
      <c r="N159" s="43">
        <v>0</v>
      </c>
      <c r="O159" s="45">
        <v>385</v>
      </c>
      <c r="P159" s="46">
        <v>65</v>
      </c>
      <c r="Q159" s="45">
        <v>381</v>
      </c>
      <c r="R159" s="44">
        <f>O159*P159</f>
        <v>25025</v>
      </c>
    </row>
    <row r="160" spans="1:19" x14ac:dyDescent="0.25">
      <c r="A160" s="893" t="s">
        <v>154</v>
      </c>
      <c r="B160" s="894" t="s">
        <v>155</v>
      </c>
      <c r="C160" s="56">
        <f>SUM(C154:C159)</f>
        <v>2079814</v>
      </c>
      <c r="D160" s="56">
        <f>SUM(D154:D159)</f>
        <v>2235149</v>
      </c>
      <c r="E160" s="57">
        <f t="shared" si="60"/>
        <v>-6.9496485469201446</v>
      </c>
      <c r="F160" s="56">
        <f>SUM(F154:F159)</f>
        <v>1099287</v>
      </c>
      <c r="G160" s="56">
        <f>SUM(G154:G159)</f>
        <v>1153076</v>
      </c>
      <c r="H160" s="57">
        <f t="shared" si="61"/>
        <v>-4.664826949828111</v>
      </c>
      <c r="I160" s="56">
        <f>SUM(I154:I159)</f>
        <v>2132856</v>
      </c>
      <c r="J160" s="56">
        <f>SUM(J154:J159)</f>
        <v>1728648</v>
      </c>
      <c r="K160" s="57">
        <f t="shared" si="62"/>
        <v>23.382898079886715</v>
      </c>
      <c r="L160" s="56">
        <f>SUM(L154:L159)</f>
        <v>938162</v>
      </c>
      <c r="M160" s="56">
        <f>SUM(M154:M159)</f>
        <v>874283</v>
      </c>
      <c r="N160" s="57">
        <f t="shared" si="63"/>
        <v>7.3064442520328186</v>
      </c>
      <c r="O160" s="56">
        <f>SUM(O154:O159)</f>
        <v>1427</v>
      </c>
      <c r="P160" s="58">
        <f>R160/O160</f>
        <v>98.269096005606173</v>
      </c>
      <c r="Q160" s="56">
        <f>SUM(Q154:Q159)</f>
        <v>1425</v>
      </c>
      <c r="R160" s="70">
        <f>SUM(R154:R159)</f>
        <v>140230</v>
      </c>
    </row>
    <row r="161" spans="1:20" ht="17.25" customHeight="1" x14ac:dyDescent="0.2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45"/>
      <c r="R161" s="121"/>
    </row>
    <row r="162" spans="1:20" x14ac:dyDescent="0.25">
      <c r="A162" s="959" t="s">
        <v>242</v>
      </c>
      <c r="B162" s="960"/>
      <c r="C162" s="961"/>
      <c r="D162" s="117"/>
      <c r="E162" s="118"/>
      <c r="F162" s="117"/>
      <c r="G162" s="117"/>
      <c r="H162" s="118"/>
      <c r="I162" s="117"/>
      <c r="J162" s="117"/>
      <c r="K162" s="118"/>
      <c r="L162" s="117"/>
      <c r="M162" s="119"/>
      <c r="N162" s="120"/>
      <c r="O162" s="119"/>
      <c r="P162" s="117"/>
      <c r="R162" s="121"/>
    </row>
    <row r="163" spans="1:20" x14ac:dyDescent="0.25">
      <c r="A163" s="917" t="s">
        <v>157</v>
      </c>
      <c r="B163" s="918"/>
      <c r="C163" s="37">
        <v>3</v>
      </c>
      <c r="D163" s="37">
        <v>4</v>
      </c>
      <c r="E163" s="38">
        <v>5</v>
      </c>
      <c r="F163" s="37">
        <v>6</v>
      </c>
      <c r="G163" s="37">
        <v>7</v>
      </c>
      <c r="H163" s="37">
        <v>8</v>
      </c>
      <c r="I163" s="37">
        <v>9</v>
      </c>
      <c r="J163" s="37">
        <v>10</v>
      </c>
      <c r="K163" s="37">
        <v>11</v>
      </c>
      <c r="L163" s="37">
        <v>12</v>
      </c>
      <c r="M163" s="37">
        <v>13</v>
      </c>
      <c r="N163" s="37">
        <v>14</v>
      </c>
      <c r="O163" s="37">
        <v>15</v>
      </c>
      <c r="P163" s="38">
        <v>16</v>
      </c>
      <c r="Q163" s="119"/>
      <c r="R163" s="44"/>
    </row>
    <row r="164" spans="1:20" x14ac:dyDescent="0.25">
      <c r="A164" s="122">
        <v>1</v>
      </c>
      <c r="B164" s="183" t="s">
        <v>158</v>
      </c>
      <c r="C164" s="42">
        <v>3342165</v>
      </c>
      <c r="D164" s="42">
        <v>4047101</v>
      </c>
      <c r="E164" s="43">
        <f t="shared" ref="E164:E207" si="64">C164/D164*100-100</f>
        <v>-17.418295219219885</v>
      </c>
      <c r="F164" s="42">
        <v>2303102</v>
      </c>
      <c r="G164" s="42">
        <v>2373165</v>
      </c>
      <c r="H164" s="43">
        <f>F164/G164*100-100</f>
        <v>-2.9523020944603502</v>
      </c>
      <c r="I164" s="42">
        <v>3308024</v>
      </c>
      <c r="J164" s="42">
        <v>3198993</v>
      </c>
      <c r="K164" s="43">
        <f t="shared" ref="K164:K207" si="65">I164/J164*100-100</f>
        <v>3.4082912966674144</v>
      </c>
      <c r="L164" s="42">
        <f>2620720+259244</f>
        <v>2879964</v>
      </c>
      <c r="M164" s="42">
        <f>2722383+166365</f>
        <v>2888748</v>
      </c>
      <c r="N164" s="43">
        <f t="shared" ref="N164:N182" si="66">L164/M164*100-100</f>
        <v>-0.30407636803209925</v>
      </c>
      <c r="O164" s="42">
        <v>342</v>
      </c>
      <c r="P164" s="42">
        <v>190</v>
      </c>
      <c r="Q164" s="42">
        <v>342</v>
      </c>
      <c r="R164" s="190">
        <f>O164*P164</f>
        <v>64980</v>
      </c>
    </row>
    <row r="165" spans="1:20" x14ac:dyDescent="0.25">
      <c r="A165" s="122">
        <v>2</v>
      </c>
      <c r="B165" s="183" t="s">
        <v>159</v>
      </c>
      <c r="C165" s="42">
        <v>207007</v>
      </c>
      <c r="D165" s="42">
        <v>879249</v>
      </c>
      <c r="E165" s="43">
        <f t="shared" si="64"/>
        <v>-76.456384937600149</v>
      </c>
      <c r="F165" s="42">
        <v>64018</v>
      </c>
      <c r="G165" s="42">
        <v>529078</v>
      </c>
      <c r="H165" s="54">
        <f t="shared" ref="H165:H207" si="67">F165/G165*100-100</f>
        <v>-87.900082785525001</v>
      </c>
      <c r="I165" s="42">
        <v>185803</v>
      </c>
      <c r="J165" s="42">
        <v>883780</v>
      </c>
      <c r="K165" s="43">
        <f t="shared" si="65"/>
        <v>-78.976328950643818</v>
      </c>
      <c r="L165" s="42">
        <f>83181+115096</f>
        <v>198277</v>
      </c>
      <c r="M165" s="42">
        <f>763856+39705</f>
        <v>803561</v>
      </c>
      <c r="N165" s="54">
        <f t="shared" si="66"/>
        <v>-75.32520866493023</v>
      </c>
      <c r="O165" s="42">
        <v>117</v>
      </c>
      <c r="P165" s="42">
        <v>113</v>
      </c>
      <c r="Q165" s="42">
        <v>116</v>
      </c>
      <c r="R165" s="190">
        <f t="shared" ref="R165:R181" si="68">O165*P165</f>
        <v>13221</v>
      </c>
    </row>
    <row r="166" spans="1:20" x14ac:dyDescent="0.25">
      <c r="A166" s="122">
        <v>3</v>
      </c>
      <c r="B166" s="183" t="s">
        <v>160</v>
      </c>
      <c r="C166" s="42">
        <v>63341</v>
      </c>
      <c r="D166" s="42">
        <v>0</v>
      </c>
      <c r="E166" s="43">
        <v>0</v>
      </c>
      <c r="F166" s="42">
        <v>63341</v>
      </c>
      <c r="G166" s="42">
        <v>0</v>
      </c>
      <c r="H166" s="54">
        <v>0</v>
      </c>
      <c r="I166" s="42">
        <v>103833</v>
      </c>
      <c r="J166" s="42">
        <v>959</v>
      </c>
      <c r="K166" s="43">
        <f t="shared" si="65"/>
        <v>10727.215849843587</v>
      </c>
      <c r="L166" s="42">
        <v>53382</v>
      </c>
      <c r="M166" s="42">
        <v>0</v>
      </c>
      <c r="N166" s="54">
        <v>0</v>
      </c>
      <c r="O166" s="42">
        <v>52</v>
      </c>
      <c r="P166" s="42">
        <v>131</v>
      </c>
      <c r="Q166" s="42"/>
      <c r="R166" s="190">
        <f t="shared" si="68"/>
        <v>6812</v>
      </c>
    </row>
    <row r="167" spans="1:20" x14ac:dyDescent="0.25">
      <c r="A167" s="122">
        <v>4</v>
      </c>
      <c r="B167" s="183" t="s">
        <v>161</v>
      </c>
      <c r="C167" s="47">
        <v>354927</v>
      </c>
      <c r="D167" s="47">
        <v>114318</v>
      </c>
      <c r="E167" s="43">
        <f t="shared" si="64"/>
        <v>210.47341625990657</v>
      </c>
      <c r="F167" s="47">
        <v>232183</v>
      </c>
      <c r="G167" s="47">
        <v>42733</v>
      </c>
      <c r="H167" s="43">
        <f t="shared" si="67"/>
        <v>443.33419137434771</v>
      </c>
      <c r="I167" s="47">
        <v>257223</v>
      </c>
      <c r="J167" s="47">
        <v>57932</v>
      </c>
      <c r="K167" s="43">
        <f t="shared" si="65"/>
        <v>344.00849271559758</v>
      </c>
      <c r="L167" s="47">
        <v>280570</v>
      </c>
      <c r="M167" s="47">
        <v>93086</v>
      </c>
      <c r="N167" s="54">
        <f t="shared" si="66"/>
        <v>201.4094493264293</v>
      </c>
      <c r="O167" s="125">
        <v>225</v>
      </c>
      <c r="P167" s="42">
        <v>136</v>
      </c>
      <c r="Q167" s="125">
        <v>190</v>
      </c>
      <c r="R167" s="190">
        <f t="shared" si="68"/>
        <v>30600</v>
      </c>
    </row>
    <row r="168" spans="1:20" ht="27" x14ac:dyDescent="0.25">
      <c r="A168" s="123">
        <v>5</v>
      </c>
      <c r="B168" s="184" t="s">
        <v>162</v>
      </c>
      <c r="C168" s="47">
        <v>1003379</v>
      </c>
      <c r="D168" s="47">
        <v>889826</v>
      </c>
      <c r="E168" s="43">
        <f t="shared" si="64"/>
        <v>12.761258942759596</v>
      </c>
      <c r="F168" s="47">
        <v>511900</v>
      </c>
      <c r="G168" s="47">
        <v>615538</v>
      </c>
      <c r="H168" s="43">
        <f t="shared" si="67"/>
        <v>-16.836978383138003</v>
      </c>
      <c r="I168" s="47">
        <v>786599</v>
      </c>
      <c r="J168" s="47">
        <v>668307</v>
      </c>
      <c r="K168" s="43">
        <f t="shared" si="65"/>
        <v>17.700248538471101</v>
      </c>
      <c r="L168" s="47">
        <v>756798</v>
      </c>
      <c r="M168" s="47">
        <v>629524</v>
      </c>
      <c r="N168" s="54">
        <f t="shared" si="66"/>
        <v>20.217497664902368</v>
      </c>
      <c r="O168" s="125"/>
      <c r="P168" s="42"/>
      <c r="Q168" s="125"/>
      <c r="R168" s="190">
        <f t="shared" si="68"/>
        <v>0</v>
      </c>
    </row>
    <row r="169" spans="1:20" s="126" customFormat="1" x14ac:dyDescent="0.25">
      <c r="A169" s="123">
        <v>6</v>
      </c>
      <c r="B169" s="184" t="s">
        <v>163</v>
      </c>
      <c r="C169" s="47">
        <v>1238542</v>
      </c>
      <c r="D169" s="47">
        <v>960225</v>
      </c>
      <c r="E169" s="43">
        <f t="shared" si="64"/>
        <v>28.984560910203328</v>
      </c>
      <c r="F169" s="47">
        <v>679695</v>
      </c>
      <c r="G169" s="47">
        <v>563457</v>
      </c>
      <c r="H169" s="43">
        <f t="shared" si="67"/>
        <v>20.629435786581766</v>
      </c>
      <c r="I169" s="47">
        <v>1238542</v>
      </c>
      <c r="J169" s="47">
        <v>960225</v>
      </c>
      <c r="K169" s="43">
        <f t="shared" si="65"/>
        <v>28.984560910203328</v>
      </c>
      <c r="L169" s="47">
        <f>498441+453882</f>
        <v>952323</v>
      </c>
      <c r="M169" s="47">
        <f>435012+225722</f>
        <v>660734</v>
      </c>
      <c r="N169" s="43">
        <f t="shared" si="66"/>
        <v>44.131072413406912</v>
      </c>
      <c r="O169" s="125">
        <v>255</v>
      </c>
      <c r="P169" s="42">
        <v>100</v>
      </c>
      <c r="Q169" s="125">
        <v>256</v>
      </c>
      <c r="R169" s="190">
        <f t="shared" si="68"/>
        <v>25500</v>
      </c>
    </row>
    <row r="170" spans="1:20" s="126" customFormat="1" x14ac:dyDescent="0.25">
      <c r="A170" s="123">
        <v>7</v>
      </c>
      <c r="B170" s="183" t="s">
        <v>233</v>
      </c>
      <c r="C170" s="47">
        <v>634054</v>
      </c>
      <c r="D170" s="47">
        <v>0</v>
      </c>
      <c r="E170" s="43">
        <v>0</v>
      </c>
      <c r="F170" s="47">
        <v>119324</v>
      </c>
      <c r="G170" s="47">
        <v>0</v>
      </c>
      <c r="H170" s="43">
        <v>0</v>
      </c>
      <c r="I170" s="47">
        <v>999997</v>
      </c>
      <c r="J170" s="47">
        <v>0</v>
      </c>
      <c r="K170" s="43">
        <v>0</v>
      </c>
      <c r="L170" s="47">
        <v>623547</v>
      </c>
      <c r="M170" s="47">
        <v>0</v>
      </c>
      <c r="N170" s="43">
        <v>0</v>
      </c>
      <c r="O170" s="125">
        <v>250</v>
      </c>
      <c r="P170" s="42">
        <v>93</v>
      </c>
      <c r="Q170" s="125">
        <v>256</v>
      </c>
      <c r="R170" s="190">
        <f t="shared" si="68"/>
        <v>23250</v>
      </c>
      <c r="T170" s="127"/>
    </row>
    <row r="171" spans="1:20" s="126" customFormat="1" x14ac:dyDescent="0.25">
      <c r="A171" s="123">
        <v>8</v>
      </c>
      <c r="B171" s="183" t="s">
        <v>165</v>
      </c>
      <c r="C171" s="47">
        <v>0</v>
      </c>
      <c r="D171" s="47">
        <v>0</v>
      </c>
      <c r="E171" s="43" t="e">
        <f t="shared" si="64"/>
        <v>#DIV/0!</v>
      </c>
      <c r="F171" s="47">
        <v>0</v>
      </c>
      <c r="G171" s="47">
        <v>0</v>
      </c>
      <c r="H171" s="43" t="e">
        <f t="shared" si="67"/>
        <v>#DIV/0!</v>
      </c>
      <c r="I171" s="47">
        <v>0</v>
      </c>
      <c r="J171" s="47">
        <v>0</v>
      </c>
      <c r="K171" s="43" t="e">
        <f t="shared" si="65"/>
        <v>#DIV/0!</v>
      </c>
      <c r="L171" s="47">
        <v>0</v>
      </c>
      <c r="M171" s="47">
        <v>0</v>
      </c>
      <c r="N171" s="43" t="e">
        <f t="shared" si="66"/>
        <v>#DIV/0!</v>
      </c>
      <c r="O171" s="125"/>
      <c r="P171" s="42">
        <v>80</v>
      </c>
      <c r="Q171" s="125"/>
      <c r="R171" s="190">
        <f t="shared" si="68"/>
        <v>0</v>
      </c>
      <c r="T171" s="127"/>
    </row>
    <row r="172" spans="1:20" s="130" customFormat="1" x14ac:dyDescent="0.25">
      <c r="A172" s="60">
        <v>9</v>
      </c>
      <c r="B172" s="181" t="s">
        <v>166</v>
      </c>
      <c r="C172" s="54">
        <v>263363</v>
      </c>
      <c r="D172" s="54">
        <v>73267</v>
      </c>
      <c r="E172" s="43">
        <f t="shared" si="64"/>
        <v>259.45650838713198</v>
      </c>
      <c r="F172" s="54">
        <v>135662</v>
      </c>
      <c r="G172" s="54">
        <v>34235</v>
      </c>
      <c r="H172" s="43">
        <f t="shared" si="67"/>
        <v>296.2669782386447</v>
      </c>
      <c r="I172" s="54">
        <v>257224</v>
      </c>
      <c r="J172" s="54">
        <v>71779</v>
      </c>
      <c r="K172" s="54">
        <f t="shared" si="65"/>
        <v>258.35550787834882</v>
      </c>
      <c r="L172" s="54">
        <v>0</v>
      </c>
      <c r="M172" s="54">
        <v>0</v>
      </c>
      <c r="N172" s="129">
        <v>0</v>
      </c>
      <c r="O172" s="54">
        <v>258</v>
      </c>
      <c r="P172" s="54">
        <v>80</v>
      </c>
      <c r="Q172" s="54">
        <v>160</v>
      </c>
      <c r="R172" s="190">
        <f t="shared" si="68"/>
        <v>20640</v>
      </c>
      <c r="T172" s="39"/>
    </row>
    <row r="173" spans="1:20" s="130" customFormat="1" ht="27" x14ac:dyDescent="0.25">
      <c r="A173" s="54">
        <v>10</v>
      </c>
      <c r="B173" s="186" t="s">
        <v>234</v>
      </c>
      <c r="C173" s="54">
        <v>513473</v>
      </c>
      <c r="D173" s="54">
        <v>2013243</v>
      </c>
      <c r="E173" s="43">
        <f t="shared" si="64"/>
        <v>-74.495229835643286</v>
      </c>
      <c r="F173" s="54">
        <v>294721</v>
      </c>
      <c r="G173" s="54">
        <v>1578658</v>
      </c>
      <c r="H173" s="43">
        <f t="shared" si="67"/>
        <v>-81.330915245734033</v>
      </c>
      <c r="I173" s="54">
        <v>513473</v>
      </c>
      <c r="J173" s="54">
        <v>2013243</v>
      </c>
      <c r="K173" s="54">
        <f t="shared" si="65"/>
        <v>-74.495229835643286</v>
      </c>
      <c r="L173" s="54">
        <v>513473</v>
      </c>
      <c r="M173" s="54">
        <f>2012541+702</f>
        <v>2013243</v>
      </c>
      <c r="N173" s="129">
        <f t="shared" si="66"/>
        <v>-74.495229835643286</v>
      </c>
      <c r="O173" s="54">
        <v>82</v>
      </c>
      <c r="P173" s="54">
        <v>235</v>
      </c>
      <c r="Q173" s="54">
        <v>82</v>
      </c>
      <c r="R173" s="190">
        <f t="shared" si="68"/>
        <v>19270</v>
      </c>
      <c r="T173" s="39"/>
    </row>
    <row r="174" spans="1:20" s="130" customFormat="1" ht="27" x14ac:dyDescent="0.25">
      <c r="A174" s="54">
        <v>11</v>
      </c>
      <c r="B174" s="186" t="s">
        <v>218</v>
      </c>
      <c r="C174" s="54">
        <v>126075</v>
      </c>
      <c r="D174" s="54">
        <v>114687</v>
      </c>
      <c r="E174" s="43">
        <f t="shared" si="64"/>
        <v>9.9296345706139277</v>
      </c>
      <c r="F174" s="54">
        <v>43365</v>
      </c>
      <c r="G174" s="54">
        <v>56141</v>
      </c>
      <c r="H174" s="43">
        <f t="shared" si="67"/>
        <v>-22.756986872339297</v>
      </c>
      <c r="I174" s="54">
        <v>129836</v>
      </c>
      <c r="J174" s="54">
        <v>138661</v>
      </c>
      <c r="K174" s="54">
        <f t="shared" si="65"/>
        <v>-6.3644427777096695</v>
      </c>
      <c r="L174" s="54">
        <v>82406</v>
      </c>
      <c r="M174" s="54">
        <f>76094+296</f>
        <v>76390</v>
      </c>
      <c r="N174" s="129">
        <f t="shared" si="66"/>
        <v>7.8753763581620717</v>
      </c>
      <c r="O174" s="54">
        <v>10</v>
      </c>
      <c r="P174" s="54"/>
      <c r="Q174" s="54">
        <v>10</v>
      </c>
      <c r="R174" s="190">
        <f t="shared" si="68"/>
        <v>0</v>
      </c>
      <c r="T174" s="39"/>
    </row>
    <row r="175" spans="1:20" s="130" customFormat="1" x14ac:dyDescent="0.25">
      <c r="A175" s="60">
        <v>12</v>
      </c>
      <c r="B175" s="181" t="s">
        <v>219</v>
      </c>
      <c r="C175" s="54">
        <v>6668</v>
      </c>
      <c r="D175" s="54">
        <v>5250</v>
      </c>
      <c r="E175" s="43">
        <f t="shared" si="64"/>
        <v>27.009523809523813</v>
      </c>
      <c r="F175" s="54">
        <v>3200</v>
      </c>
      <c r="G175" s="54">
        <v>2800</v>
      </c>
      <c r="H175" s="43">
        <f t="shared" si="67"/>
        <v>14.285714285714278</v>
      </c>
      <c r="I175" s="54">
        <v>6668</v>
      </c>
      <c r="J175" s="54">
        <v>5250</v>
      </c>
      <c r="K175" s="54">
        <f t="shared" si="65"/>
        <v>27.009523809523813</v>
      </c>
      <c r="L175" s="54">
        <v>0</v>
      </c>
      <c r="M175" s="54">
        <v>0</v>
      </c>
      <c r="N175" s="129">
        <v>0</v>
      </c>
      <c r="O175" s="54">
        <v>10</v>
      </c>
      <c r="P175" s="54"/>
      <c r="Q175" s="54">
        <v>10</v>
      </c>
      <c r="R175" s="190">
        <f t="shared" si="68"/>
        <v>0</v>
      </c>
      <c r="T175" s="39"/>
    </row>
    <row r="176" spans="1:20" s="130" customFormat="1" x14ac:dyDescent="0.25">
      <c r="A176" s="60">
        <v>13</v>
      </c>
      <c r="B176" s="181" t="s">
        <v>220</v>
      </c>
      <c r="C176" s="54"/>
      <c r="D176" s="54"/>
      <c r="E176" s="43" t="e">
        <f t="shared" si="64"/>
        <v>#DIV/0!</v>
      </c>
      <c r="F176" s="54"/>
      <c r="G176" s="54"/>
      <c r="H176" s="43" t="e">
        <f t="shared" si="67"/>
        <v>#DIV/0!</v>
      </c>
      <c r="I176" s="54"/>
      <c r="J176" s="54"/>
      <c r="K176" s="54" t="e">
        <f t="shared" si="65"/>
        <v>#DIV/0!</v>
      </c>
      <c r="L176" s="54"/>
      <c r="M176" s="54"/>
      <c r="N176" s="129" t="e">
        <f t="shared" si="66"/>
        <v>#DIV/0!</v>
      </c>
      <c r="O176" s="54"/>
      <c r="P176" s="54"/>
      <c r="Q176" s="54"/>
      <c r="R176" s="190">
        <f t="shared" si="68"/>
        <v>0</v>
      </c>
      <c r="T176" s="39"/>
    </row>
    <row r="177" spans="1:20" s="130" customFormat="1" x14ac:dyDescent="0.25">
      <c r="A177" s="60">
        <v>14</v>
      </c>
      <c r="B177" s="181" t="s">
        <v>236</v>
      </c>
      <c r="C177" s="54">
        <v>56708</v>
      </c>
      <c r="D177" s="54">
        <v>0</v>
      </c>
      <c r="E177" s="43">
        <v>0</v>
      </c>
      <c r="F177" s="54">
        <v>56290</v>
      </c>
      <c r="G177" s="54">
        <v>0</v>
      </c>
      <c r="H177" s="43">
        <v>0</v>
      </c>
      <c r="I177" s="54">
        <v>56708</v>
      </c>
      <c r="J177" s="54">
        <v>0</v>
      </c>
      <c r="K177" s="54">
        <v>0</v>
      </c>
      <c r="L177" s="54">
        <v>55168</v>
      </c>
      <c r="M177" s="54">
        <v>0</v>
      </c>
      <c r="N177" s="129">
        <v>0</v>
      </c>
      <c r="O177" s="54">
        <v>33</v>
      </c>
      <c r="P177" s="54">
        <v>112</v>
      </c>
      <c r="Q177" s="54">
        <v>33</v>
      </c>
      <c r="R177" s="190">
        <f t="shared" si="68"/>
        <v>3696</v>
      </c>
      <c r="T177" s="39"/>
    </row>
    <row r="178" spans="1:20" s="130" customFormat="1" x14ac:dyDescent="0.25">
      <c r="A178" s="60">
        <v>15</v>
      </c>
      <c r="B178" s="181" t="s">
        <v>237</v>
      </c>
      <c r="C178" s="54">
        <v>342422</v>
      </c>
      <c r="D178" s="54">
        <v>66969</v>
      </c>
      <c r="E178" s="43">
        <f t="shared" si="64"/>
        <v>411.31419014768034</v>
      </c>
      <c r="F178" s="54">
        <v>19309</v>
      </c>
      <c r="G178" s="54">
        <v>17147</v>
      </c>
      <c r="H178" s="43">
        <f t="shared" si="67"/>
        <v>12.608619583600628</v>
      </c>
      <c r="I178" s="54">
        <v>342422</v>
      </c>
      <c r="J178" s="54">
        <v>66969</v>
      </c>
      <c r="K178" s="54">
        <f t="shared" si="65"/>
        <v>411.31419014768034</v>
      </c>
      <c r="L178" s="54">
        <v>320942</v>
      </c>
      <c r="M178" s="54">
        <v>40015</v>
      </c>
      <c r="N178" s="129">
        <f t="shared" si="66"/>
        <v>702.05422966387607</v>
      </c>
      <c r="O178" s="54">
        <v>33</v>
      </c>
      <c r="P178" s="54">
        <v>110</v>
      </c>
      <c r="Q178" s="54"/>
      <c r="R178" s="190">
        <f t="shared" si="68"/>
        <v>3630</v>
      </c>
      <c r="T178" s="39"/>
    </row>
    <row r="179" spans="1:20" s="130" customFormat="1" x14ac:dyDescent="0.25">
      <c r="A179" s="60">
        <v>16</v>
      </c>
      <c r="B179" s="181" t="s">
        <v>229</v>
      </c>
      <c r="C179" s="54">
        <v>879418</v>
      </c>
      <c r="D179" s="54">
        <v>198641</v>
      </c>
      <c r="E179" s="43">
        <f t="shared" si="64"/>
        <v>342.71726380757241</v>
      </c>
      <c r="F179" s="54">
        <v>472735</v>
      </c>
      <c r="G179" s="54">
        <v>166875</v>
      </c>
      <c r="H179" s="43">
        <f t="shared" si="67"/>
        <v>183.28689138576777</v>
      </c>
      <c r="I179" s="54">
        <v>813091</v>
      </c>
      <c r="J179" s="54">
        <v>263755</v>
      </c>
      <c r="K179" s="54">
        <f t="shared" si="65"/>
        <v>208.2751037895016</v>
      </c>
      <c r="L179" s="54">
        <v>338352</v>
      </c>
      <c r="M179" s="54">
        <f>86831+12354</f>
        <v>99185</v>
      </c>
      <c r="N179" s="129">
        <f t="shared" si="66"/>
        <v>241.13222765539149</v>
      </c>
      <c r="O179" s="54">
        <v>45</v>
      </c>
      <c r="P179" s="54"/>
      <c r="Q179" s="42">
        <v>45</v>
      </c>
      <c r="R179" s="190">
        <f t="shared" si="68"/>
        <v>0</v>
      </c>
      <c r="T179" s="39"/>
    </row>
    <row r="180" spans="1:20" ht="27" customHeight="1" x14ac:dyDescent="0.25">
      <c r="A180" s="42">
        <v>17</v>
      </c>
      <c r="B180" s="184" t="s">
        <v>230</v>
      </c>
      <c r="C180" s="42">
        <v>153992</v>
      </c>
      <c r="D180" s="42">
        <v>73855</v>
      </c>
      <c r="E180" s="43">
        <f t="shared" si="64"/>
        <v>108.50585606932501</v>
      </c>
      <c r="F180" s="42">
        <v>106488</v>
      </c>
      <c r="G180" s="42">
        <v>52411</v>
      </c>
      <c r="H180" s="43">
        <f t="shared" si="67"/>
        <v>103.17872202400258</v>
      </c>
      <c r="I180" s="42">
        <v>172901</v>
      </c>
      <c r="J180" s="42">
        <v>127553</v>
      </c>
      <c r="K180" s="43">
        <f t="shared" si="65"/>
        <v>35.552280228610869</v>
      </c>
      <c r="L180" s="42">
        <v>0</v>
      </c>
      <c r="M180" s="42">
        <v>0</v>
      </c>
      <c r="N180" s="43">
        <v>0</v>
      </c>
      <c r="O180" s="42">
        <v>48</v>
      </c>
      <c r="P180" s="42">
        <v>85</v>
      </c>
      <c r="Q180" s="42">
        <v>48</v>
      </c>
      <c r="R180" s="190">
        <f t="shared" si="68"/>
        <v>4080</v>
      </c>
      <c r="T180" s="73"/>
    </row>
    <row r="181" spans="1:20" ht="27" x14ac:dyDescent="0.25">
      <c r="A181" s="42">
        <v>18</v>
      </c>
      <c r="B181" s="184" t="s">
        <v>239</v>
      </c>
      <c r="C181" s="42">
        <v>280264</v>
      </c>
      <c r="D181" s="42">
        <v>25148</v>
      </c>
      <c r="E181" s="43">
        <f t="shared" si="64"/>
        <v>1014.4584062350884</v>
      </c>
      <c r="F181" s="42">
        <v>147947</v>
      </c>
      <c r="G181" s="42">
        <v>11718</v>
      </c>
      <c r="H181" s="43">
        <f t="shared" si="67"/>
        <v>1162.5618706263867</v>
      </c>
      <c r="I181" s="42">
        <v>362821</v>
      </c>
      <c r="J181" s="42">
        <v>79990</v>
      </c>
      <c r="K181" s="43">
        <f t="shared" si="65"/>
        <v>353.58294786848353</v>
      </c>
      <c r="L181" s="42">
        <f>20600+2472</f>
        <v>23072</v>
      </c>
      <c r="M181" s="42">
        <v>11835</v>
      </c>
      <c r="N181" s="43">
        <f t="shared" si="66"/>
        <v>94.947190536544156</v>
      </c>
      <c r="O181" s="42">
        <v>45</v>
      </c>
      <c r="P181" s="42"/>
      <c r="Q181" s="42">
        <v>45</v>
      </c>
      <c r="R181" s="190">
        <f t="shared" si="68"/>
        <v>0</v>
      </c>
      <c r="T181" s="131"/>
    </row>
    <row r="182" spans="1:20" x14ac:dyDescent="0.25">
      <c r="A182" s="893" t="s">
        <v>169</v>
      </c>
      <c r="B182" s="894" t="s">
        <v>119</v>
      </c>
      <c r="C182" s="67">
        <f>SUM(C164:C181)</f>
        <v>9465798</v>
      </c>
      <c r="D182" s="67">
        <f>SUM(D164:D181)</f>
        <v>9461779</v>
      </c>
      <c r="E182" s="57">
        <f t="shared" si="64"/>
        <v>4.2476155911060687E-2</v>
      </c>
      <c r="F182" s="67">
        <f>SUM(F164:F181)</f>
        <v>5253280</v>
      </c>
      <c r="G182" s="67">
        <f>SUM(G164:G181)</f>
        <v>6043956</v>
      </c>
      <c r="H182" s="57">
        <f t="shared" si="67"/>
        <v>-13.082093913324329</v>
      </c>
      <c r="I182" s="67">
        <f>SUM(I164:I181)</f>
        <v>9535165</v>
      </c>
      <c r="J182" s="67">
        <f>SUM(J164:J181)</f>
        <v>8537396</v>
      </c>
      <c r="K182" s="57">
        <f t="shared" si="65"/>
        <v>11.687041341411359</v>
      </c>
      <c r="L182" s="67">
        <f>SUM(L164:L181)</f>
        <v>7078274</v>
      </c>
      <c r="M182" s="67">
        <f>SUM(M164:M181)</f>
        <v>7316321</v>
      </c>
      <c r="N182" s="57">
        <f t="shared" si="66"/>
        <v>-3.2536434637025877</v>
      </c>
      <c r="O182" s="67">
        <f>SUM(O164:O181)</f>
        <v>1805</v>
      </c>
      <c r="P182" s="68">
        <f>R181/O182</f>
        <v>0</v>
      </c>
      <c r="Q182" s="67">
        <f>SUM(Q166:Q181)</f>
        <v>1135</v>
      </c>
      <c r="R182" s="70">
        <f>SUM(R164:R181)</f>
        <v>215679</v>
      </c>
    </row>
    <row r="183" spans="1:20" ht="14.25" customHeight="1" x14ac:dyDescent="0.2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R183" s="44"/>
    </row>
    <row r="184" spans="1:20" ht="14.25" customHeight="1" x14ac:dyDescent="0.25">
      <c r="A184" s="909" t="s">
        <v>224</v>
      </c>
      <c r="B184" s="910"/>
      <c r="C184" s="37">
        <v>3</v>
      </c>
      <c r="D184" s="37">
        <v>4</v>
      </c>
      <c r="E184" s="38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38">
        <v>16</v>
      </c>
      <c r="Q184" s="37">
        <v>15</v>
      </c>
    </row>
    <row r="185" spans="1:20" ht="14.25" customHeight="1" x14ac:dyDescent="0.25">
      <c r="A185" s="100">
        <v>1</v>
      </c>
      <c r="B185" s="167" t="s">
        <v>225</v>
      </c>
      <c r="C185" s="48">
        <v>4731035</v>
      </c>
      <c r="D185" s="48">
        <v>1620808</v>
      </c>
      <c r="E185" s="151">
        <f t="shared" ref="E185:E188" si="69">C185/D185*100-100</f>
        <v>191.89361108780309</v>
      </c>
      <c r="F185" s="48">
        <v>2698864</v>
      </c>
      <c r="G185" s="48">
        <v>783831</v>
      </c>
      <c r="H185" s="151">
        <f t="shared" ref="H185:H188" si="70">F185/G185*100-100</f>
        <v>244.31707855392301</v>
      </c>
      <c r="I185" s="48">
        <v>3322214</v>
      </c>
      <c r="J185" s="48">
        <v>1501650</v>
      </c>
      <c r="K185" s="151">
        <f t="shared" ref="K185:K188" si="71">I185/J185*100-100</f>
        <v>121.23757200412882</v>
      </c>
      <c r="L185" s="48">
        <f>277890+1798528</f>
        <v>2076418</v>
      </c>
      <c r="M185" s="48">
        <f>234117+442355</f>
        <v>676472</v>
      </c>
      <c r="N185" s="151">
        <f t="shared" ref="N185:N188" si="72">L185/M185*100-100</f>
        <v>206.94810723873275</v>
      </c>
      <c r="O185" s="34">
        <v>760</v>
      </c>
      <c r="P185" s="100"/>
      <c r="Q185" s="34">
        <v>760</v>
      </c>
      <c r="R185" s="72">
        <f>O185*P185</f>
        <v>0</v>
      </c>
    </row>
    <row r="186" spans="1:20" ht="14.25" customHeight="1" x14ac:dyDescent="0.25">
      <c r="A186" s="100">
        <v>2</v>
      </c>
      <c r="B186" s="167" t="s">
        <v>226</v>
      </c>
      <c r="C186" s="48">
        <v>731</v>
      </c>
      <c r="D186" s="48">
        <v>0</v>
      </c>
      <c r="E186" s="151">
        <v>0</v>
      </c>
      <c r="F186" s="48">
        <v>0</v>
      </c>
      <c r="G186" s="48">
        <v>0</v>
      </c>
      <c r="H186" s="151">
        <v>0</v>
      </c>
      <c r="I186" s="48">
        <v>617498</v>
      </c>
      <c r="J186" s="48">
        <v>523911</v>
      </c>
      <c r="K186" s="151">
        <f t="shared" si="71"/>
        <v>17.863148511865575</v>
      </c>
      <c r="L186" s="48">
        <v>0</v>
      </c>
      <c r="M186" s="48">
        <v>0</v>
      </c>
      <c r="N186" s="151">
        <v>0</v>
      </c>
      <c r="O186" s="34">
        <v>130</v>
      </c>
      <c r="P186" s="100"/>
      <c r="Q186" s="34">
        <v>130</v>
      </c>
      <c r="R186" s="72">
        <f>O186*P186</f>
        <v>0</v>
      </c>
    </row>
    <row r="187" spans="1:20" ht="14.25" customHeight="1" x14ac:dyDescent="0.25">
      <c r="A187" s="100">
        <v>3</v>
      </c>
      <c r="B187" s="193" t="s">
        <v>244</v>
      </c>
      <c r="C187" s="48">
        <v>0</v>
      </c>
      <c r="D187" s="48">
        <v>1678</v>
      </c>
      <c r="E187" s="151">
        <v>0</v>
      </c>
      <c r="F187" s="48">
        <v>0</v>
      </c>
      <c r="G187" s="48">
        <v>0</v>
      </c>
      <c r="H187" s="151">
        <v>0</v>
      </c>
      <c r="I187" s="48">
        <v>0</v>
      </c>
      <c r="J187" s="48">
        <v>0</v>
      </c>
      <c r="K187" s="151">
        <v>0</v>
      </c>
      <c r="L187" s="48">
        <v>0</v>
      </c>
      <c r="M187" s="48">
        <v>0</v>
      </c>
      <c r="N187" s="151">
        <v>0</v>
      </c>
      <c r="O187" s="34">
        <v>81</v>
      </c>
      <c r="P187" s="100"/>
      <c r="Q187" s="34">
        <v>77</v>
      </c>
      <c r="R187" s="72">
        <f>O187*P187</f>
        <v>0</v>
      </c>
    </row>
    <row r="188" spans="1:20" ht="14.25" customHeight="1" x14ac:dyDescent="0.25">
      <c r="A188" s="893" t="s">
        <v>202</v>
      </c>
      <c r="B188" s="894" t="s">
        <v>155</v>
      </c>
      <c r="C188" s="56">
        <f>SUM(C185:C187)</f>
        <v>4731766</v>
      </c>
      <c r="D188" s="56">
        <f>SUM(D185:D187)</f>
        <v>1622486</v>
      </c>
      <c r="E188" s="57">
        <f t="shared" si="69"/>
        <v>191.63678453928105</v>
      </c>
      <c r="F188" s="56">
        <f>SUM(F185:F187)</f>
        <v>2698864</v>
      </c>
      <c r="G188" s="56">
        <f>SUM(G185:G187)</f>
        <v>783831</v>
      </c>
      <c r="H188" s="57">
        <f t="shared" si="70"/>
        <v>244.31707855392301</v>
      </c>
      <c r="I188" s="56">
        <f>SUM(I185:I187)</f>
        <v>3939712</v>
      </c>
      <c r="J188" s="56">
        <f>SUM(J185:J187)</f>
        <v>2025561</v>
      </c>
      <c r="K188" s="57">
        <f t="shared" si="71"/>
        <v>94.499795365333341</v>
      </c>
      <c r="L188" s="56">
        <f>SUM(L185:L187)</f>
        <v>2076418</v>
      </c>
      <c r="M188" s="56">
        <f>SUM(M185:M187)</f>
        <v>676472</v>
      </c>
      <c r="N188" s="168">
        <f t="shared" si="72"/>
        <v>206.94810723873275</v>
      </c>
      <c r="O188" s="56">
        <f>SUM(O185:O187)</f>
        <v>971</v>
      </c>
      <c r="P188" s="87">
        <f>R186/O188</f>
        <v>0</v>
      </c>
      <c r="Q188" s="56">
        <f>SUM(Q185:Q187)</f>
        <v>967</v>
      </c>
      <c r="R188" s="188">
        <f>SUM(R185:R187)</f>
        <v>0</v>
      </c>
    </row>
    <row r="189" spans="1:20" ht="14.25" customHeight="1" x14ac:dyDescent="0.2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R189" s="44"/>
    </row>
    <row r="190" spans="1:20" x14ac:dyDescent="0.25">
      <c r="A190" s="962" t="s">
        <v>170</v>
      </c>
      <c r="B190" s="963"/>
      <c r="C190" s="32">
        <v>3</v>
      </c>
      <c r="D190" s="32">
        <v>4</v>
      </c>
      <c r="E190" s="32">
        <v>5</v>
      </c>
      <c r="F190" s="32">
        <v>6</v>
      </c>
      <c r="G190" s="32">
        <v>7</v>
      </c>
      <c r="H190" s="32">
        <v>8</v>
      </c>
      <c r="I190" s="32">
        <v>9</v>
      </c>
      <c r="J190" s="32">
        <v>10</v>
      </c>
      <c r="K190" s="32">
        <v>11</v>
      </c>
      <c r="L190" s="32">
        <v>12</v>
      </c>
      <c r="M190" s="32">
        <v>13</v>
      </c>
      <c r="N190" s="32">
        <v>14</v>
      </c>
      <c r="O190" s="32">
        <v>15</v>
      </c>
      <c r="P190" s="32">
        <v>16</v>
      </c>
      <c r="Q190" s="32">
        <v>17</v>
      </c>
    </row>
    <row r="191" spans="1:20" x14ac:dyDescent="0.25">
      <c r="A191" s="45">
        <v>1</v>
      </c>
      <c r="B191" s="81" t="s">
        <v>171</v>
      </c>
      <c r="C191" s="45">
        <v>0</v>
      </c>
      <c r="D191" s="45">
        <v>13701</v>
      </c>
      <c r="E191" s="43">
        <f t="shared" si="64"/>
        <v>-100</v>
      </c>
      <c r="F191" s="45">
        <v>0</v>
      </c>
      <c r="G191" s="45">
        <v>8998</v>
      </c>
      <c r="H191" s="43">
        <f t="shared" si="67"/>
        <v>-100</v>
      </c>
      <c r="I191" s="45">
        <v>12749</v>
      </c>
      <c r="J191" s="45">
        <v>20665</v>
      </c>
      <c r="K191" s="43">
        <f t="shared" si="65"/>
        <v>-38.306315025405283</v>
      </c>
      <c r="L191" s="45">
        <v>12387</v>
      </c>
      <c r="M191" s="45">
        <v>18417</v>
      </c>
      <c r="N191" s="43">
        <f t="shared" ref="N191:N195" si="73">L191/M191*100-100</f>
        <v>-32.741488841830915</v>
      </c>
      <c r="O191" s="45">
        <v>17</v>
      </c>
      <c r="P191" s="45">
        <v>124</v>
      </c>
      <c r="Q191" s="45">
        <v>17</v>
      </c>
      <c r="R191" s="44">
        <f t="shared" ref="R191:R205" si="74">O191*P191</f>
        <v>2108</v>
      </c>
    </row>
    <row r="192" spans="1:20" x14ac:dyDescent="0.25">
      <c r="A192" s="45">
        <v>2</v>
      </c>
      <c r="B192" s="81" t="s">
        <v>172</v>
      </c>
      <c r="C192" s="45">
        <v>184801</v>
      </c>
      <c r="D192" s="45">
        <v>197830</v>
      </c>
      <c r="E192" s="54">
        <f t="shared" si="64"/>
        <v>-6.5859576403983198</v>
      </c>
      <c r="F192" s="45">
        <v>113115</v>
      </c>
      <c r="G192" s="45">
        <v>91099</v>
      </c>
      <c r="H192" s="43">
        <f t="shared" si="67"/>
        <v>24.167114896980195</v>
      </c>
      <c r="I192" s="45">
        <v>182286</v>
      </c>
      <c r="J192" s="45">
        <v>203189</v>
      </c>
      <c r="K192" s="43">
        <f t="shared" si="65"/>
        <v>-10.287466349064161</v>
      </c>
      <c r="L192" s="45">
        <f>113633+12815</f>
        <v>126448</v>
      </c>
      <c r="M192" s="45">
        <f>39743+23175</f>
        <v>62918</v>
      </c>
      <c r="N192" s="43">
        <f t="shared" si="73"/>
        <v>100.97269461839221</v>
      </c>
      <c r="O192" s="45">
        <v>18</v>
      </c>
      <c r="P192" s="45">
        <v>71</v>
      </c>
      <c r="Q192" s="45">
        <v>18</v>
      </c>
      <c r="R192" s="44">
        <f t="shared" si="74"/>
        <v>1278</v>
      </c>
    </row>
    <row r="193" spans="1:18" x14ac:dyDescent="0.25">
      <c r="A193" s="45">
        <v>3</v>
      </c>
      <c r="B193" s="81" t="s">
        <v>173</v>
      </c>
      <c r="C193" s="45">
        <v>43146</v>
      </c>
      <c r="D193" s="45">
        <v>18342</v>
      </c>
      <c r="E193" s="54">
        <f t="shared" si="64"/>
        <v>135.23061825318939</v>
      </c>
      <c r="F193" s="45">
        <v>0</v>
      </c>
      <c r="G193" s="45">
        <v>18342</v>
      </c>
      <c r="H193" s="43">
        <f t="shared" si="67"/>
        <v>-100</v>
      </c>
      <c r="I193" s="45">
        <v>111943</v>
      </c>
      <c r="J193" s="45">
        <v>45953</v>
      </c>
      <c r="K193" s="43">
        <f t="shared" si="65"/>
        <v>143.603246795639</v>
      </c>
      <c r="L193" s="45">
        <f>84061+4224</f>
        <v>88285</v>
      </c>
      <c r="M193" s="45">
        <v>27151</v>
      </c>
      <c r="N193" s="43">
        <f t="shared" si="73"/>
        <v>225.16297742256268</v>
      </c>
      <c r="O193" s="45">
        <v>82</v>
      </c>
      <c r="P193" s="45">
        <v>80</v>
      </c>
      <c r="Q193" s="45">
        <v>82</v>
      </c>
      <c r="R193" s="44">
        <f t="shared" si="74"/>
        <v>6560</v>
      </c>
    </row>
    <row r="194" spans="1:18" x14ac:dyDescent="0.25">
      <c r="A194" s="45">
        <v>4</v>
      </c>
      <c r="B194" s="81" t="s">
        <v>174</v>
      </c>
      <c r="C194" s="45">
        <v>296638</v>
      </c>
      <c r="D194" s="45">
        <v>607353</v>
      </c>
      <c r="E194" s="54">
        <f t="shared" si="64"/>
        <v>-51.158881243691887</v>
      </c>
      <c r="F194" s="45">
        <v>194700</v>
      </c>
      <c r="G194" s="45">
        <v>284832</v>
      </c>
      <c r="H194" s="43">
        <f t="shared" si="67"/>
        <v>-31.643916413886075</v>
      </c>
      <c r="I194" s="45">
        <v>301737</v>
      </c>
      <c r="J194" s="45">
        <v>607858</v>
      </c>
      <c r="K194" s="43">
        <f t="shared" si="65"/>
        <v>-50.360610537329443</v>
      </c>
      <c r="L194" s="45">
        <v>211200</v>
      </c>
      <c r="M194" s="45">
        <f>470312+45100</f>
        <v>515412</v>
      </c>
      <c r="N194" s="43">
        <f t="shared" si="73"/>
        <v>-59.023072803892809</v>
      </c>
      <c r="O194" s="45">
        <v>250</v>
      </c>
      <c r="P194" s="45">
        <v>160</v>
      </c>
      <c r="Q194" s="45">
        <v>81</v>
      </c>
      <c r="R194" s="44">
        <f t="shared" si="74"/>
        <v>40000</v>
      </c>
    </row>
    <row r="195" spans="1:18" x14ac:dyDescent="0.25">
      <c r="A195" s="45">
        <v>5</v>
      </c>
      <c r="B195" s="81" t="s">
        <v>175</v>
      </c>
      <c r="C195" s="45">
        <v>6073955</v>
      </c>
      <c r="D195" s="45">
        <v>12122743</v>
      </c>
      <c r="E195" s="43">
        <f t="shared" si="64"/>
        <v>-49.89619923477715</v>
      </c>
      <c r="F195" s="45">
        <v>2969161</v>
      </c>
      <c r="G195" s="45">
        <v>4229873</v>
      </c>
      <c r="H195" s="43">
        <f t="shared" si="67"/>
        <v>-29.804961047293858</v>
      </c>
      <c r="I195" s="45">
        <v>2851971</v>
      </c>
      <c r="J195" s="45">
        <v>5496481</v>
      </c>
      <c r="K195" s="43">
        <f t="shared" si="65"/>
        <v>-48.112783433618709</v>
      </c>
      <c r="L195" s="45">
        <v>60011</v>
      </c>
      <c r="M195" s="45">
        <v>412326</v>
      </c>
      <c r="N195" s="43">
        <f t="shared" si="73"/>
        <v>-85.445739536192235</v>
      </c>
      <c r="O195" s="45">
        <v>210</v>
      </c>
      <c r="P195" s="45">
        <v>47</v>
      </c>
      <c r="Q195" s="45">
        <v>210</v>
      </c>
      <c r="R195" s="44">
        <f t="shared" si="74"/>
        <v>9870</v>
      </c>
    </row>
    <row r="196" spans="1:18" x14ac:dyDescent="0.25">
      <c r="A196" s="45">
        <v>6</v>
      </c>
      <c r="B196" s="81" t="s">
        <v>176</v>
      </c>
      <c r="C196" s="45">
        <v>412941</v>
      </c>
      <c r="D196" s="45">
        <v>488747</v>
      </c>
      <c r="E196" s="43">
        <f t="shared" si="64"/>
        <v>-15.510274231862297</v>
      </c>
      <c r="F196" s="45">
        <v>227707</v>
      </c>
      <c r="G196" s="45">
        <v>253157</v>
      </c>
      <c r="H196" s="43">
        <f t="shared" si="67"/>
        <v>-10.053050083544989</v>
      </c>
      <c r="I196" s="45">
        <v>400450</v>
      </c>
      <c r="J196" s="45">
        <v>594767</v>
      </c>
      <c r="K196" s="43">
        <f t="shared" si="65"/>
        <v>-32.671113225851471</v>
      </c>
      <c r="L196" s="45">
        <v>1628</v>
      </c>
      <c r="M196" s="45">
        <v>0</v>
      </c>
      <c r="N196" s="43">
        <v>0</v>
      </c>
      <c r="O196" s="45">
        <v>460</v>
      </c>
      <c r="P196" s="45">
        <v>129</v>
      </c>
      <c r="Q196" s="45">
        <v>460</v>
      </c>
      <c r="R196" s="44">
        <f t="shared" si="74"/>
        <v>59340</v>
      </c>
    </row>
    <row r="197" spans="1:18" x14ac:dyDescent="0.25">
      <c r="A197" s="45">
        <v>7</v>
      </c>
      <c r="B197" s="81" t="s">
        <v>177</v>
      </c>
      <c r="C197" s="45">
        <v>186394</v>
      </c>
      <c r="D197" s="45">
        <v>196404</v>
      </c>
      <c r="E197" s="43">
        <f t="shared" si="64"/>
        <v>-5.0966375430235615</v>
      </c>
      <c r="F197" s="45">
        <v>107447</v>
      </c>
      <c r="G197" s="45">
        <v>124495</v>
      </c>
      <c r="H197" s="43">
        <f t="shared" si="67"/>
        <v>-13.693722639463431</v>
      </c>
      <c r="I197" s="45">
        <v>173601</v>
      </c>
      <c r="J197" s="45">
        <v>187909</v>
      </c>
      <c r="K197" s="43">
        <f t="shared" si="65"/>
        <v>-7.614323954680188</v>
      </c>
      <c r="L197" s="45">
        <f>26780+2092</f>
        <v>28872</v>
      </c>
      <c r="M197" s="45">
        <v>0</v>
      </c>
      <c r="N197" s="43">
        <v>0</v>
      </c>
      <c r="O197" s="45">
        <v>164</v>
      </c>
      <c r="P197" s="45">
        <v>104</v>
      </c>
      <c r="Q197" s="45">
        <v>459</v>
      </c>
      <c r="R197" s="44">
        <f t="shared" si="74"/>
        <v>17056</v>
      </c>
    </row>
    <row r="198" spans="1:18" x14ac:dyDescent="0.25">
      <c r="A198" s="45">
        <v>8</v>
      </c>
      <c r="B198" s="81" t="s">
        <v>178</v>
      </c>
      <c r="C198" s="45">
        <v>51706</v>
      </c>
      <c r="D198" s="45">
        <v>96493</v>
      </c>
      <c r="E198" s="43">
        <f t="shared" si="64"/>
        <v>-46.414765837936436</v>
      </c>
      <c r="F198" s="45">
        <v>18221</v>
      </c>
      <c r="G198" s="45">
        <v>52009</v>
      </c>
      <c r="H198" s="43">
        <f t="shared" si="67"/>
        <v>-64.965679017093194</v>
      </c>
      <c r="I198" s="45">
        <v>25850</v>
      </c>
      <c r="J198" s="45">
        <v>46130</v>
      </c>
      <c r="K198" s="43">
        <f t="shared" si="65"/>
        <v>-43.962714068935618</v>
      </c>
      <c r="L198" s="45">
        <v>17570</v>
      </c>
      <c r="M198" s="45">
        <v>41039</v>
      </c>
      <c r="N198" s="43">
        <f t="shared" ref="N198:N202" si="75">L198/M198*100-100</f>
        <v>-57.18706596164624</v>
      </c>
      <c r="O198" s="45">
        <v>25</v>
      </c>
      <c r="P198" s="45">
        <v>80</v>
      </c>
      <c r="Q198" s="45">
        <v>168</v>
      </c>
      <c r="R198" s="44">
        <f t="shared" si="74"/>
        <v>2000</v>
      </c>
    </row>
    <row r="199" spans="1:18" x14ac:dyDescent="0.25">
      <c r="A199" s="45">
        <v>9</v>
      </c>
      <c r="B199" s="81" t="s">
        <v>179</v>
      </c>
      <c r="C199" s="45">
        <v>297719</v>
      </c>
      <c r="D199" s="45">
        <v>228282</v>
      </c>
      <c r="E199" s="43">
        <f t="shared" si="64"/>
        <v>30.417203283657926</v>
      </c>
      <c r="F199" s="45">
        <v>179520</v>
      </c>
      <c r="G199" s="45">
        <v>106274</v>
      </c>
      <c r="H199" s="43">
        <f t="shared" si="67"/>
        <v>68.921843536518793</v>
      </c>
      <c r="I199" s="45">
        <v>293729</v>
      </c>
      <c r="J199" s="45">
        <v>227179</v>
      </c>
      <c r="K199" s="43">
        <f t="shared" si="65"/>
        <v>29.294080878954475</v>
      </c>
      <c r="L199" s="45">
        <v>1351</v>
      </c>
      <c r="M199" s="45">
        <v>0</v>
      </c>
      <c r="N199" s="43">
        <v>0</v>
      </c>
      <c r="O199" s="45">
        <v>30</v>
      </c>
      <c r="P199" s="45">
        <v>120</v>
      </c>
      <c r="Q199" s="45">
        <v>30</v>
      </c>
      <c r="R199" s="44">
        <f t="shared" si="74"/>
        <v>3600</v>
      </c>
    </row>
    <row r="200" spans="1:18" x14ac:dyDescent="0.25">
      <c r="A200" s="45">
        <v>10</v>
      </c>
      <c r="B200" s="181" t="s">
        <v>227</v>
      </c>
      <c r="C200" s="60">
        <v>125228</v>
      </c>
      <c r="D200" s="60">
        <v>148143</v>
      </c>
      <c r="E200" s="43">
        <f t="shared" si="64"/>
        <v>-15.468162518647517</v>
      </c>
      <c r="F200" s="60">
        <v>69790</v>
      </c>
      <c r="G200" s="60">
        <v>118658</v>
      </c>
      <c r="H200" s="43">
        <f t="shared" si="67"/>
        <v>-41.183906689814421</v>
      </c>
      <c r="I200" s="60">
        <v>125228</v>
      </c>
      <c r="J200" s="60">
        <v>148143</v>
      </c>
      <c r="K200" s="54">
        <f t="shared" si="65"/>
        <v>-15.468162518647517</v>
      </c>
      <c r="L200" s="60">
        <f>48825+18006</f>
        <v>66831</v>
      </c>
      <c r="M200" s="60">
        <f>135392+779</f>
        <v>136171</v>
      </c>
      <c r="N200" s="43">
        <f t="shared" si="75"/>
        <v>-50.921268111418733</v>
      </c>
      <c r="O200" s="60">
        <v>160</v>
      </c>
      <c r="P200" s="60">
        <v>85</v>
      </c>
      <c r="Q200" s="45">
        <v>160</v>
      </c>
      <c r="R200" s="44">
        <f t="shared" si="74"/>
        <v>13600</v>
      </c>
    </row>
    <row r="201" spans="1:18" x14ac:dyDescent="0.25">
      <c r="A201" s="45">
        <v>11</v>
      </c>
      <c r="B201" s="181" t="s">
        <v>235</v>
      </c>
      <c r="C201" s="60">
        <v>39767</v>
      </c>
      <c r="D201" s="60">
        <v>21294</v>
      </c>
      <c r="E201" s="43">
        <f t="shared" si="64"/>
        <v>86.752136752136749</v>
      </c>
      <c r="F201" s="60">
        <v>18444</v>
      </c>
      <c r="G201" s="60">
        <v>15344</v>
      </c>
      <c r="H201" s="43">
        <f t="shared" si="67"/>
        <v>20.203336809176236</v>
      </c>
      <c r="I201" s="60">
        <v>39767</v>
      </c>
      <c r="J201" s="60">
        <v>21294</v>
      </c>
      <c r="K201" s="54">
        <f t="shared" si="65"/>
        <v>86.752136752136749</v>
      </c>
      <c r="L201" s="60">
        <v>0</v>
      </c>
      <c r="M201" s="60">
        <v>0</v>
      </c>
      <c r="N201" s="43">
        <v>0</v>
      </c>
      <c r="O201" s="60">
        <v>17</v>
      </c>
      <c r="P201" s="134">
        <v>80</v>
      </c>
      <c r="Q201" s="60">
        <v>17</v>
      </c>
      <c r="R201" s="44">
        <f t="shared" si="74"/>
        <v>1360</v>
      </c>
    </row>
    <row r="202" spans="1:18" x14ac:dyDescent="0.25">
      <c r="A202" s="45">
        <v>12</v>
      </c>
      <c r="B202" s="81" t="s">
        <v>223</v>
      </c>
      <c r="C202" s="60">
        <v>286983</v>
      </c>
      <c r="D202" s="60">
        <v>173839</v>
      </c>
      <c r="E202" s="43">
        <f t="shared" si="64"/>
        <v>65.085510155948896</v>
      </c>
      <c r="F202" s="60">
        <v>173407</v>
      </c>
      <c r="G202" s="60">
        <v>105484</v>
      </c>
      <c r="H202" s="43">
        <f t="shared" si="67"/>
        <v>64.391756095711202</v>
      </c>
      <c r="I202" s="60">
        <v>173407</v>
      </c>
      <c r="J202" s="60">
        <v>105484</v>
      </c>
      <c r="K202" s="54">
        <f t="shared" si="65"/>
        <v>64.391756095711202</v>
      </c>
      <c r="L202" s="60">
        <v>46905</v>
      </c>
      <c r="M202" s="60">
        <v>10691</v>
      </c>
      <c r="N202" s="43">
        <f t="shared" si="75"/>
        <v>338.73351417079789</v>
      </c>
      <c r="O202" s="60">
        <v>164</v>
      </c>
      <c r="P202" s="134"/>
      <c r="Q202" s="60">
        <v>17</v>
      </c>
      <c r="R202" s="44">
        <f t="shared" si="74"/>
        <v>0</v>
      </c>
    </row>
    <row r="203" spans="1:18" x14ac:dyDescent="0.25">
      <c r="A203" s="45">
        <v>13</v>
      </c>
      <c r="B203" s="81" t="s">
        <v>182</v>
      </c>
      <c r="C203" s="45">
        <v>97641</v>
      </c>
      <c r="D203" s="45">
        <v>45296</v>
      </c>
      <c r="E203" s="43">
        <f t="shared" si="64"/>
        <v>115.56208053691276</v>
      </c>
      <c r="F203" s="45">
        <v>54640</v>
      </c>
      <c r="G203" s="45">
        <v>24090</v>
      </c>
      <c r="H203" s="43">
        <f t="shared" si="67"/>
        <v>126.81610626816106</v>
      </c>
      <c r="I203" s="45">
        <v>107058</v>
      </c>
      <c r="J203" s="45">
        <v>45448</v>
      </c>
      <c r="K203" s="43">
        <f t="shared" si="65"/>
        <v>135.56152085900371</v>
      </c>
      <c r="L203" s="45">
        <v>3727</v>
      </c>
      <c r="M203" s="45">
        <v>0</v>
      </c>
      <c r="N203" s="43">
        <v>0</v>
      </c>
      <c r="O203" s="45">
        <v>109</v>
      </c>
      <c r="P203" s="45">
        <v>115</v>
      </c>
      <c r="Q203" s="45">
        <v>102</v>
      </c>
      <c r="R203" s="44">
        <f t="shared" si="74"/>
        <v>12535</v>
      </c>
    </row>
    <row r="204" spans="1:18" x14ac:dyDescent="0.25">
      <c r="A204" s="45">
        <v>14</v>
      </c>
      <c r="B204" s="81" t="s">
        <v>183</v>
      </c>
      <c r="C204" s="45">
        <v>547</v>
      </c>
      <c r="D204" s="45">
        <v>1460</v>
      </c>
      <c r="E204" s="43">
        <f t="shared" si="64"/>
        <v>-62.534246575342465</v>
      </c>
      <c r="F204" s="45">
        <v>0</v>
      </c>
      <c r="G204" s="45">
        <v>0</v>
      </c>
      <c r="H204" s="43">
        <v>0</v>
      </c>
      <c r="I204" s="45">
        <v>5495</v>
      </c>
      <c r="J204" s="45">
        <v>5351</v>
      </c>
      <c r="K204" s="43">
        <f t="shared" si="65"/>
        <v>2.691085778359195</v>
      </c>
      <c r="L204" s="45">
        <v>0</v>
      </c>
      <c r="M204" s="45">
        <v>0</v>
      </c>
      <c r="N204" s="43">
        <v>0</v>
      </c>
      <c r="O204" s="45">
        <v>44</v>
      </c>
      <c r="P204" s="45">
        <v>80</v>
      </c>
      <c r="Q204" s="45">
        <v>156</v>
      </c>
      <c r="R204" s="44">
        <f t="shared" si="74"/>
        <v>3520</v>
      </c>
    </row>
    <row r="205" spans="1:18" x14ac:dyDescent="0.25">
      <c r="A205" s="45">
        <v>15</v>
      </c>
      <c r="B205" s="81" t="s">
        <v>184</v>
      </c>
      <c r="C205" s="45">
        <v>678710</v>
      </c>
      <c r="D205" s="45">
        <v>785411</v>
      </c>
      <c r="E205" s="43">
        <f t="shared" si="64"/>
        <v>-13.585371226020513</v>
      </c>
      <c r="F205" s="45">
        <v>372040</v>
      </c>
      <c r="G205" s="45">
        <v>332261</v>
      </c>
      <c r="H205" s="43">
        <f t="shared" si="67"/>
        <v>11.972214614414582</v>
      </c>
      <c r="I205" s="45">
        <v>384656</v>
      </c>
      <c r="J205" s="45">
        <v>387100</v>
      </c>
      <c r="K205" s="43">
        <f t="shared" si="65"/>
        <v>-0.63136140532161278</v>
      </c>
      <c r="L205" s="45">
        <v>0</v>
      </c>
      <c r="M205" s="45">
        <v>0</v>
      </c>
      <c r="N205" s="43">
        <v>0</v>
      </c>
      <c r="O205" s="45">
        <v>445</v>
      </c>
      <c r="P205" s="45">
        <v>100</v>
      </c>
      <c r="Q205" s="45">
        <v>446</v>
      </c>
      <c r="R205" s="44">
        <f t="shared" si="74"/>
        <v>44500</v>
      </c>
    </row>
    <row r="206" spans="1:18" x14ac:dyDescent="0.25">
      <c r="A206" s="893" t="s">
        <v>185</v>
      </c>
      <c r="B206" s="894" t="s">
        <v>119</v>
      </c>
      <c r="C206" s="56">
        <f>SUM(C191:C205)</f>
        <v>8776176</v>
      </c>
      <c r="D206" s="56">
        <f>SUM(D191:D205)</f>
        <v>15145338</v>
      </c>
      <c r="E206" s="57">
        <f t="shared" si="64"/>
        <v>-42.053614122048643</v>
      </c>
      <c r="F206" s="56">
        <f>SUM(F191:F205)</f>
        <v>4498192</v>
      </c>
      <c r="G206" s="56">
        <f>SUM(G191:G205)</f>
        <v>5764916</v>
      </c>
      <c r="H206" s="57">
        <f t="shared" si="67"/>
        <v>-21.972982780668445</v>
      </c>
      <c r="I206" s="56">
        <f>SUM(I191:I205)</f>
        <v>5189927</v>
      </c>
      <c r="J206" s="56">
        <f>SUM(J191:J205)</f>
        <v>8142951</v>
      </c>
      <c r="K206" s="57">
        <f t="shared" si="65"/>
        <v>-36.264789018133605</v>
      </c>
      <c r="L206" s="56">
        <f>SUM(L191:L205)</f>
        <v>665215</v>
      </c>
      <c r="M206" s="56">
        <f>SUM(M191:M205)</f>
        <v>1224125</v>
      </c>
      <c r="N206" s="57">
        <f t="shared" ref="N206:N207" si="76">L206/M206*100-100</f>
        <v>-45.65791892167875</v>
      </c>
      <c r="O206" s="56">
        <f>SUM(O172:O205)</f>
        <v>6536</v>
      </c>
      <c r="P206" s="87">
        <f>R206/O206</f>
        <v>33.250764993880047</v>
      </c>
      <c r="Q206" s="56">
        <f>SUM(Q174:Q205)</f>
        <v>5715</v>
      </c>
      <c r="R206" s="70">
        <f>SUM(R191:R205)</f>
        <v>217327</v>
      </c>
    </row>
    <row r="207" spans="1:18" x14ac:dyDescent="0.25">
      <c r="A207" s="135"/>
      <c r="B207" s="135" t="s">
        <v>186</v>
      </c>
      <c r="C207" s="136">
        <f>C182+C188+C206</f>
        <v>22973740</v>
      </c>
      <c r="D207" s="136">
        <f>D182+D188+D206</f>
        <v>26229603</v>
      </c>
      <c r="E207" s="16">
        <f t="shared" si="64"/>
        <v>-12.412932822505923</v>
      </c>
      <c r="F207" s="136">
        <f>F182+F188+F206</f>
        <v>12450336</v>
      </c>
      <c r="G207" s="136">
        <f>G182+G188+G206</f>
        <v>12592703</v>
      </c>
      <c r="H207" s="16">
        <f t="shared" si="67"/>
        <v>-1.1305515583111827</v>
      </c>
      <c r="I207" s="136">
        <f>I182+I188+I206</f>
        <v>18664804</v>
      </c>
      <c r="J207" s="136">
        <f>J182+J188+J206</f>
        <v>18705908</v>
      </c>
      <c r="K207" s="16">
        <f t="shared" si="65"/>
        <v>-0.21973806350378311</v>
      </c>
      <c r="L207" s="136">
        <f>L182+L188+L206</f>
        <v>9819907</v>
      </c>
      <c r="M207" s="136">
        <f>M182+M188+M206</f>
        <v>9216918</v>
      </c>
      <c r="N207" s="16">
        <f t="shared" si="76"/>
        <v>6.5421977281342976</v>
      </c>
      <c r="O207" s="136">
        <f>O182+O188+O206</f>
        <v>9312</v>
      </c>
      <c r="P207" s="107">
        <f>R207/O207</f>
        <v>46.499785223367695</v>
      </c>
      <c r="Q207" s="136">
        <f>Q182+Q188+Q206</f>
        <v>7817</v>
      </c>
      <c r="R207" s="136">
        <f>R182+R188+R206</f>
        <v>433006</v>
      </c>
    </row>
    <row r="208" spans="1:18" ht="10.5" customHeight="1" x14ac:dyDescent="0.2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R208" s="121"/>
    </row>
    <row r="209" spans="1:18" x14ac:dyDescent="0.25">
      <c r="A209" s="949" t="s">
        <v>243</v>
      </c>
      <c r="B209" s="950"/>
      <c r="C209" s="951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24"/>
    </row>
    <row r="210" spans="1:18" x14ac:dyDescent="0.25">
      <c r="A210" s="891" t="s">
        <v>188</v>
      </c>
      <c r="B210" s="892"/>
      <c r="C210" s="37">
        <v>3</v>
      </c>
      <c r="D210" s="37">
        <v>4</v>
      </c>
      <c r="E210" s="38">
        <v>5</v>
      </c>
      <c r="F210" s="37">
        <v>6</v>
      </c>
      <c r="G210" s="37">
        <v>7</v>
      </c>
      <c r="H210" s="37">
        <v>8</v>
      </c>
      <c r="I210" s="37">
        <v>9</v>
      </c>
      <c r="J210" s="37">
        <v>10</v>
      </c>
      <c r="K210" s="37">
        <v>11</v>
      </c>
      <c r="L210" s="37">
        <v>12</v>
      </c>
      <c r="M210" s="27">
        <v>13</v>
      </c>
      <c r="N210" s="27">
        <v>14</v>
      </c>
      <c r="O210" s="27">
        <v>15</v>
      </c>
      <c r="P210" s="38">
        <v>16</v>
      </c>
      <c r="Q210" s="27">
        <v>15</v>
      </c>
    </row>
    <row r="211" spans="1:18" x14ac:dyDescent="0.25">
      <c r="A211" s="140">
        <v>1</v>
      </c>
      <c r="B211" s="141" t="s">
        <v>189</v>
      </c>
      <c r="C211" s="100">
        <v>221873</v>
      </c>
      <c r="D211" s="100">
        <v>60521</v>
      </c>
      <c r="E211" s="43">
        <f>C211/D211*100-100</f>
        <v>266.60498008955574</v>
      </c>
      <c r="F211" s="100">
        <v>198097</v>
      </c>
      <c r="G211" s="100">
        <v>38399</v>
      </c>
      <c r="H211" s="43">
        <f>F211/G211*100-100</f>
        <v>415.89103882913616</v>
      </c>
      <c r="I211" s="100">
        <v>221873</v>
      </c>
      <c r="J211" s="100">
        <v>230701</v>
      </c>
      <c r="K211" s="43">
        <f>I211/J211*100-100</f>
        <v>-3.8265980641609758</v>
      </c>
      <c r="L211" s="100">
        <f>165940+55933</f>
        <v>221873</v>
      </c>
      <c r="M211" s="100">
        <f>170180+60521</f>
        <v>230701</v>
      </c>
      <c r="N211" s="43">
        <f>L211/M211*100-100</f>
        <v>-3.8265980641609758</v>
      </c>
      <c r="O211" s="100">
        <v>142</v>
      </c>
      <c r="P211" s="100">
        <v>164</v>
      </c>
      <c r="Q211" s="100">
        <v>143</v>
      </c>
      <c r="R211" s="44">
        <f t="shared" ref="R211:R217" si="77">O211*P211</f>
        <v>23288</v>
      </c>
    </row>
    <row r="212" spans="1:18" x14ac:dyDescent="0.25">
      <c r="A212" s="140">
        <v>2</v>
      </c>
      <c r="B212" s="141" t="s">
        <v>190</v>
      </c>
      <c r="C212" s="42">
        <v>0</v>
      </c>
      <c r="D212" s="42">
        <v>0</v>
      </c>
      <c r="E212" s="43">
        <v>0</v>
      </c>
      <c r="F212" s="42">
        <v>0</v>
      </c>
      <c r="G212" s="42">
        <v>0</v>
      </c>
      <c r="H212" s="43">
        <v>0</v>
      </c>
      <c r="I212" s="42">
        <v>0</v>
      </c>
      <c r="J212" s="42">
        <v>0</v>
      </c>
      <c r="K212" s="43">
        <v>0</v>
      </c>
      <c r="L212" s="42">
        <v>0</v>
      </c>
      <c r="M212" s="42">
        <v>0</v>
      </c>
      <c r="N212" s="43">
        <v>0</v>
      </c>
      <c r="O212" s="45"/>
      <c r="P212" s="46">
        <v>0</v>
      </c>
      <c r="Q212" s="45"/>
      <c r="R212" s="44">
        <f t="shared" si="77"/>
        <v>0</v>
      </c>
    </row>
    <row r="213" spans="1:18" x14ac:dyDescent="0.25">
      <c r="A213" s="140">
        <v>3</v>
      </c>
      <c r="B213" s="141" t="s">
        <v>191</v>
      </c>
      <c r="C213" s="100">
        <v>1057111</v>
      </c>
      <c r="D213" s="100">
        <v>849658</v>
      </c>
      <c r="E213" s="100">
        <f>C213/D213*100-100</f>
        <v>24.416059167335561</v>
      </c>
      <c r="F213" s="100">
        <v>736483</v>
      </c>
      <c r="G213" s="100">
        <v>430594</v>
      </c>
      <c r="H213" s="100">
        <f>F213/G213*100-100</f>
        <v>71.038844015476286</v>
      </c>
      <c r="I213" s="100">
        <v>1057111</v>
      </c>
      <c r="J213" s="100">
        <v>849658</v>
      </c>
      <c r="K213" s="100">
        <f>I213/J213*100-100</f>
        <v>24.416059167335561</v>
      </c>
      <c r="L213" s="100">
        <v>736483</v>
      </c>
      <c r="M213" s="100">
        <v>430594</v>
      </c>
      <c r="N213" s="43">
        <f>L213/M213*100-100</f>
        <v>71.038844015476286</v>
      </c>
      <c r="O213" s="100">
        <v>123</v>
      </c>
      <c r="P213" s="142">
        <v>206</v>
      </c>
      <c r="Q213" s="100">
        <v>114</v>
      </c>
      <c r="R213" s="44">
        <f t="shared" si="77"/>
        <v>25338</v>
      </c>
    </row>
    <row r="214" spans="1:18" x14ac:dyDescent="0.25">
      <c r="A214" s="140">
        <v>4</v>
      </c>
      <c r="B214" s="141" t="s">
        <v>192</v>
      </c>
      <c r="C214" s="100">
        <v>56611</v>
      </c>
      <c r="D214" s="100">
        <v>89797</v>
      </c>
      <c r="E214" s="43">
        <f>C214/D214*100-100</f>
        <v>-36.956691203492319</v>
      </c>
      <c r="F214" s="143">
        <v>23394</v>
      </c>
      <c r="G214" s="143">
        <v>4580</v>
      </c>
      <c r="H214" s="43">
        <f>F214/G214*100-100</f>
        <v>410.78602620087332</v>
      </c>
      <c r="I214" s="100">
        <v>125327</v>
      </c>
      <c r="J214" s="100">
        <v>176638</v>
      </c>
      <c r="K214" s="43">
        <f>I214/J214*100-100</f>
        <v>-29.04867582286937</v>
      </c>
      <c r="L214" s="100">
        <v>125327</v>
      </c>
      <c r="M214" s="100">
        <v>207199</v>
      </c>
      <c r="N214" s="43">
        <f>L214/M214*100-100</f>
        <v>-39.513704216719191</v>
      </c>
      <c r="O214" s="100">
        <v>42</v>
      </c>
      <c r="P214" s="100">
        <v>63</v>
      </c>
      <c r="Q214" s="100">
        <v>43</v>
      </c>
      <c r="R214" s="44">
        <f t="shared" si="77"/>
        <v>2646</v>
      </c>
    </row>
    <row r="215" spans="1:18" x14ac:dyDescent="0.25">
      <c r="A215" s="140">
        <v>5</v>
      </c>
      <c r="B215" s="141" t="s">
        <v>193</v>
      </c>
      <c r="C215" s="100">
        <v>472083</v>
      </c>
      <c r="D215" s="100">
        <v>371154</v>
      </c>
      <c r="E215" s="43">
        <f>C215/D215*100-100</f>
        <v>27.193294427649974</v>
      </c>
      <c r="F215" s="100">
        <v>201442</v>
      </c>
      <c r="G215" s="100">
        <v>185856</v>
      </c>
      <c r="H215" s="43">
        <f>F215/G215*100-100</f>
        <v>8.3860623278236801</v>
      </c>
      <c r="I215" s="100">
        <v>328487</v>
      </c>
      <c r="J215" s="100">
        <v>363488</v>
      </c>
      <c r="K215" s="43">
        <f>I215/J215*100-100</f>
        <v>-9.6292037151157643</v>
      </c>
      <c r="L215" s="100">
        <v>328487</v>
      </c>
      <c r="M215" s="100">
        <v>363488</v>
      </c>
      <c r="N215" s="43">
        <f>L215/M215*100-100</f>
        <v>-9.6292037151157643</v>
      </c>
      <c r="O215" s="100">
        <v>43</v>
      </c>
      <c r="P215" s="100">
        <v>121</v>
      </c>
      <c r="Q215" s="100">
        <v>43</v>
      </c>
      <c r="R215" s="44">
        <f t="shared" si="77"/>
        <v>5203</v>
      </c>
    </row>
    <row r="216" spans="1:18" x14ac:dyDescent="0.25">
      <c r="A216" s="140">
        <v>6</v>
      </c>
      <c r="B216" s="141" t="s">
        <v>194</v>
      </c>
      <c r="C216" s="100">
        <v>0</v>
      </c>
      <c r="D216" s="100">
        <v>0</v>
      </c>
      <c r="E216" s="100">
        <v>0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0">
        <v>0</v>
      </c>
      <c r="M216" s="100">
        <v>0</v>
      </c>
      <c r="N216" s="100">
        <v>0</v>
      </c>
      <c r="O216" s="100">
        <v>3</v>
      </c>
      <c r="P216" s="100">
        <v>143</v>
      </c>
      <c r="Q216" s="100">
        <v>3</v>
      </c>
      <c r="R216" s="44">
        <f t="shared" si="77"/>
        <v>429</v>
      </c>
    </row>
    <row r="217" spans="1:18" x14ac:dyDescent="0.25">
      <c r="A217" s="140">
        <v>7</v>
      </c>
      <c r="B217" s="141" t="s">
        <v>195</v>
      </c>
      <c r="C217" s="100">
        <v>0</v>
      </c>
      <c r="D217" s="75">
        <v>0</v>
      </c>
      <c r="E217" s="43">
        <v>0</v>
      </c>
      <c r="F217" s="100">
        <v>0</v>
      </c>
      <c r="G217" s="75">
        <v>0</v>
      </c>
      <c r="H217" s="43">
        <v>0</v>
      </c>
      <c r="I217" s="100">
        <v>0</v>
      </c>
      <c r="J217" s="75">
        <v>0</v>
      </c>
      <c r="K217" s="43">
        <v>0</v>
      </c>
      <c r="L217" s="100">
        <v>0</v>
      </c>
      <c r="M217" s="75">
        <v>0</v>
      </c>
      <c r="N217" s="43">
        <v>0</v>
      </c>
      <c r="O217" s="100"/>
      <c r="P217" s="100">
        <v>0</v>
      </c>
      <c r="Q217" s="196">
        <v>0</v>
      </c>
      <c r="R217" s="44">
        <f t="shared" si="77"/>
        <v>0</v>
      </c>
    </row>
    <row r="218" spans="1:18" x14ac:dyDescent="0.25">
      <c r="A218" s="893" t="s">
        <v>196</v>
      </c>
      <c r="B218" s="894" t="s">
        <v>155</v>
      </c>
      <c r="C218" s="87">
        <f>SUM(C211:C217)</f>
        <v>1807678</v>
      </c>
      <c r="D218" s="87">
        <f>SUM(D211:D217)</f>
        <v>1371130</v>
      </c>
      <c r="E218" s="57">
        <f t="shared" ref="E218" si="78">C218/D218*100-100</f>
        <v>31.838556519075496</v>
      </c>
      <c r="F218" s="87">
        <f>SUM(F211:F217)</f>
        <v>1159416</v>
      </c>
      <c r="G218" s="87">
        <f>SUM(G211:G217)</f>
        <v>659429</v>
      </c>
      <c r="H218" s="57">
        <f t="shared" ref="H218" si="79">F218/G218*100-100</f>
        <v>75.821202889166216</v>
      </c>
      <c r="I218" s="87">
        <f>SUM(I211:I217)</f>
        <v>1732798</v>
      </c>
      <c r="J218" s="87">
        <f>SUM(J211:J217)</f>
        <v>1620485</v>
      </c>
      <c r="K218" s="57">
        <f t="shared" ref="K218" si="80">I218/J218*100-100</f>
        <v>6.9308262649762327</v>
      </c>
      <c r="L218" s="87">
        <f>SUM(L211:L217)</f>
        <v>1412170</v>
      </c>
      <c r="M218" s="56">
        <f>SUM(M211:M217)</f>
        <v>1231982</v>
      </c>
      <c r="N218" s="57">
        <f t="shared" ref="N218" si="81">L218/M218*100-100</f>
        <v>14.625863040206767</v>
      </c>
      <c r="O218" s="87">
        <f>SUM(O211:O217)</f>
        <v>353</v>
      </c>
      <c r="P218" s="58">
        <f>R218/O218</f>
        <v>161.20113314447593</v>
      </c>
      <c r="Q218" s="87">
        <f>SUM(Q211:Q217)</f>
        <v>346</v>
      </c>
      <c r="R218" s="70">
        <f>SUM(R211:R217)</f>
        <v>56904</v>
      </c>
    </row>
    <row r="219" spans="1:18" ht="9" customHeight="1" x14ac:dyDescent="0.2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R219" s="44"/>
    </row>
    <row r="220" spans="1:18" ht="15" customHeight="1" x14ac:dyDescent="0.25">
      <c r="A220" s="957" t="s">
        <v>197</v>
      </c>
      <c r="B220" s="958"/>
      <c r="C220" s="100"/>
      <c r="D220" s="100"/>
      <c r="E220" s="43"/>
      <c r="F220" s="100"/>
      <c r="G220" s="100"/>
      <c r="H220" s="43"/>
      <c r="I220" s="100"/>
      <c r="J220" s="100"/>
      <c r="K220" s="43"/>
      <c r="L220" s="100"/>
      <c r="M220" s="100"/>
      <c r="N220" s="43"/>
      <c r="O220" s="100"/>
      <c r="P220" s="100"/>
      <c r="Q220" s="100"/>
    </row>
    <row r="221" spans="1:18" x14ac:dyDescent="0.25">
      <c r="A221" s="116">
        <v>1</v>
      </c>
      <c r="B221" s="187" t="s">
        <v>198</v>
      </c>
      <c r="C221" s="100">
        <v>366236</v>
      </c>
      <c r="D221" s="100">
        <v>257431</v>
      </c>
      <c r="E221" s="43">
        <f t="shared" ref="E221:E222" si="82">C221/D221*100-100</f>
        <v>42.265694496777769</v>
      </c>
      <c r="F221" s="100">
        <v>236846</v>
      </c>
      <c r="G221" s="100">
        <v>176647</v>
      </c>
      <c r="H221" s="43">
        <f t="shared" ref="H221:H224" si="83">F221/G221*100-100</f>
        <v>34.07869932690619</v>
      </c>
      <c r="I221" s="100">
        <v>277991</v>
      </c>
      <c r="J221" s="100">
        <v>208154</v>
      </c>
      <c r="K221" s="43">
        <f t="shared" ref="K221" si="84">I221/J221*100-100</f>
        <v>33.550640391248777</v>
      </c>
      <c r="L221" s="100">
        <f>108827+138881</f>
        <v>247708</v>
      </c>
      <c r="M221" s="100">
        <f>22881+70586</f>
        <v>93467</v>
      </c>
      <c r="N221" s="100">
        <f t="shared" ref="N221:N224" si="85">L221/M221*100-100</f>
        <v>165.02187937988811</v>
      </c>
      <c r="O221" s="100">
        <v>152</v>
      </c>
      <c r="P221" s="100">
        <v>121</v>
      </c>
      <c r="Q221" s="100">
        <v>152</v>
      </c>
      <c r="R221" s="44">
        <f>O221*P221</f>
        <v>18392</v>
      </c>
    </row>
    <row r="222" spans="1:18" x14ac:dyDescent="0.25">
      <c r="A222" s="116">
        <v>2</v>
      </c>
      <c r="B222" s="141" t="s">
        <v>199</v>
      </c>
      <c r="C222" s="100">
        <v>1017</v>
      </c>
      <c r="D222" s="100">
        <v>435</v>
      </c>
      <c r="E222" s="43">
        <f t="shared" si="82"/>
        <v>133.79310344827587</v>
      </c>
      <c r="F222" s="100">
        <v>764</v>
      </c>
      <c r="G222" s="100">
        <v>262</v>
      </c>
      <c r="H222" s="43">
        <f t="shared" si="83"/>
        <v>191.60305343511453</v>
      </c>
      <c r="I222" s="100">
        <v>8550</v>
      </c>
      <c r="J222" s="100">
        <v>12081</v>
      </c>
      <c r="K222" s="43">
        <f>I222/J222*100-100</f>
        <v>-29.227712937670731</v>
      </c>
      <c r="L222" s="100">
        <v>0</v>
      </c>
      <c r="M222" s="100">
        <v>0</v>
      </c>
      <c r="N222" s="100">
        <v>0</v>
      </c>
      <c r="O222" s="100">
        <v>72</v>
      </c>
      <c r="P222" s="100">
        <v>127</v>
      </c>
      <c r="Q222" s="100">
        <v>70</v>
      </c>
      <c r="R222" s="44">
        <f>O222*P222</f>
        <v>9144</v>
      </c>
    </row>
    <row r="223" spans="1:18" x14ac:dyDescent="0.25">
      <c r="A223" s="147">
        <v>3</v>
      </c>
      <c r="B223" s="141" t="s">
        <v>200</v>
      </c>
      <c r="C223" s="42">
        <v>0</v>
      </c>
      <c r="D223" s="42">
        <v>0</v>
      </c>
      <c r="E223" s="43">
        <v>0</v>
      </c>
      <c r="F223" s="42">
        <v>0</v>
      </c>
      <c r="G223" s="42">
        <v>0</v>
      </c>
      <c r="H223" s="43">
        <v>0</v>
      </c>
      <c r="I223" s="42">
        <v>0</v>
      </c>
      <c r="J223" s="42">
        <v>0</v>
      </c>
      <c r="K223" s="43">
        <v>0</v>
      </c>
      <c r="L223" s="42">
        <v>0</v>
      </c>
      <c r="M223" s="42">
        <v>0</v>
      </c>
      <c r="N223" s="100">
        <v>0</v>
      </c>
      <c r="O223" s="45">
        <v>0</v>
      </c>
      <c r="P223" s="46">
        <v>0</v>
      </c>
      <c r="Q223" s="100">
        <v>0</v>
      </c>
      <c r="R223" s="44">
        <f>O223*P223</f>
        <v>0</v>
      </c>
    </row>
    <row r="224" spans="1:18" x14ac:dyDescent="0.25">
      <c r="A224" s="147">
        <v>4</v>
      </c>
      <c r="B224" s="141" t="s">
        <v>201</v>
      </c>
      <c r="C224" s="100">
        <v>245769</v>
      </c>
      <c r="D224" s="100">
        <v>119899</v>
      </c>
      <c r="E224" s="54">
        <f t="shared" ref="E224:E226" si="86">C224/D224*100-100</f>
        <v>104.98002485425232</v>
      </c>
      <c r="F224" s="100">
        <v>245769</v>
      </c>
      <c r="G224" s="100">
        <v>119899</v>
      </c>
      <c r="H224" s="43">
        <f t="shared" si="83"/>
        <v>104.98002485425232</v>
      </c>
      <c r="I224" s="100">
        <v>245769</v>
      </c>
      <c r="J224" s="100">
        <v>119899</v>
      </c>
      <c r="K224" s="43">
        <f t="shared" ref="K224:K226" si="87">I224/J224*100-100</f>
        <v>104.98002485425232</v>
      </c>
      <c r="L224" s="100">
        <v>245769</v>
      </c>
      <c r="M224" s="100">
        <v>119899</v>
      </c>
      <c r="N224" s="100">
        <f t="shared" si="85"/>
        <v>104.98002485425232</v>
      </c>
      <c r="O224" s="100">
        <v>31</v>
      </c>
      <c r="P224" s="100">
        <v>70</v>
      </c>
      <c r="Q224" s="45">
        <v>31</v>
      </c>
      <c r="R224" s="44">
        <f>O224*P224</f>
        <v>2170</v>
      </c>
    </row>
    <row r="225" spans="1:19" x14ac:dyDescent="0.25">
      <c r="A225" s="893" t="s">
        <v>202</v>
      </c>
      <c r="B225" s="894" t="s">
        <v>155</v>
      </c>
      <c r="C225" s="87">
        <f>SUM(C221:C224)</f>
        <v>613022</v>
      </c>
      <c r="D225" s="87">
        <f>SUM(D221:D224)</f>
        <v>377765</v>
      </c>
      <c r="E225" s="57">
        <f t="shared" si="86"/>
        <v>62.27601815943774</v>
      </c>
      <c r="F225" s="87">
        <f>SUM(F221:F224)</f>
        <v>483379</v>
      </c>
      <c r="G225" s="87">
        <f>SUM(G221:G224)</f>
        <v>296808</v>
      </c>
      <c r="H225" s="57">
        <v>0</v>
      </c>
      <c r="I225" s="87">
        <f>SUM(I221:I224)</f>
        <v>532310</v>
      </c>
      <c r="J225" s="87">
        <f>SUM(J221:J224)</f>
        <v>340134</v>
      </c>
      <c r="K225" s="57">
        <f t="shared" si="87"/>
        <v>56.500085260514965</v>
      </c>
      <c r="L225" s="87">
        <f>SUM(L221:L224)</f>
        <v>493477</v>
      </c>
      <c r="M225" s="87">
        <f>SUM(M221:M224)</f>
        <v>213366</v>
      </c>
      <c r="N225" s="57">
        <f t="shared" ref="N225:N226" si="88">L225/M225*100-100</f>
        <v>131.28192870466711</v>
      </c>
      <c r="O225" s="87">
        <f>SUM(O221:O224)</f>
        <v>255</v>
      </c>
      <c r="P225" s="58">
        <f>R225/O225</f>
        <v>116.49411764705883</v>
      </c>
      <c r="Q225" s="87">
        <f>SUM(Q221:Q224)</f>
        <v>253</v>
      </c>
      <c r="R225" s="70">
        <f>SUM(R221:R224)</f>
        <v>29706</v>
      </c>
    </row>
    <row r="226" spans="1:19" x14ac:dyDescent="0.25">
      <c r="A226" s="135"/>
      <c r="B226" s="135" t="s">
        <v>203</v>
      </c>
      <c r="C226" s="106">
        <f>C218+C225</f>
        <v>2420700</v>
      </c>
      <c r="D226" s="106">
        <f>D218+D225</f>
        <v>1748895</v>
      </c>
      <c r="E226" s="16">
        <f t="shared" si="86"/>
        <v>38.413112279467896</v>
      </c>
      <c r="F226" s="106">
        <f>F218+F225</f>
        <v>1642795</v>
      </c>
      <c r="G226" s="106">
        <f>G218+G225</f>
        <v>956237</v>
      </c>
      <c r="H226" s="16">
        <f t="shared" ref="H226" si="89">F226/G226*100-100</f>
        <v>71.79789110858502</v>
      </c>
      <c r="I226" s="106">
        <f>I218+I225</f>
        <v>2265108</v>
      </c>
      <c r="J226" s="106">
        <f>J218+J225</f>
        <v>1960619</v>
      </c>
      <c r="K226" s="16">
        <f t="shared" si="87"/>
        <v>15.53024835523884</v>
      </c>
      <c r="L226" s="106">
        <f>L218+L225</f>
        <v>1905647</v>
      </c>
      <c r="M226" s="106">
        <f>M218+M225</f>
        <v>1445348</v>
      </c>
      <c r="N226" s="16">
        <f t="shared" si="88"/>
        <v>31.846932365077464</v>
      </c>
      <c r="O226" s="106">
        <f>O218+O225</f>
        <v>608</v>
      </c>
      <c r="P226" s="107">
        <f>R226/O226</f>
        <v>142.45065789473685</v>
      </c>
      <c r="Q226" s="106">
        <f>Q218+Q225</f>
        <v>599</v>
      </c>
      <c r="R226" s="106">
        <f>R218+R225</f>
        <v>86610</v>
      </c>
      <c r="S226" s="197"/>
    </row>
    <row r="227" spans="1:19" x14ac:dyDescent="0.2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R227" s="31"/>
    </row>
    <row r="228" spans="1:19" ht="15" customHeight="1" x14ac:dyDescent="0.25">
      <c r="A228" s="955" t="s">
        <v>204</v>
      </c>
      <c r="B228" s="956"/>
      <c r="C228" s="37">
        <v>3</v>
      </c>
      <c r="D228" s="37">
        <v>4</v>
      </c>
      <c r="E228" s="38">
        <v>5</v>
      </c>
      <c r="F228" s="37">
        <v>6</v>
      </c>
      <c r="G228" s="37">
        <v>7</v>
      </c>
      <c r="H228" s="37">
        <v>8</v>
      </c>
      <c r="I228" s="37">
        <v>9</v>
      </c>
      <c r="J228" s="37">
        <v>10</v>
      </c>
      <c r="K228" s="37">
        <v>11</v>
      </c>
      <c r="L228" s="37">
        <v>12</v>
      </c>
      <c r="M228" s="37">
        <v>13</v>
      </c>
      <c r="N228" s="37">
        <v>14</v>
      </c>
      <c r="O228" s="37">
        <v>15</v>
      </c>
      <c r="P228" s="38">
        <v>16</v>
      </c>
      <c r="Q228" s="37">
        <v>17</v>
      </c>
    </row>
    <row r="229" spans="1:19" x14ac:dyDescent="0.25">
      <c r="A229" s="152">
        <v>1</v>
      </c>
      <c r="B229" s="154" t="s">
        <v>205</v>
      </c>
      <c r="C229" s="54">
        <v>110431.2</v>
      </c>
      <c r="D229" s="54">
        <v>102244.8</v>
      </c>
      <c r="E229" s="151">
        <f t="shared" ref="E229:E238" si="90">C229/D229*100-100</f>
        <v>8.0066663536923102</v>
      </c>
      <c r="F229" s="54">
        <v>68235.199999999997</v>
      </c>
      <c r="G229" s="54">
        <v>60183.7</v>
      </c>
      <c r="H229" s="151">
        <f t="shared" ref="H229:H238" si="91">F229/G229*100-100</f>
        <v>13.37820705606336</v>
      </c>
      <c r="I229" s="54">
        <v>53345.2</v>
      </c>
      <c r="J229" s="42">
        <v>25286</v>
      </c>
      <c r="K229" s="151">
        <f t="shared" ref="K229:K238" si="92">I229/J229*100-100</f>
        <v>110.96733370244402</v>
      </c>
      <c r="L229" s="42">
        <v>0</v>
      </c>
      <c r="M229" s="42">
        <v>0</v>
      </c>
      <c r="N229" s="100">
        <v>0</v>
      </c>
      <c r="O229" s="45">
        <v>270</v>
      </c>
      <c r="P229" s="75">
        <v>228.7</v>
      </c>
      <c r="Q229" s="155">
        <v>261</v>
      </c>
      <c r="R229" s="157">
        <f t="shared" ref="R229:R237" si="93">O229*P229</f>
        <v>61749</v>
      </c>
    </row>
    <row r="230" spans="1:19" x14ac:dyDescent="0.25">
      <c r="A230" s="152">
        <v>2</v>
      </c>
      <c r="B230" s="154" t="s">
        <v>206</v>
      </c>
      <c r="C230" s="42">
        <v>9004</v>
      </c>
      <c r="D230" s="42">
        <v>10620</v>
      </c>
      <c r="E230" s="151">
        <f t="shared" si="90"/>
        <v>-15.216572504708097</v>
      </c>
      <c r="F230" s="42">
        <v>8519</v>
      </c>
      <c r="G230" s="42">
        <v>9827</v>
      </c>
      <c r="H230" s="151">
        <f t="shared" si="91"/>
        <v>-13.310267629998989</v>
      </c>
      <c r="I230" s="42">
        <v>0</v>
      </c>
      <c r="J230" s="42">
        <v>0</v>
      </c>
      <c r="K230" s="151">
        <v>0</v>
      </c>
      <c r="L230" s="42">
        <v>0</v>
      </c>
      <c r="M230" s="42">
        <v>0</v>
      </c>
      <c r="N230" s="100">
        <v>0</v>
      </c>
      <c r="O230" s="45">
        <v>88</v>
      </c>
      <c r="P230" s="75">
        <v>100.4</v>
      </c>
      <c r="Q230" s="100">
        <v>11</v>
      </c>
      <c r="R230" s="157">
        <f t="shared" si="93"/>
        <v>8835.2000000000007</v>
      </c>
    </row>
    <row r="231" spans="1:19" ht="24" x14ac:dyDescent="0.25">
      <c r="A231" s="158">
        <v>3</v>
      </c>
      <c r="B231" s="159" t="s">
        <v>207</v>
      </c>
      <c r="C231" s="42">
        <v>0</v>
      </c>
      <c r="D231" s="42">
        <v>125</v>
      </c>
      <c r="E231" s="189">
        <f t="shared" si="90"/>
        <v>-100</v>
      </c>
      <c r="F231" s="42">
        <v>0</v>
      </c>
      <c r="G231" s="42">
        <v>0</v>
      </c>
      <c r="H231" s="189">
        <v>0</v>
      </c>
      <c r="I231" s="42">
        <v>0</v>
      </c>
      <c r="J231" s="42">
        <v>125</v>
      </c>
      <c r="K231" s="189">
        <v>0</v>
      </c>
      <c r="L231" s="42">
        <v>0</v>
      </c>
      <c r="M231" s="42">
        <v>0</v>
      </c>
      <c r="N231" s="48">
        <v>0</v>
      </c>
      <c r="O231" s="42">
        <v>5</v>
      </c>
      <c r="P231" s="62">
        <v>55.7</v>
      </c>
      <c r="Q231" s="100">
        <v>88</v>
      </c>
      <c r="R231" s="160">
        <f t="shared" si="93"/>
        <v>278.5</v>
      </c>
    </row>
    <row r="232" spans="1:19" x14ac:dyDescent="0.25">
      <c r="A232" s="152">
        <v>4</v>
      </c>
      <c r="B232" s="161" t="s">
        <v>208</v>
      </c>
      <c r="C232" s="42">
        <v>0</v>
      </c>
      <c r="D232" s="42">
        <v>0</v>
      </c>
      <c r="E232" s="151">
        <v>0</v>
      </c>
      <c r="F232" s="42">
        <v>0</v>
      </c>
      <c r="G232" s="42">
        <v>0</v>
      </c>
      <c r="H232" s="151">
        <v>0</v>
      </c>
      <c r="I232" s="42">
        <v>0</v>
      </c>
      <c r="J232" s="42">
        <v>0</v>
      </c>
      <c r="K232" s="151">
        <v>0</v>
      </c>
      <c r="L232" s="42">
        <v>0</v>
      </c>
      <c r="M232" s="42">
        <v>0</v>
      </c>
      <c r="N232" s="100">
        <v>0</v>
      </c>
      <c r="O232" s="45">
        <v>16</v>
      </c>
      <c r="P232" s="100">
        <v>59</v>
      </c>
      <c r="Q232" s="100">
        <v>6</v>
      </c>
      <c r="R232" s="162">
        <f t="shared" si="93"/>
        <v>944</v>
      </c>
    </row>
    <row r="233" spans="1:19" x14ac:dyDescent="0.25">
      <c r="A233" s="152">
        <v>5</v>
      </c>
      <c r="B233" s="163" t="s">
        <v>209</v>
      </c>
      <c r="C233" s="42">
        <v>1935</v>
      </c>
      <c r="D233" s="42">
        <v>2215</v>
      </c>
      <c r="E233" s="151">
        <f t="shared" si="90"/>
        <v>-12.641083521444699</v>
      </c>
      <c r="F233" s="42">
        <v>990</v>
      </c>
      <c r="G233" s="42">
        <v>770</v>
      </c>
      <c r="H233" s="151">
        <f t="shared" si="91"/>
        <v>28.571428571428584</v>
      </c>
      <c r="I233" s="42">
        <v>0</v>
      </c>
      <c r="J233" s="42">
        <v>0</v>
      </c>
      <c r="K233" s="151">
        <v>0</v>
      </c>
      <c r="L233" s="42">
        <v>0</v>
      </c>
      <c r="M233" s="42">
        <v>0</v>
      </c>
      <c r="N233" s="100">
        <v>0</v>
      </c>
      <c r="O233" s="45">
        <v>11</v>
      </c>
      <c r="P233" s="75">
        <v>79.400000000000006</v>
      </c>
      <c r="Q233" s="100">
        <v>16</v>
      </c>
      <c r="R233" s="162">
        <f t="shared" si="93"/>
        <v>873.40000000000009</v>
      </c>
    </row>
    <row r="234" spans="1:19" x14ac:dyDescent="0.25">
      <c r="A234" s="152">
        <v>6</v>
      </c>
      <c r="B234" s="154" t="s">
        <v>210</v>
      </c>
      <c r="C234" s="42">
        <v>10800</v>
      </c>
      <c r="D234" s="42">
        <v>8800</v>
      </c>
      <c r="E234" s="151">
        <f t="shared" si="90"/>
        <v>22.727272727272734</v>
      </c>
      <c r="F234" s="42">
        <v>4600</v>
      </c>
      <c r="G234" s="42">
        <v>4000</v>
      </c>
      <c r="H234" s="151">
        <f t="shared" si="91"/>
        <v>14.999999999999986</v>
      </c>
      <c r="I234" s="42">
        <v>0</v>
      </c>
      <c r="J234" s="42">
        <v>0</v>
      </c>
      <c r="K234" s="151">
        <v>0</v>
      </c>
      <c r="L234" s="42">
        <v>0</v>
      </c>
      <c r="M234" s="42">
        <v>0</v>
      </c>
      <c r="N234" s="100">
        <v>0</v>
      </c>
      <c r="O234" s="45">
        <v>23</v>
      </c>
      <c r="P234" s="75">
        <v>153.1</v>
      </c>
      <c r="Q234" s="100">
        <v>11</v>
      </c>
      <c r="R234" s="162">
        <f t="shared" si="93"/>
        <v>3521.2999999999997</v>
      </c>
    </row>
    <row r="235" spans="1:19" x14ac:dyDescent="0.25">
      <c r="A235" s="152">
        <v>7</v>
      </c>
      <c r="B235" s="154" t="s">
        <v>211</v>
      </c>
      <c r="C235" s="42">
        <v>8040</v>
      </c>
      <c r="D235" s="42">
        <v>1213</v>
      </c>
      <c r="E235" s="151">
        <f t="shared" si="90"/>
        <v>562.8194558944765</v>
      </c>
      <c r="F235" s="42">
        <v>8040</v>
      </c>
      <c r="G235" s="42">
        <v>0</v>
      </c>
      <c r="H235" s="151">
        <v>0</v>
      </c>
      <c r="I235" s="42">
        <v>8040</v>
      </c>
      <c r="J235" s="42">
        <v>1213</v>
      </c>
      <c r="K235" s="151">
        <f t="shared" si="92"/>
        <v>562.8194558944765</v>
      </c>
      <c r="L235" s="42">
        <v>8040</v>
      </c>
      <c r="M235" s="42">
        <v>1213</v>
      </c>
      <c r="N235" s="100">
        <v>0</v>
      </c>
      <c r="O235" s="45">
        <v>8</v>
      </c>
      <c r="P235" s="75">
        <v>71.2</v>
      </c>
      <c r="Q235" s="100">
        <v>24</v>
      </c>
      <c r="R235" s="162">
        <f t="shared" si="93"/>
        <v>569.6</v>
      </c>
    </row>
    <row r="236" spans="1:19" x14ac:dyDescent="0.25">
      <c r="A236" s="152">
        <v>8</v>
      </c>
      <c r="B236" s="154" t="s">
        <v>212</v>
      </c>
      <c r="C236" s="42">
        <v>0</v>
      </c>
      <c r="D236" s="42">
        <v>0</v>
      </c>
      <c r="E236" s="151">
        <v>0</v>
      </c>
      <c r="F236" s="42">
        <v>0</v>
      </c>
      <c r="G236" s="42">
        <v>0</v>
      </c>
      <c r="H236" s="151">
        <v>0</v>
      </c>
      <c r="I236" s="42">
        <v>355</v>
      </c>
      <c r="J236" s="42">
        <v>931</v>
      </c>
      <c r="K236" s="151">
        <f t="shared" si="92"/>
        <v>-61.868958109559614</v>
      </c>
      <c r="L236" s="42">
        <v>0</v>
      </c>
      <c r="M236" s="42">
        <v>0</v>
      </c>
      <c r="N236" s="100">
        <v>0</v>
      </c>
      <c r="O236" s="45">
        <v>23</v>
      </c>
      <c r="P236" s="75">
        <v>59.9</v>
      </c>
      <c r="Q236" s="100">
        <v>9</v>
      </c>
      <c r="R236" s="157">
        <f t="shared" si="93"/>
        <v>1377.7</v>
      </c>
    </row>
    <row r="237" spans="1:19" x14ac:dyDescent="0.25">
      <c r="A237" s="152">
        <v>9</v>
      </c>
      <c r="B237" s="164" t="s">
        <v>213</v>
      </c>
      <c r="C237" s="42">
        <v>2380</v>
      </c>
      <c r="D237" s="42">
        <v>3236</v>
      </c>
      <c r="E237" s="151">
        <f t="shared" si="90"/>
        <v>-26.452410383189118</v>
      </c>
      <c r="F237" s="42">
        <v>1280</v>
      </c>
      <c r="G237" s="42">
        <v>2016</v>
      </c>
      <c r="H237" s="151">
        <f t="shared" si="91"/>
        <v>-36.507936507936513</v>
      </c>
      <c r="I237" s="42">
        <v>2380</v>
      </c>
      <c r="J237" s="42">
        <v>3236</v>
      </c>
      <c r="K237" s="151">
        <f t="shared" si="92"/>
        <v>-26.452410383189118</v>
      </c>
      <c r="L237" s="42">
        <v>0</v>
      </c>
      <c r="M237" s="42">
        <v>0</v>
      </c>
      <c r="N237" s="100">
        <v>0</v>
      </c>
      <c r="O237" s="45">
        <v>8</v>
      </c>
      <c r="P237" s="100">
        <v>79</v>
      </c>
      <c r="Q237" s="100">
        <v>23</v>
      </c>
      <c r="R237" s="162">
        <f t="shared" si="93"/>
        <v>632</v>
      </c>
    </row>
    <row r="238" spans="1:19" x14ac:dyDescent="0.25">
      <c r="A238" s="56"/>
      <c r="B238" s="56" t="s">
        <v>214</v>
      </c>
      <c r="C238" s="87">
        <f>SUM(C229:C237)</f>
        <v>142590.20000000001</v>
      </c>
      <c r="D238" s="87">
        <f>SUM(D229:D237)</f>
        <v>128453.8</v>
      </c>
      <c r="E238" s="58">
        <f t="shared" si="90"/>
        <v>11.005046172242473</v>
      </c>
      <c r="F238" s="56">
        <f>SUM(F229:F237)</f>
        <v>91664.2</v>
      </c>
      <c r="G238" s="87">
        <f>SUM(G229:G237)</f>
        <v>76796.7</v>
      </c>
      <c r="H238" s="56">
        <f t="shared" si="91"/>
        <v>19.359555814247216</v>
      </c>
      <c r="I238" s="87">
        <f>SUM(I229:I237)</f>
        <v>64120.2</v>
      </c>
      <c r="J238" s="56">
        <f>SUM(J229:J237)</f>
        <v>30791</v>
      </c>
      <c r="K238" s="56">
        <f t="shared" si="92"/>
        <v>108.24331785261924</v>
      </c>
      <c r="L238" s="56">
        <f>SUM(L229:L237)</f>
        <v>8040</v>
      </c>
      <c r="M238" s="56">
        <f>SUM(M229:M237)</f>
        <v>1213</v>
      </c>
      <c r="N238" s="56">
        <f t="shared" ref="N238" si="94">L238/M238*100-100</f>
        <v>562.8194558944765</v>
      </c>
      <c r="O238" s="56">
        <f>SUM(O229:O237)</f>
        <v>452</v>
      </c>
      <c r="P238" s="87">
        <f>R238/O238</f>
        <v>174.29358407079644</v>
      </c>
      <c r="Q238" s="56">
        <f>SUM(Q229:Q237)</f>
        <v>449</v>
      </c>
      <c r="R238" s="188">
        <f>SUM(R229:R237)</f>
        <v>78780.7</v>
      </c>
    </row>
    <row r="239" spans="1:19" ht="11.25" customHeight="1" x14ac:dyDescent="0.2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R239" s="24"/>
    </row>
    <row r="240" spans="1:19" x14ac:dyDescent="0.25">
      <c r="A240" s="909" t="s">
        <v>215</v>
      </c>
      <c r="B240" s="910"/>
      <c r="C240" s="37">
        <v>3</v>
      </c>
      <c r="D240" s="37">
        <v>4</v>
      </c>
      <c r="E240" s="38">
        <v>5</v>
      </c>
      <c r="F240" s="37">
        <v>6</v>
      </c>
      <c r="G240" s="37">
        <v>7</v>
      </c>
      <c r="H240" s="37">
        <v>8</v>
      </c>
      <c r="I240" s="37">
        <v>9</v>
      </c>
      <c r="J240" s="37">
        <v>10</v>
      </c>
      <c r="K240" s="37">
        <v>11</v>
      </c>
      <c r="L240" s="37">
        <v>12</v>
      </c>
      <c r="M240" s="37">
        <v>13</v>
      </c>
      <c r="N240" s="37">
        <v>14</v>
      </c>
      <c r="O240" s="37">
        <v>15</v>
      </c>
      <c r="P240" s="38">
        <v>16</v>
      </c>
      <c r="Q240" s="37">
        <v>15</v>
      </c>
    </row>
    <row r="241" spans="1:18" x14ac:dyDescent="0.25">
      <c r="A241" s="100">
        <v>1</v>
      </c>
      <c r="B241" s="167" t="s">
        <v>216</v>
      </c>
      <c r="C241" s="48">
        <v>2443</v>
      </c>
      <c r="D241" s="48">
        <v>32199</v>
      </c>
      <c r="E241" s="151">
        <f t="shared" ref="E241" si="95">C241/D241*100-100</f>
        <v>-92.412807851175501</v>
      </c>
      <c r="F241" s="48">
        <v>992</v>
      </c>
      <c r="G241" s="48">
        <v>29107</v>
      </c>
      <c r="H241" s="151">
        <f t="shared" ref="H241" si="96">F241/G241*100-100</f>
        <v>-96.591885113546567</v>
      </c>
      <c r="I241" s="48">
        <v>2443</v>
      </c>
      <c r="J241" s="48">
        <v>32199</v>
      </c>
      <c r="K241" s="151">
        <f t="shared" ref="K241" si="97">I241/J241*100-100</f>
        <v>-92.412807851175501</v>
      </c>
      <c r="L241" s="48">
        <v>2443</v>
      </c>
      <c r="M241" s="48">
        <f>19229+12970</f>
        <v>32199</v>
      </c>
      <c r="N241" s="151">
        <f t="shared" ref="N241" si="98">L241/M241*100-100</f>
        <v>-92.412807851175501</v>
      </c>
      <c r="O241" s="34">
        <v>48</v>
      </c>
      <c r="P241" s="100">
        <v>63</v>
      </c>
      <c r="Q241" s="34">
        <v>42</v>
      </c>
      <c r="R241" s="72">
        <f>O241*P241</f>
        <v>3024</v>
      </c>
    </row>
    <row r="242" spans="1:18" x14ac:dyDescent="0.25">
      <c r="A242" s="100">
        <v>2</v>
      </c>
      <c r="B242" s="167" t="s">
        <v>217</v>
      </c>
      <c r="C242" s="48">
        <v>0</v>
      </c>
      <c r="D242" s="48">
        <v>5369</v>
      </c>
      <c r="E242" s="43">
        <f t="shared" ref="E242:E243" si="99">C242/D242*100-100</f>
        <v>-100</v>
      </c>
      <c r="F242" s="48">
        <v>0</v>
      </c>
      <c r="G242" s="48">
        <v>5369</v>
      </c>
      <c r="H242" s="43">
        <v>0</v>
      </c>
      <c r="I242" s="48">
        <v>2754</v>
      </c>
      <c r="J242" s="48">
        <v>0</v>
      </c>
      <c r="K242" s="43">
        <v>0</v>
      </c>
      <c r="L242" s="48">
        <v>2754</v>
      </c>
      <c r="M242" s="48">
        <v>0</v>
      </c>
      <c r="N242" s="43">
        <v>0</v>
      </c>
      <c r="O242" s="34">
        <v>164</v>
      </c>
      <c r="P242" s="100">
        <v>82</v>
      </c>
      <c r="Q242" s="34">
        <v>166</v>
      </c>
      <c r="R242" s="72">
        <f>O242*P242</f>
        <v>13448</v>
      </c>
    </row>
    <row r="243" spans="1:18" x14ac:dyDescent="0.25">
      <c r="A243" s="893" t="s">
        <v>202</v>
      </c>
      <c r="B243" s="894" t="s">
        <v>155</v>
      </c>
      <c r="C243" s="56">
        <f>SUM(C241:C242)</f>
        <v>2443</v>
      </c>
      <c r="D243" s="56">
        <f>SUM(D241:D242)</f>
        <v>37568</v>
      </c>
      <c r="E243" s="57">
        <f t="shared" si="99"/>
        <v>-93.497125212947196</v>
      </c>
      <c r="F243" s="56">
        <f>SUM(F241:F242)</f>
        <v>992</v>
      </c>
      <c r="G243" s="56">
        <f>SUM(G241:G242)</f>
        <v>34476</v>
      </c>
      <c r="H243" s="57">
        <f t="shared" ref="H243" si="100">F243/G243*100-100</f>
        <v>-97.122636036663181</v>
      </c>
      <c r="I243" s="58">
        <f>SUM(I241:I242)</f>
        <v>5197</v>
      </c>
      <c r="J243" s="56">
        <f>SUM(J241:J242)</f>
        <v>32199</v>
      </c>
      <c r="K243" s="57">
        <f t="shared" ref="K243" si="101">I243/J243*100-100</f>
        <v>-83.859747197117926</v>
      </c>
      <c r="L243" s="87">
        <f>SUM(L241:L242)</f>
        <v>5197</v>
      </c>
      <c r="M243" s="56">
        <f>SUM(M241:M242)</f>
        <v>32199</v>
      </c>
      <c r="N243" s="168">
        <f t="shared" ref="N243" si="102">L243/M243*100-100</f>
        <v>-83.859747197117926</v>
      </c>
      <c r="O243" s="87">
        <f>SUM(O241:O242)</f>
        <v>212</v>
      </c>
      <c r="P243" s="87">
        <f>R243/O243</f>
        <v>63.433962264150942</v>
      </c>
      <c r="Q243" s="87">
        <f>SUM(Q241:Q242)</f>
        <v>208</v>
      </c>
      <c r="R243" s="188">
        <f>SUM(R242:R242)</f>
        <v>13448</v>
      </c>
    </row>
    <row r="244" spans="1:18" ht="9.75" customHeight="1" x14ac:dyDescent="0.25"/>
  </sheetData>
  <mergeCells count="60">
    <mergeCell ref="A206:B206"/>
    <mergeCell ref="A162:C162"/>
    <mergeCell ref="A190:B190"/>
    <mergeCell ref="A133:B133"/>
    <mergeCell ref="A182:B182"/>
    <mergeCell ref="A153:B153"/>
    <mergeCell ref="A184:B184"/>
    <mergeCell ref="A188:B188"/>
    <mergeCell ref="A243:B243"/>
    <mergeCell ref="A210:B210"/>
    <mergeCell ref="A218:B218"/>
    <mergeCell ref="A225:B225"/>
    <mergeCell ref="A228:B228"/>
    <mergeCell ref="A240:B240"/>
    <mergeCell ref="A220:B220"/>
    <mergeCell ref="A209:C209"/>
    <mergeCell ref="A139:B139"/>
    <mergeCell ref="A124:B124"/>
    <mergeCell ref="A141:B141"/>
    <mergeCell ref="G4:G8"/>
    <mergeCell ref="A68:B68"/>
    <mergeCell ref="A32:A33"/>
    <mergeCell ref="B32:B33"/>
    <mergeCell ref="C32:G32"/>
    <mergeCell ref="A150:B150"/>
    <mergeCell ref="A151:B151"/>
    <mergeCell ref="A160:B160"/>
    <mergeCell ref="A163:B163"/>
    <mergeCell ref="A78:B78"/>
    <mergeCell ref="A80:B80"/>
    <mergeCell ref="A94:B94"/>
    <mergeCell ref="A66:B66"/>
    <mergeCell ref="A56:B56"/>
    <mergeCell ref="A54:B54"/>
    <mergeCell ref="A35:B35"/>
    <mergeCell ref="H4:H8"/>
    <mergeCell ref="A29:Q31"/>
    <mergeCell ref="Q32:Q33"/>
    <mergeCell ref="O32:O33"/>
    <mergeCell ref="P32:P33"/>
    <mergeCell ref="B3:B8"/>
    <mergeCell ref="A3:A8"/>
    <mergeCell ref="H32:K32"/>
    <mergeCell ref="I4:I8"/>
    <mergeCell ref="J4:J8"/>
    <mergeCell ref="K4:K8"/>
    <mergeCell ref="A1:Q2"/>
    <mergeCell ref="D4:D8"/>
    <mergeCell ref="C4:C8"/>
    <mergeCell ref="Q3:Q8"/>
    <mergeCell ref="P3:P8"/>
    <mergeCell ref="O3:O8"/>
    <mergeCell ref="L3:N3"/>
    <mergeCell ref="I3:K3"/>
    <mergeCell ref="C3:H3"/>
    <mergeCell ref="E4:E8"/>
    <mergeCell ref="F4:F8"/>
    <mergeCell ref="L4:L8"/>
    <mergeCell ref="M4:M8"/>
    <mergeCell ref="N4:N8"/>
  </mergeCells>
  <pageMargins left="0.45" right="0.45" top="0.5" bottom="0.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37" zoomScaleNormal="100" workbookViewId="0">
      <selection activeCell="L46" sqref="L46"/>
    </sheetView>
  </sheetViews>
  <sheetFormatPr defaultColWidth="11.28515625" defaultRowHeight="15" x14ac:dyDescent="0.25"/>
  <cols>
    <col min="1" max="1" width="5" customWidth="1"/>
    <col min="2" max="2" width="25" customWidth="1"/>
  </cols>
  <sheetData>
    <row r="1" spans="1:18" x14ac:dyDescent="0.25">
      <c r="A1" s="941" t="s">
        <v>247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19"/>
      <c r="N1" s="919"/>
      <c r="O1" s="919"/>
      <c r="P1" s="919"/>
      <c r="Q1" s="919"/>
    </row>
    <row r="2" spans="1:18" ht="16.5" customHeight="1" x14ac:dyDescent="0.25">
      <c r="A2" s="920"/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1"/>
    </row>
    <row r="3" spans="1:18" x14ac:dyDescent="0.25">
      <c r="A3" s="932" t="s">
        <v>1</v>
      </c>
      <c r="B3" s="898" t="s">
        <v>2</v>
      </c>
      <c r="C3" s="929" t="s">
        <v>3</v>
      </c>
      <c r="D3" s="930"/>
      <c r="E3" s="930"/>
      <c r="F3" s="930"/>
      <c r="G3" s="930"/>
      <c r="H3" s="931"/>
      <c r="I3" s="938" t="s">
        <v>4</v>
      </c>
      <c r="J3" s="939"/>
      <c r="K3" s="940"/>
      <c r="L3" s="929" t="s">
        <v>5</v>
      </c>
      <c r="M3" s="930"/>
      <c r="N3" s="931"/>
      <c r="O3" s="898" t="s">
        <v>255</v>
      </c>
      <c r="P3" s="935" t="s">
        <v>256</v>
      </c>
      <c r="Q3" s="898" t="s">
        <v>257</v>
      </c>
      <c r="R3" s="2"/>
    </row>
    <row r="4" spans="1:18" x14ac:dyDescent="0.25">
      <c r="A4" s="933"/>
      <c r="B4" s="899"/>
      <c r="C4" s="898" t="s">
        <v>251</v>
      </c>
      <c r="D4" s="898" t="s">
        <v>248</v>
      </c>
      <c r="E4" s="895" t="s">
        <v>11</v>
      </c>
      <c r="F4" s="898" t="s">
        <v>253</v>
      </c>
      <c r="G4" s="898" t="s">
        <v>254</v>
      </c>
      <c r="H4" s="895" t="s">
        <v>11</v>
      </c>
      <c r="I4" s="898" t="s">
        <v>251</v>
      </c>
      <c r="J4" s="898" t="s">
        <v>249</v>
      </c>
      <c r="K4" s="895" t="s">
        <v>11</v>
      </c>
      <c r="L4" s="898" t="s">
        <v>251</v>
      </c>
      <c r="M4" s="898" t="s">
        <v>250</v>
      </c>
      <c r="N4" s="895" t="s">
        <v>11</v>
      </c>
      <c r="O4" s="899"/>
      <c r="P4" s="936"/>
      <c r="Q4" s="899"/>
      <c r="R4" s="2"/>
    </row>
    <row r="5" spans="1:18" x14ac:dyDescent="0.25">
      <c r="A5" s="933"/>
      <c r="B5" s="899"/>
      <c r="C5" s="899"/>
      <c r="D5" s="899"/>
      <c r="E5" s="896"/>
      <c r="F5" s="899"/>
      <c r="G5" s="899"/>
      <c r="H5" s="896"/>
      <c r="I5" s="899"/>
      <c r="J5" s="899"/>
      <c r="K5" s="896"/>
      <c r="L5" s="899"/>
      <c r="M5" s="899"/>
      <c r="N5" s="896"/>
      <c r="O5" s="899"/>
      <c r="P5" s="936"/>
      <c r="Q5" s="899"/>
      <c r="R5" s="2"/>
    </row>
    <row r="6" spans="1:18" x14ac:dyDescent="0.25">
      <c r="A6" s="933"/>
      <c r="B6" s="899"/>
      <c r="C6" s="899"/>
      <c r="D6" s="899"/>
      <c r="E6" s="896"/>
      <c r="F6" s="899"/>
      <c r="G6" s="899"/>
      <c r="H6" s="896"/>
      <c r="I6" s="899"/>
      <c r="J6" s="899"/>
      <c r="K6" s="896"/>
      <c r="L6" s="899"/>
      <c r="M6" s="899"/>
      <c r="N6" s="896"/>
      <c r="O6" s="899"/>
      <c r="P6" s="936"/>
      <c r="Q6" s="899"/>
      <c r="R6" s="2"/>
    </row>
    <row r="7" spans="1:18" x14ac:dyDescent="0.25">
      <c r="A7" s="933"/>
      <c r="B7" s="899"/>
      <c r="C7" s="899"/>
      <c r="D7" s="899"/>
      <c r="E7" s="896"/>
      <c r="F7" s="899"/>
      <c r="G7" s="899"/>
      <c r="H7" s="896"/>
      <c r="I7" s="899"/>
      <c r="J7" s="899"/>
      <c r="K7" s="896"/>
      <c r="L7" s="899"/>
      <c r="M7" s="899"/>
      <c r="N7" s="896"/>
      <c r="O7" s="899"/>
      <c r="P7" s="936"/>
      <c r="Q7" s="899"/>
      <c r="R7" s="2"/>
    </row>
    <row r="8" spans="1:18" ht="19.5" customHeight="1" x14ac:dyDescent="0.25">
      <c r="A8" s="934"/>
      <c r="B8" s="900"/>
      <c r="C8" s="900"/>
      <c r="D8" s="900"/>
      <c r="E8" s="897"/>
      <c r="F8" s="900"/>
      <c r="G8" s="900"/>
      <c r="H8" s="897"/>
      <c r="I8" s="900"/>
      <c r="J8" s="900"/>
      <c r="K8" s="897"/>
      <c r="L8" s="900"/>
      <c r="M8" s="900"/>
      <c r="N8" s="897"/>
      <c r="O8" s="900"/>
      <c r="P8" s="937"/>
      <c r="Q8" s="900"/>
      <c r="R8" s="2"/>
    </row>
    <row r="9" spans="1:18" x14ac:dyDescent="0.25">
      <c r="A9" s="201">
        <v>1</v>
      </c>
      <c r="B9" s="201">
        <v>2</v>
      </c>
      <c r="C9" s="202">
        <v>3</v>
      </c>
      <c r="D9" s="202">
        <v>4</v>
      </c>
      <c r="E9" s="5">
        <v>5</v>
      </c>
      <c r="F9" s="202">
        <v>6</v>
      </c>
      <c r="G9" s="202">
        <v>7</v>
      </c>
      <c r="H9" s="202">
        <v>8</v>
      </c>
      <c r="I9" s="202">
        <v>11</v>
      </c>
      <c r="J9" s="202">
        <v>12</v>
      </c>
      <c r="K9" s="202">
        <v>13</v>
      </c>
      <c r="L9" s="202">
        <v>17</v>
      </c>
      <c r="M9" s="202">
        <v>18</v>
      </c>
      <c r="N9" s="202">
        <v>19</v>
      </c>
      <c r="O9" s="202">
        <v>20</v>
      </c>
      <c r="P9" s="5">
        <v>21</v>
      </c>
      <c r="Q9" s="202">
        <v>22</v>
      </c>
      <c r="R9" s="6"/>
    </row>
    <row r="10" spans="1:18" ht="30.75" customHeight="1" x14ac:dyDescent="0.25">
      <c r="A10" s="7">
        <v>1</v>
      </c>
      <c r="B10" s="8" t="s">
        <v>14</v>
      </c>
      <c r="C10" s="218">
        <f>C139</f>
        <v>40625018</v>
      </c>
      <c r="D10" s="218">
        <f>D139/1000</f>
        <v>43597.182999999997</v>
      </c>
      <c r="E10" s="9">
        <f t="shared" ref="E10:O10" si="0">E139</f>
        <v>-6.8173326703241344</v>
      </c>
      <c r="F10" s="218">
        <f>F139/1000</f>
        <v>14461.111999999999</v>
      </c>
      <c r="G10" s="218">
        <f>G139/1000</f>
        <v>13747.704</v>
      </c>
      <c r="H10" s="11">
        <f t="shared" si="0"/>
        <v>5.1892883349830612</v>
      </c>
      <c r="I10" s="218">
        <f>I139/1000</f>
        <v>40194.048000000003</v>
      </c>
      <c r="J10" s="218">
        <f>J139/1000</f>
        <v>41852.659</v>
      </c>
      <c r="K10" s="11">
        <f t="shared" si="0"/>
        <v>-3.9629764025267775</v>
      </c>
      <c r="L10" s="218">
        <f>L139/1000</f>
        <v>28243.388999999999</v>
      </c>
      <c r="M10" s="218">
        <f>M139/1000</f>
        <v>27291.451000000001</v>
      </c>
      <c r="N10" s="9">
        <f t="shared" si="0"/>
        <v>3.4880446627773694</v>
      </c>
      <c r="O10" s="5">
        <f t="shared" si="0"/>
        <v>4670</v>
      </c>
      <c r="P10" s="9">
        <f>P139</f>
        <v>184.96680942184153</v>
      </c>
      <c r="Q10" s="5">
        <f>Q139</f>
        <v>5997</v>
      </c>
      <c r="R10" s="12">
        <f>R139</f>
        <v>863795</v>
      </c>
    </row>
    <row r="11" spans="1:18" ht="30.75" customHeight="1" x14ac:dyDescent="0.25">
      <c r="A11" s="7"/>
      <c r="B11" s="8" t="s">
        <v>15</v>
      </c>
      <c r="C11" s="218">
        <f>C150/1000</f>
        <v>36812.521000000001</v>
      </c>
      <c r="D11" s="218">
        <f>D150/1000</f>
        <v>42462.014999999999</v>
      </c>
      <c r="E11" s="9">
        <f t="shared" ref="E11:Q11" si="1">E150</f>
        <v>-13.30481843595976</v>
      </c>
      <c r="F11" s="218">
        <f>F150/1000</f>
        <v>12500.995999999999</v>
      </c>
      <c r="G11" s="218">
        <f>G150/1000</f>
        <v>14036</v>
      </c>
      <c r="H11" s="9">
        <f t="shared" si="1"/>
        <v>-10.93619264747791</v>
      </c>
      <c r="I11" s="218">
        <f>I150/1000</f>
        <v>37616.027999999998</v>
      </c>
      <c r="J11" s="218">
        <f>J150/1000</f>
        <v>42037.991999999998</v>
      </c>
      <c r="K11" s="9">
        <f t="shared" si="1"/>
        <v>-10.518970554064524</v>
      </c>
      <c r="L11" s="218">
        <f>L150/1000</f>
        <v>35330.370000000003</v>
      </c>
      <c r="M11" s="218">
        <f>M150/1000</f>
        <v>40212.214</v>
      </c>
      <c r="N11" s="9">
        <f t="shared" si="1"/>
        <v>-12.14020197942844</v>
      </c>
      <c r="O11" s="5">
        <f t="shared" si="1"/>
        <v>3693</v>
      </c>
      <c r="P11" s="5">
        <f>P150</f>
        <v>127.5445437313837</v>
      </c>
      <c r="Q11" s="5">
        <f t="shared" si="1"/>
        <v>3774</v>
      </c>
      <c r="R11" s="12">
        <f t="shared" ref="R11:R22" si="2">O11*P11</f>
        <v>471022</v>
      </c>
    </row>
    <row r="12" spans="1:18" ht="30.75" customHeight="1" x14ac:dyDescent="0.25">
      <c r="A12" s="7">
        <v>2</v>
      </c>
      <c r="B12" s="8" t="s">
        <v>16</v>
      </c>
      <c r="C12" s="218">
        <f>C160/1000</f>
        <v>2942.549</v>
      </c>
      <c r="D12" s="218">
        <f>D160/1000</f>
        <v>3124.4859999999999</v>
      </c>
      <c r="E12" s="9">
        <f t="shared" ref="E12:O12" si="3">E160</f>
        <v>-5.8229417574602707</v>
      </c>
      <c r="F12" s="218">
        <f>F160/1000</f>
        <v>1080.2950000000001</v>
      </c>
      <c r="G12" s="218">
        <f>G160/1000</f>
        <v>1072.992</v>
      </c>
      <c r="H12" s="11">
        <f t="shared" si="3"/>
        <v>0.68062017237780026</v>
      </c>
      <c r="I12" s="218">
        <f>I160/1000</f>
        <v>3044.5650000000001</v>
      </c>
      <c r="J12" s="218">
        <f>J160/1000</f>
        <v>2505.4749999999999</v>
      </c>
      <c r="K12" s="11">
        <f t="shared" si="3"/>
        <v>21.516478911184507</v>
      </c>
      <c r="L12" s="218">
        <f>L160/1000</f>
        <v>1543.885</v>
      </c>
      <c r="M12" s="218">
        <f>M160/1000</f>
        <v>1338.521</v>
      </c>
      <c r="N12" s="9">
        <f t="shared" si="3"/>
        <v>15.34260575665229</v>
      </c>
      <c r="O12" s="5">
        <f t="shared" si="3"/>
        <v>1148</v>
      </c>
      <c r="P12" s="9">
        <f>P160</f>
        <v>99.229094076655059</v>
      </c>
      <c r="Q12" s="5">
        <f>SUM(Q154:Q159)</f>
        <v>1427</v>
      </c>
      <c r="R12" s="12">
        <f t="shared" si="2"/>
        <v>113915.00000000001</v>
      </c>
    </row>
    <row r="13" spans="1:18" ht="30.75" customHeight="1" x14ac:dyDescent="0.25">
      <c r="A13" s="7">
        <v>3</v>
      </c>
      <c r="B13" s="8" t="s">
        <v>17</v>
      </c>
      <c r="C13" s="218">
        <f>C226/1000</f>
        <v>4282.8289999999997</v>
      </c>
      <c r="D13" s="218">
        <f>D226/1000</f>
        <v>3703.944</v>
      </c>
      <c r="E13" s="9">
        <f t="shared" ref="E13:P13" si="4">E226</f>
        <v>15.628880998200827</v>
      </c>
      <c r="F13" s="218">
        <f>F226/1000</f>
        <v>1862.1289999999999</v>
      </c>
      <c r="G13" s="218">
        <f>G226/1000</f>
        <v>1955.049</v>
      </c>
      <c r="H13" s="5">
        <f t="shared" si="4"/>
        <v>-4.7528220520304103</v>
      </c>
      <c r="I13" s="218">
        <f>I226/1000</f>
        <v>4113.3829999999998</v>
      </c>
      <c r="J13" s="218">
        <f>J226/1000</f>
        <v>3560.3409999999999</v>
      </c>
      <c r="K13" s="9">
        <f t="shared" si="4"/>
        <v>15.533399750192473</v>
      </c>
      <c r="L13" s="218">
        <f>L226/1000</f>
        <v>2967.7109999999998</v>
      </c>
      <c r="M13" s="218">
        <f>M226/1000</f>
        <v>2636.0079999999998</v>
      </c>
      <c r="N13" s="9">
        <f t="shared" si="4"/>
        <v>12.583535406569339</v>
      </c>
      <c r="O13" s="5">
        <f t="shared" si="4"/>
        <v>586</v>
      </c>
      <c r="P13" s="5">
        <f t="shared" si="4"/>
        <v>129.58361774744029</v>
      </c>
      <c r="Q13" s="5">
        <f>Q226</f>
        <v>608</v>
      </c>
      <c r="R13" s="12">
        <f>R226</f>
        <v>75936</v>
      </c>
    </row>
    <row r="14" spans="1:18" ht="30.75" customHeight="1" x14ac:dyDescent="0.25">
      <c r="A14" s="7">
        <v>4</v>
      </c>
      <c r="B14" s="8" t="s">
        <v>18</v>
      </c>
      <c r="C14" s="218">
        <f>C54/1000</f>
        <v>452.79399999999998</v>
      </c>
      <c r="D14" s="218">
        <f>D54/1000</f>
        <v>717.16800000000001</v>
      </c>
      <c r="E14" s="11">
        <f t="shared" ref="E14:Q14" si="5">E54</f>
        <v>-36.863607969122988</v>
      </c>
      <c r="F14" s="218">
        <f>F54/1000</f>
        <v>216.72300000000001</v>
      </c>
      <c r="G14" s="218">
        <f>G54/1000</f>
        <v>342.60929999999996</v>
      </c>
      <c r="H14" s="11">
        <f t="shared" si="5"/>
        <v>-36.743398384106904</v>
      </c>
      <c r="I14" s="218">
        <f>I54/1000</f>
        <v>465.05399999999997</v>
      </c>
      <c r="J14" s="218">
        <f>J54/1000</f>
        <v>699.16899999999998</v>
      </c>
      <c r="K14" s="11">
        <f t="shared" si="5"/>
        <v>-33.484751183190326</v>
      </c>
      <c r="L14" s="218">
        <f>L54/1000</f>
        <v>205.09700000000001</v>
      </c>
      <c r="M14" s="218">
        <f>M54/1000</f>
        <v>445.66209999999995</v>
      </c>
      <c r="N14" s="11">
        <f t="shared" si="5"/>
        <v>-53.979259174159075</v>
      </c>
      <c r="O14" s="10">
        <f t="shared" si="5"/>
        <v>805</v>
      </c>
      <c r="P14" s="11">
        <f t="shared" si="5"/>
        <v>109.47329192546584</v>
      </c>
      <c r="Q14" s="5">
        <f t="shared" si="5"/>
        <v>711</v>
      </c>
      <c r="R14" s="12">
        <f t="shared" si="2"/>
        <v>88126</v>
      </c>
    </row>
    <row r="15" spans="1:18" ht="30.75" customHeight="1" x14ac:dyDescent="0.25">
      <c r="A15" s="7">
        <v>5</v>
      </c>
      <c r="B15" s="8" t="s">
        <v>19</v>
      </c>
      <c r="C15" s="218">
        <f>C66/1000</f>
        <v>256.49700000000001</v>
      </c>
      <c r="D15" s="218">
        <f>D66/1000</f>
        <v>230.578</v>
      </c>
      <c r="E15" s="11">
        <f t="shared" ref="E15:Q15" si="6">E66</f>
        <v>11.240881610561289</v>
      </c>
      <c r="F15" s="218">
        <f>F66/1000</f>
        <v>127.277</v>
      </c>
      <c r="G15" s="218">
        <f>G66/1000</f>
        <v>106.294</v>
      </c>
      <c r="H15" s="11">
        <f t="shared" si="6"/>
        <v>19.740530980111771</v>
      </c>
      <c r="I15" s="218">
        <f>I66/1000</f>
        <v>272.70999999999998</v>
      </c>
      <c r="J15" s="218">
        <f>J66/1000</f>
        <v>233.61099999999999</v>
      </c>
      <c r="K15" s="11">
        <f t="shared" si="6"/>
        <v>16.736797496693214</v>
      </c>
      <c r="L15" s="218">
        <f>L66/1000</f>
        <v>154.68</v>
      </c>
      <c r="M15" s="218">
        <f>M66/1000</f>
        <v>109.753</v>
      </c>
      <c r="N15" s="11">
        <f t="shared" si="6"/>
        <v>40.934644155512814</v>
      </c>
      <c r="O15" s="10">
        <f t="shared" si="6"/>
        <v>490</v>
      </c>
      <c r="P15" s="11">
        <f t="shared" si="6"/>
        <v>93.2265306122449</v>
      </c>
      <c r="Q15" s="5">
        <f t="shared" si="6"/>
        <v>550</v>
      </c>
      <c r="R15" s="12">
        <f t="shared" si="2"/>
        <v>45681</v>
      </c>
    </row>
    <row r="16" spans="1:18" ht="30.75" customHeight="1" x14ac:dyDescent="0.25">
      <c r="A16" s="7">
        <v>6</v>
      </c>
      <c r="B16" s="8" t="s">
        <v>20</v>
      </c>
      <c r="C16" s="218">
        <f>C77/1000</f>
        <v>204.66399999999999</v>
      </c>
      <c r="D16" s="218">
        <f>D77/1000</f>
        <v>349.96199999999999</v>
      </c>
      <c r="E16" s="11">
        <f t="shared" ref="E16:Q16" si="7">E77</f>
        <v>-41.518221978386229</v>
      </c>
      <c r="F16" s="218">
        <f>F77/1000</f>
        <v>71.557000000000002</v>
      </c>
      <c r="G16" s="218">
        <f>G77/1000</f>
        <v>139.834</v>
      </c>
      <c r="H16" s="11">
        <f t="shared" si="7"/>
        <v>-48.82718080009154</v>
      </c>
      <c r="I16" s="218">
        <f>I77/1000</f>
        <v>210.45500000000001</v>
      </c>
      <c r="J16" s="218">
        <f>J77/1000</f>
        <v>366.58199999999999</v>
      </c>
      <c r="K16" s="11">
        <f t="shared" si="7"/>
        <v>-42.589925310026132</v>
      </c>
      <c r="L16" s="218">
        <f>L77/1000</f>
        <v>86.921000000000006</v>
      </c>
      <c r="M16" s="218">
        <f>M77/1000</f>
        <v>186.083</v>
      </c>
      <c r="N16" s="11">
        <f t="shared" si="7"/>
        <v>-53.2891236706201</v>
      </c>
      <c r="O16" s="10">
        <f t="shared" si="7"/>
        <v>429</v>
      </c>
      <c r="P16" s="11">
        <f t="shared" si="7"/>
        <v>108.81585081585082</v>
      </c>
      <c r="Q16" s="5">
        <f t="shared" si="7"/>
        <v>461</v>
      </c>
      <c r="R16" s="12">
        <f t="shared" si="2"/>
        <v>46682</v>
      </c>
    </row>
    <row r="17" spans="1:18" ht="30.75" customHeight="1" x14ac:dyDescent="0.25">
      <c r="A17" s="7">
        <v>7</v>
      </c>
      <c r="B17" s="8" t="s">
        <v>21</v>
      </c>
      <c r="C17" s="218">
        <f>C92/1000</f>
        <v>1263.1179999999999</v>
      </c>
      <c r="D17" s="218">
        <f>D92/1000</f>
        <v>1171.5050000000001</v>
      </c>
      <c r="E17" s="11">
        <f t="shared" ref="E17:Q17" si="8">E92</f>
        <v>7.8201117366123043</v>
      </c>
      <c r="F17" s="218">
        <f>F92/1000</f>
        <v>539.77499999999998</v>
      </c>
      <c r="G17" s="218">
        <f>G92/1000</f>
        <v>396.83</v>
      </c>
      <c r="H17" s="11">
        <f t="shared" si="8"/>
        <v>36.021722148023088</v>
      </c>
      <c r="I17" s="218">
        <f>I92/1000</f>
        <v>1726.2139999999999</v>
      </c>
      <c r="J17" s="218">
        <f>J92/1000</f>
        <v>2041.4649999999999</v>
      </c>
      <c r="K17" s="11">
        <f t="shared" si="8"/>
        <v>-15.442390636136309</v>
      </c>
      <c r="L17" s="218">
        <f>L92/1000</f>
        <v>579.13</v>
      </c>
      <c r="M17" s="218">
        <f>M92/1000</f>
        <v>733.00900000000001</v>
      </c>
      <c r="N17" s="11">
        <f t="shared" si="8"/>
        <v>-20.99278453606982</v>
      </c>
      <c r="O17" s="10">
        <f t="shared" si="8"/>
        <v>3689</v>
      </c>
      <c r="P17" s="11">
        <f t="shared" si="8"/>
        <v>114.45866088370832</v>
      </c>
      <c r="Q17" s="5">
        <f t="shared" si="8"/>
        <v>1233</v>
      </c>
      <c r="R17" s="12">
        <f t="shared" si="2"/>
        <v>422238</v>
      </c>
    </row>
    <row r="18" spans="1:18" ht="30.75" customHeight="1" x14ac:dyDescent="0.25">
      <c r="A18" s="7">
        <v>8</v>
      </c>
      <c r="B18" s="8" t="s">
        <v>22</v>
      </c>
      <c r="C18" s="218">
        <f>C207/1000</f>
        <v>39496.881000000001</v>
      </c>
      <c r="D18" s="218">
        <f>D207/1000</f>
        <v>42476.955999999998</v>
      </c>
      <c r="E18" s="9">
        <f t="shared" ref="E18:P18" si="9">E207</f>
        <v>-7.0157451960540698</v>
      </c>
      <c r="F18" s="218">
        <f>F207/1000</f>
        <v>14987.821</v>
      </c>
      <c r="G18" s="218">
        <f>G207/1000</f>
        <v>15930.855</v>
      </c>
      <c r="H18" s="9">
        <f t="shared" si="9"/>
        <v>-5.9195441801460049</v>
      </c>
      <c r="I18" s="218">
        <f>I207/1000</f>
        <v>33014.271999999997</v>
      </c>
      <c r="J18" s="218">
        <f>J207/1000</f>
        <v>31287.173999999999</v>
      </c>
      <c r="K18" s="9">
        <f t="shared" si="9"/>
        <v>5.5201470097618852</v>
      </c>
      <c r="L18" s="218">
        <f>L207/1000</f>
        <v>15842.951999999999</v>
      </c>
      <c r="M18" s="218">
        <f>M207/1000</f>
        <v>14857.145</v>
      </c>
      <c r="N18" s="9">
        <f t="shared" si="9"/>
        <v>6.635238466071371</v>
      </c>
      <c r="O18" s="5">
        <f t="shared" si="9"/>
        <v>15378</v>
      </c>
      <c r="P18" s="9">
        <f t="shared" si="9"/>
        <v>28.330081935232151</v>
      </c>
      <c r="Q18" s="5">
        <f>Q182+Q188+Q206</f>
        <v>9028</v>
      </c>
      <c r="R18" s="12">
        <f t="shared" si="2"/>
        <v>435660</v>
      </c>
    </row>
    <row r="19" spans="1:18" ht="30.75" customHeight="1" x14ac:dyDescent="0.25">
      <c r="A19" s="7">
        <v>9</v>
      </c>
      <c r="B19" s="8" t="s">
        <v>23</v>
      </c>
      <c r="C19" s="218">
        <f>C122/1000</f>
        <v>1015.4930000000001</v>
      </c>
      <c r="D19" s="218">
        <f>D122/1000</f>
        <v>718.94600000000003</v>
      </c>
      <c r="E19" s="11">
        <f t="shared" ref="E19:Q19" si="10">E122</f>
        <v>41.247465039098898</v>
      </c>
      <c r="F19" s="218">
        <f>F122/1000</f>
        <v>367.87299999999999</v>
      </c>
      <c r="G19" s="218">
        <f>G122/1000</f>
        <v>317.02600000000001</v>
      </c>
      <c r="H19" s="11">
        <f t="shared" si="10"/>
        <v>16.038747610606066</v>
      </c>
      <c r="I19" s="218">
        <f>I122/1000</f>
        <v>926.47299999999996</v>
      </c>
      <c r="J19" s="218">
        <f>J122/1000</f>
        <v>647.05999999999995</v>
      </c>
      <c r="K19" s="11">
        <f t="shared" si="10"/>
        <v>43.181930578308027</v>
      </c>
      <c r="L19" s="218">
        <f>L122/1000</f>
        <v>745.81100000000004</v>
      </c>
      <c r="M19" s="218">
        <f>M122/1000</f>
        <v>249.727</v>
      </c>
      <c r="N19" s="11">
        <f t="shared" si="10"/>
        <v>198.6505263748013</v>
      </c>
      <c r="O19" s="10">
        <f t="shared" si="10"/>
        <v>2288</v>
      </c>
      <c r="P19" s="11">
        <f>P122</f>
        <v>73.959790209790214</v>
      </c>
      <c r="Q19" s="5">
        <f t="shared" si="10"/>
        <v>2302</v>
      </c>
      <c r="R19" s="12">
        <f t="shared" si="2"/>
        <v>169220</v>
      </c>
    </row>
    <row r="20" spans="1:18" ht="30.75" customHeight="1" x14ac:dyDescent="0.25">
      <c r="A20" s="7">
        <v>10</v>
      </c>
      <c r="B20" s="8" t="s">
        <v>24</v>
      </c>
      <c r="C20" s="218">
        <f>C131/1000</f>
        <v>47.514000000000003</v>
      </c>
      <c r="D20" s="218">
        <f>D131/1000</f>
        <v>37.195</v>
      </c>
      <c r="E20" s="11">
        <f t="shared" ref="E20:Q20" si="11">E131</f>
        <v>27.742976206479369</v>
      </c>
      <c r="F20" s="218">
        <f>F131/1000</f>
        <v>18.45</v>
      </c>
      <c r="G20" s="218">
        <f>G131/1000</f>
        <v>22.760999999999999</v>
      </c>
      <c r="H20" s="11">
        <f>H131</f>
        <v>-18.940292605773038</v>
      </c>
      <c r="I20" s="218">
        <f>I131/1000</f>
        <v>37.838999999999999</v>
      </c>
      <c r="J20" s="218">
        <f>J131/1000</f>
        <v>25.617999999999999</v>
      </c>
      <c r="K20" s="11">
        <f t="shared" si="11"/>
        <v>47.704738855492224</v>
      </c>
      <c r="L20" s="218">
        <f>L131/1000</f>
        <v>10.266</v>
      </c>
      <c r="M20" s="218">
        <f>M131/1000</f>
        <v>0</v>
      </c>
      <c r="N20" s="11">
        <f t="shared" si="11"/>
        <v>0</v>
      </c>
      <c r="O20" s="10">
        <f t="shared" si="11"/>
        <v>100</v>
      </c>
      <c r="P20" s="11">
        <f>P131</f>
        <v>83</v>
      </c>
      <c r="Q20" s="5">
        <f t="shared" si="11"/>
        <v>104</v>
      </c>
      <c r="R20" s="12">
        <f t="shared" si="2"/>
        <v>8300</v>
      </c>
    </row>
    <row r="21" spans="1:18" ht="30.75" customHeight="1" x14ac:dyDescent="0.25">
      <c r="A21" s="7">
        <v>11</v>
      </c>
      <c r="B21" s="8" t="s">
        <v>25</v>
      </c>
      <c r="C21" s="218">
        <f>C238/1000</f>
        <v>264.44290000000001</v>
      </c>
      <c r="D21" s="218">
        <f>D238/1000</f>
        <v>203.9331</v>
      </c>
      <c r="E21" s="11">
        <f t="shared" ref="E21:P21" si="12">E238</f>
        <v>29.671397139552141</v>
      </c>
      <c r="F21" s="218">
        <f>F238/1000</f>
        <v>121.8527</v>
      </c>
      <c r="G21" s="218">
        <f>G238/1000</f>
        <v>76.692300000000003</v>
      </c>
      <c r="H21" s="11">
        <f t="shared" si="12"/>
        <v>58.88518143281658</v>
      </c>
      <c r="I21" s="218">
        <f>I238/1000</f>
        <v>160.4811</v>
      </c>
      <c r="J21" s="218">
        <f>J238/1000</f>
        <v>71.259</v>
      </c>
      <c r="K21" s="11">
        <f t="shared" si="12"/>
        <v>125.20818422936051</v>
      </c>
      <c r="L21" s="218">
        <f>L238/1000</f>
        <v>9.1609999999999996</v>
      </c>
      <c r="M21" s="218">
        <f>M238/1000</f>
        <v>1.2130000000000001</v>
      </c>
      <c r="N21" s="11">
        <f t="shared" si="12"/>
        <v>655.234954657873</v>
      </c>
      <c r="O21" s="10">
        <f t="shared" si="12"/>
        <v>451</v>
      </c>
      <c r="P21" s="11">
        <f t="shared" si="12"/>
        <v>194.1088691796009</v>
      </c>
      <c r="Q21" s="5">
        <f>Q238</f>
        <v>452</v>
      </c>
      <c r="R21" s="12">
        <f t="shared" si="2"/>
        <v>87543.1</v>
      </c>
    </row>
    <row r="22" spans="1:18" ht="30.75" customHeight="1" x14ac:dyDescent="0.25">
      <c r="A22" s="7">
        <v>12</v>
      </c>
      <c r="B22" s="8" t="s">
        <v>26</v>
      </c>
      <c r="C22" s="218">
        <f>C243/1000</f>
        <v>16.271000000000001</v>
      </c>
      <c r="D22" s="218">
        <f>D243/1000</f>
        <v>55.351999999999997</v>
      </c>
      <c r="E22" s="11">
        <f t="shared" ref="E22:Q22" si="13">E243</f>
        <v>-70.604494869200749</v>
      </c>
      <c r="F22" s="218">
        <f>F243/1000</f>
        <v>13.827999999999999</v>
      </c>
      <c r="G22" s="218">
        <f>G243/1000</f>
        <v>17.785</v>
      </c>
      <c r="H22" s="11">
        <f t="shared" si="13"/>
        <v>-22.249086308687097</v>
      </c>
      <c r="I22" s="218">
        <f>I243/1000</f>
        <v>19.024999999999999</v>
      </c>
      <c r="J22" s="218">
        <f>J243/1000</f>
        <v>55.383000000000003</v>
      </c>
      <c r="K22" s="11">
        <f t="shared" si="13"/>
        <v>-65.648303631078136</v>
      </c>
      <c r="L22" s="218">
        <f>L243/1000</f>
        <v>19.024999999999999</v>
      </c>
      <c r="M22" s="218">
        <f>M243/1000</f>
        <v>45.860999999999997</v>
      </c>
      <c r="N22" s="11">
        <f t="shared" si="13"/>
        <v>-58.515950371775581</v>
      </c>
      <c r="O22" s="10">
        <f t="shared" si="13"/>
        <v>212</v>
      </c>
      <c r="P22" s="11">
        <f t="shared" si="13"/>
        <v>63.433962264150942</v>
      </c>
      <c r="Q22" s="5">
        <f t="shared" si="13"/>
        <v>212</v>
      </c>
      <c r="R22" s="12">
        <f t="shared" si="2"/>
        <v>13448</v>
      </c>
    </row>
    <row r="23" spans="1:18" x14ac:dyDescent="0.25">
      <c r="A23" s="213"/>
      <c r="B23" s="214" t="s">
        <v>27</v>
      </c>
      <c r="C23" s="219">
        <f>SUM(C10:C22)</f>
        <v>40712073.573899999</v>
      </c>
      <c r="D23" s="219">
        <f>SUM(D10:D22)</f>
        <v>138849.22310000003</v>
      </c>
      <c r="E23" s="212">
        <f>C23/D23*100-100</f>
        <v>29221.066884601096</v>
      </c>
      <c r="F23" s="219">
        <f>SUM(F10:F22)</f>
        <v>46369.688699999999</v>
      </c>
      <c r="G23" s="219">
        <f>SUM(G10:G22)</f>
        <v>48162.431600000004</v>
      </c>
      <c r="H23" s="212">
        <f>F23/G23*100-100</f>
        <v>-3.7222848607170533</v>
      </c>
      <c r="I23" s="219">
        <f>SUM(I10:I22)</f>
        <v>121800.54710000003</v>
      </c>
      <c r="J23" s="219">
        <f>SUM(J10:J22)</f>
        <v>125383.788</v>
      </c>
      <c r="K23" s="212">
        <f>I23/J23*100-100</f>
        <v>-2.8578183488921098</v>
      </c>
      <c r="L23" s="219">
        <f>SUM(L10:L22)</f>
        <v>85738.398000000001</v>
      </c>
      <c r="M23" s="219">
        <f>SUM(M10:M22)</f>
        <v>88106.647100000017</v>
      </c>
      <c r="N23" s="212">
        <f>L23/M23*100-100</f>
        <v>-2.6879346541380471</v>
      </c>
      <c r="O23" s="215">
        <f>SUM(O10:O22)</f>
        <v>33939</v>
      </c>
      <c r="P23" s="216">
        <f>R23/O23</f>
        <v>83.72568726244144</v>
      </c>
      <c r="Q23" s="215">
        <f>SUM(Q10:Q22)</f>
        <v>26859</v>
      </c>
      <c r="R23" s="217">
        <f>SUM(R10:R22)</f>
        <v>2841566.1</v>
      </c>
    </row>
    <row r="24" spans="1:18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9"/>
      <c r="Q24" s="19"/>
      <c r="R24" s="20"/>
    </row>
    <row r="25" spans="1:18" x14ac:dyDescent="0.25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2"/>
      <c r="R25" s="23"/>
    </row>
    <row r="26" spans="1:18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01.2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5">
      <c r="A29" s="943" t="s">
        <v>246</v>
      </c>
      <c r="B29" s="943"/>
      <c r="C29" s="943"/>
      <c r="D29" s="943"/>
      <c r="E29" s="943"/>
      <c r="F29" s="943"/>
      <c r="G29" s="943"/>
      <c r="H29" s="943"/>
      <c r="I29" s="943"/>
      <c r="J29" s="943"/>
      <c r="K29" s="943"/>
      <c r="L29" s="943"/>
      <c r="M29" s="943"/>
      <c r="N29" s="943"/>
      <c r="O29" s="943"/>
      <c r="P29" s="943"/>
      <c r="Q29" s="943"/>
      <c r="R29" s="24"/>
    </row>
    <row r="30" spans="1:18" x14ac:dyDescent="0.25">
      <c r="A30" s="943"/>
      <c r="B30" s="943"/>
      <c r="C30" s="943"/>
      <c r="D30" s="943"/>
      <c r="E30" s="943"/>
      <c r="F30" s="943"/>
      <c r="G30" s="943"/>
      <c r="H30" s="943"/>
      <c r="I30" s="943"/>
      <c r="J30" s="943"/>
      <c r="K30" s="943"/>
      <c r="L30" s="943"/>
      <c r="M30" s="943"/>
      <c r="N30" s="943"/>
      <c r="O30" s="943"/>
      <c r="P30" s="943"/>
      <c r="Q30" s="943"/>
      <c r="R30" s="24"/>
    </row>
    <row r="31" spans="1:18" ht="15.75" x14ac:dyDescent="0.25">
      <c r="A31" s="944"/>
      <c r="B31" s="944"/>
      <c r="C31" s="944"/>
      <c r="D31" s="944"/>
      <c r="E31" s="944"/>
      <c r="F31" s="944"/>
      <c r="G31" s="944"/>
      <c r="H31" s="944"/>
      <c r="I31" s="944"/>
      <c r="J31" s="944"/>
      <c r="K31" s="944"/>
      <c r="L31" s="944"/>
      <c r="M31" s="944"/>
      <c r="N31" s="944"/>
      <c r="O31" s="944"/>
      <c r="P31" s="944"/>
      <c r="Q31" s="944"/>
      <c r="R31" s="25"/>
    </row>
    <row r="32" spans="1:18" x14ac:dyDescent="0.25">
      <c r="A32" s="954" t="s">
        <v>1</v>
      </c>
      <c r="B32" s="921" t="s">
        <v>29</v>
      </c>
      <c r="C32" s="946" t="s">
        <v>3</v>
      </c>
      <c r="D32" s="947"/>
      <c r="E32" s="947"/>
      <c r="F32" s="947"/>
      <c r="G32" s="948"/>
      <c r="H32" s="946" t="s">
        <v>4</v>
      </c>
      <c r="I32" s="947"/>
      <c r="J32" s="947"/>
      <c r="K32" s="948"/>
      <c r="L32" s="200"/>
      <c r="M32" s="200" t="s">
        <v>5</v>
      </c>
      <c r="N32" s="27"/>
      <c r="O32" s="921" t="s">
        <v>260</v>
      </c>
      <c r="P32" s="945" t="s">
        <v>261</v>
      </c>
      <c r="Q32" s="921" t="s">
        <v>262</v>
      </c>
      <c r="R32" s="28"/>
    </row>
    <row r="33" spans="1:18" ht="74.25" customHeight="1" x14ac:dyDescent="0.25">
      <c r="A33" s="926"/>
      <c r="B33" s="922"/>
      <c r="C33" s="199" t="s">
        <v>251</v>
      </c>
      <c r="D33" s="199" t="s">
        <v>252</v>
      </c>
      <c r="E33" s="30" t="s">
        <v>11</v>
      </c>
      <c r="F33" s="199" t="s">
        <v>253</v>
      </c>
      <c r="G33" s="199" t="s">
        <v>254</v>
      </c>
      <c r="H33" s="30" t="s">
        <v>11</v>
      </c>
      <c r="I33" s="199" t="s">
        <v>251</v>
      </c>
      <c r="J33" s="199" t="s">
        <v>249</v>
      </c>
      <c r="K33" s="30" t="s">
        <v>11</v>
      </c>
      <c r="L33" s="220" t="s">
        <v>251</v>
      </c>
      <c r="M33" s="199" t="s">
        <v>250</v>
      </c>
      <c r="N33" s="30" t="s">
        <v>11</v>
      </c>
      <c r="O33" s="922"/>
      <c r="P33" s="923"/>
      <c r="Q33" s="922"/>
      <c r="R33" s="31"/>
    </row>
    <row r="34" spans="1:18" x14ac:dyDescent="0.25">
      <c r="A34" s="32"/>
      <c r="B34" s="33" t="s">
        <v>35</v>
      </c>
      <c r="C34" s="32"/>
      <c r="D34" s="32"/>
      <c r="E34" s="32"/>
      <c r="F34" s="32"/>
      <c r="G34" s="32"/>
      <c r="H34" s="32"/>
      <c r="I34" s="32"/>
      <c r="J34" s="32"/>
      <c r="K34" s="34"/>
      <c r="L34" s="32"/>
      <c r="M34" s="32"/>
      <c r="N34" s="32"/>
      <c r="O34" s="32"/>
      <c r="P34" s="35"/>
      <c r="Q34" s="35"/>
      <c r="R34" s="36"/>
    </row>
    <row r="35" spans="1:18" x14ac:dyDescent="0.25">
      <c r="A35" s="891" t="s">
        <v>36</v>
      </c>
      <c r="B35" s="892"/>
      <c r="C35" s="37">
        <v>3</v>
      </c>
      <c r="D35" s="37">
        <v>4</v>
      </c>
      <c r="E35" s="38">
        <v>5</v>
      </c>
      <c r="F35" s="37">
        <v>6</v>
      </c>
      <c r="G35" s="37">
        <v>7</v>
      </c>
      <c r="H35" s="37">
        <v>8</v>
      </c>
      <c r="I35" s="37">
        <v>9</v>
      </c>
      <c r="J35" s="37">
        <v>10</v>
      </c>
      <c r="K35" s="37">
        <v>11</v>
      </c>
      <c r="L35" s="37">
        <v>12</v>
      </c>
      <c r="M35" s="37">
        <v>13</v>
      </c>
      <c r="N35" s="37">
        <v>14</v>
      </c>
      <c r="O35" s="37">
        <v>15</v>
      </c>
      <c r="P35" s="38">
        <v>16</v>
      </c>
      <c r="Q35" s="37">
        <v>17</v>
      </c>
      <c r="R35" s="39"/>
    </row>
    <row r="36" spans="1:18" x14ac:dyDescent="0.25">
      <c r="A36" s="40">
        <v>1</v>
      </c>
      <c r="B36" s="41" t="s">
        <v>37</v>
      </c>
      <c r="C36" s="129">
        <v>118571</v>
      </c>
      <c r="D36" s="129">
        <v>29409</v>
      </c>
      <c r="E36" s="43">
        <f>C36/D36*100-100</f>
        <v>303.17929885409234</v>
      </c>
      <c r="F36" s="129">
        <v>6463</v>
      </c>
      <c r="G36" s="129">
        <v>13002</v>
      </c>
      <c r="H36" s="43">
        <f>F36/G36*100-100</f>
        <v>-50.292262728810954</v>
      </c>
      <c r="I36" s="129">
        <v>11988</v>
      </c>
      <c r="J36" s="129">
        <v>29409</v>
      </c>
      <c r="K36" s="43">
        <f>I36/J36*100-100</f>
        <v>-59.236968275017851</v>
      </c>
      <c r="L36" s="129">
        <v>0</v>
      </c>
      <c r="M36" s="129">
        <v>1672</v>
      </c>
      <c r="N36" s="43">
        <v>0</v>
      </c>
      <c r="O36" s="42">
        <v>72</v>
      </c>
      <c r="P36" s="42">
        <v>113</v>
      </c>
      <c r="Q36" s="42">
        <v>72</v>
      </c>
      <c r="R36" s="44">
        <f>O36*P36</f>
        <v>8136</v>
      </c>
    </row>
    <row r="37" spans="1:18" x14ac:dyDescent="0.25">
      <c r="A37" s="40">
        <v>2</v>
      </c>
      <c r="B37" s="41" t="s">
        <v>38</v>
      </c>
      <c r="C37" s="129">
        <v>67550</v>
      </c>
      <c r="D37" s="129">
        <v>19043</v>
      </c>
      <c r="E37" s="43">
        <f>C37/D37*100-100</f>
        <v>254.72352045371002</v>
      </c>
      <c r="F37" s="129">
        <v>44053</v>
      </c>
      <c r="G37" s="129">
        <v>1718</v>
      </c>
      <c r="H37" s="43">
        <f>F37/G37*100-100</f>
        <v>2464.2025611175786</v>
      </c>
      <c r="I37" s="129">
        <v>67550</v>
      </c>
      <c r="J37" s="129">
        <v>19043</v>
      </c>
      <c r="K37" s="43">
        <f>I37/J37*100-100</f>
        <v>254.72352045371002</v>
      </c>
      <c r="L37" s="129">
        <f>12408+7884</f>
        <v>20292</v>
      </c>
      <c r="M37" s="129">
        <v>8122</v>
      </c>
      <c r="N37" s="43">
        <f t="shared" ref="N37" si="14">L37/M37*100-100</f>
        <v>149.83994090125586</v>
      </c>
      <c r="O37" s="45">
        <v>74</v>
      </c>
      <c r="P37" s="46">
        <v>208</v>
      </c>
      <c r="Q37" s="45">
        <v>72</v>
      </c>
      <c r="R37" s="44">
        <f t="shared" ref="R37:R53" si="15">O37*P37</f>
        <v>15392</v>
      </c>
    </row>
    <row r="38" spans="1:18" x14ac:dyDescent="0.25">
      <c r="A38" s="40">
        <v>3</v>
      </c>
      <c r="B38" s="41" t="s">
        <v>39</v>
      </c>
      <c r="C38" s="129">
        <v>5194</v>
      </c>
      <c r="D38" s="129">
        <v>18856</v>
      </c>
      <c r="E38" s="43">
        <f t="shared" ref="E38:E53" si="16">C38/D38*100-100</f>
        <v>-72.454391175222739</v>
      </c>
      <c r="F38" s="129">
        <v>5194</v>
      </c>
      <c r="G38" s="129">
        <v>1756</v>
      </c>
      <c r="H38" s="43">
        <f t="shared" ref="H38:H54" si="17">F38/G38*100-100</f>
        <v>195.78587699316626</v>
      </c>
      <c r="I38" s="129">
        <v>6578</v>
      </c>
      <c r="J38" s="129">
        <v>21730</v>
      </c>
      <c r="K38" s="43">
        <f t="shared" ref="K38:K54" si="18">I38/J38*100-100</f>
        <v>-69.72848596410492</v>
      </c>
      <c r="L38" s="129">
        <v>0</v>
      </c>
      <c r="M38" s="129">
        <v>0</v>
      </c>
      <c r="N38" s="43">
        <v>0</v>
      </c>
      <c r="O38" s="45">
        <v>23</v>
      </c>
      <c r="P38" s="46">
        <v>90</v>
      </c>
      <c r="Q38" s="45">
        <v>21</v>
      </c>
      <c r="R38" s="44">
        <f t="shared" si="15"/>
        <v>2070</v>
      </c>
    </row>
    <row r="39" spans="1:18" x14ac:dyDescent="0.25">
      <c r="A39" s="40">
        <v>4</v>
      </c>
      <c r="B39" s="41" t="s">
        <v>40</v>
      </c>
      <c r="C39" s="129">
        <v>0</v>
      </c>
      <c r="D39" s="129">
        <v>5030</v>
      </c>
      <c r="E39" s="43">
        <f t="shared" si="16"/>
        <v>-100</v>
      </c>
      <c r="F39" s="129">
        <v>0</v>
      </c>
      <c r="G39" s="129">
        <v>0</v>
      </c>
      <c r="H39" s="43" t="e">
        <f t="shared" si="17"/>
        <v>#DIV/0!</v>
      </c>
      <c r="I39" s="129">
        <v>0</v>
      </c>
      <c r="J39" s="129">
        <v>5312</v>
      </c>
      <c r="K39" s="43">
        <f t="shared" si="18"/>
        <v>-100</v>
      </c>
      <c r="L39" s="129">
        <v>0</v>
      </c>
      <c r="M39" s="129">
        <v>5312</v>
      </c>
      <c r="N39" s="43">
        <v>0</v>
      </c>
      <c r="O39" s="45">
        <v>9</v>
      </c>
      <c r="P39" s="46">
        <v>60</v>
      </c>
      <c r="Q39" s="45">
        <v>19</v>
      </c>
      <c r="R39" s="44">
        <f t="shared" si="15"/>
        <v>540</v>
      </c>
    </row>
    <row r="40" spans="1:18" x14ac:dyDescent="0.25">
      <c r="A40" s="40">
        <v>5</v>
      </c>
      <c r="B40" s="41" t="s">
        <v>41</v>
      </c>
      <c r="C40" s="129">
        <v>10111</v>
      </c>
      <c r="D40" s="129">
        <v>10065</v>
      </c>
      <c r="E40" s="43">
        <f t="shared" si="16"/>
        <v>0.45702930948831977</v>
      </c>
      <c r="F40" s="129">
        <v>5974</v>
      </c>
      <c r="G40" s="129">
        <v>3886</v>
      </c>
      <c r="H40" s="43">
        <f t="shared" si="17"/>
        <v>53.731343283582078</v>
      </c>
      <c r="I40" s="129">
        <v>11738</v>
      </c>
      <c r="J40" s="129">
        <v>17285</v>
      </c>
      <c r="K40" s="43">
        <f t="shared" si="18"/>
        <v>-32.09140873589817</v>
      </c>
      <c r="L40" s="129">
        <v>0</v>
      </c>
      <c r="M40" s="129">
        <v>1345</v>
      </c>
      <c r="N40" s="43">
        <f t="shared" ref="N40:N54" si="19">L40/M40*100-100</f>
        <v>-100</v>
      </c>
      <c r="O40" s="45">
        <v>55</v>
      </c>
      <c r="P40" s="46">
        <v>72</v>
      </c>
      <c r="Q40" s="45">
        <v>54</v>
      </c>
      <c r="R40" s="44">
        <f t="shared" si="15"/>
        <v>3960</v>
      </c>
    </row>
    <row r="41" spans="1:18" x14ac:dyDescent="0.25">
      <c r="A41" s="40">
        <v>6</v>
      </c>
      <c r="B41" s="41" t="s">
        <v>42</v>
      </c>
      <c r="C41" s="129">
        <v>14209</v>
      </c>
      <c r="D41" s="129">
        <v>24591</v>
      </c>
      <c r="E41" s="43">
        <f t="shared" si="16"/>
        <v>-42.21869789760482</v>
      </c>
      <c r="F41" s="129">
        <v>5574</v>
      </c>
      <c r="G41" s="129">
        <v>8686</v>
      </c>
      <c r="H41" s="43">
        <f t="shared" si="17"/>
        <v>-35.827768823393967</v>
      </c>
      <c r="I41" s="129">
        <v>21011</v>
      </c>
      <c r="J41" s="129">
        <v>22656</v>
      </c>
      <c r="K41" s="43">
        <f t="shared" si="18"/>
        <v>-7.260769774011294</v>
      </c>
      <c r="L41" s="129">
        <v>0</v>
      </c>
      <c r="M41" s="129">
        <v>0</v>
      </c>
      <c r="N41" s="43">
        <v>0</v>
      </c>
      <c r="O41" s="45">
        <v>65</v>
      </c>
      <c r="P41" s="46">
        <v>100</v>
      </c>
      <c r="Q41" s="45">
        <v>65</v>
      </c>
      <c r="R41" s="44">
        <f t="shared" si="15"/>
        <v>6500</v>
      </c>
    </row>
    <row r="42" spans="1:18" x14ac:dyDescent="0.25">
      <c r="A42" s="40">
        <v>7</v>
      </c>
      <c r="B42" s="41" t="s">
        <v>43</v>
      </c>
      <c r="C42" s="129">
        <v>0</v>
      </c>
      <c r="D42" s="129">
        <v>0</v>
      </c>
      <c r="E42" s="43">
        <v>0</v>
      </c>
      <c r="F42" s="129">
        <v>0</v>
      </c>
      <c r="G42" s="129">
        <v>0</v>
      </c>
      <c r="H42" s="43">
        <v>0</v>
      </c>
      <c r="I42" s="129">
        <v>0</v>
      </c>
      <c r="J42" s="129">
        <v>0</v>
      </c>
      <c r="K42" s="43">
        <v>0</v>
      </c>
      <c r="L42" s="129">
        <v>0</v>
      </c>
      <c r="M42" s="129">
        <v>0</v>
      </c>
      <c r="N42" s="43">
        <v>0</v>
      </c>
      <c r="O42" s="45"/>
      <c r="P42" s="46">
        <v>0</v>
      </c>
      <c r="Q42" s="45">
        <v>0</v>
      </c>
      <c r="R42" s="44">
        <f t="shared" si="15"/>
        <v>0</v>
      </c>
    </row>
    <row r="43" spans="1:18" x14ac:dyDescent="0.25">
      <c r="A43" s="40">
        <v>8</v>
      </c>
      <c r="B43" s="41" t="s">
        <v>44</v>
      </c>
      <c r="C43" s="129">
        <v>33769</v>
      </c>
      <c r="D43" s="129">
        <v>32168</v>
      </c>
      <c r="E43" s="43">
        <f t="shared" si="16"/>
        <v>4.9769957721959628</v>
      </c>
      <c r="F43" s="129">
        <v>11128</v>
      </c>
      <c r="G43" s="129">
        <v>11066</v>
      </c>
      <c r="H43" s="43">
        <f t="shared" si="17"/>
        <v>0.56027471534430617</v>
      </c>
      <c r="I43" s="129">
        <v>33905</v>
      </c>
      <c r="J43" s="129">
        <v>31134</v>
      </c>
      <c r="K43" s="43">
        <f t="shared" si="18"/>
        <v>8.9002376822766109</v>
      </c>
      <c r="L43" s="129">
        <v>0</v>
      </c>
      <c r="M43" s="129">
        <v>0</v>
      </c>
      <c r="N43" s="43">
        <v>0</v>
      </c>
      <c r="O43" s="45">
        <v>43</v>
      </c>
      <c r="P43" s="46">
        <v>98</v>
      </c>
      <c r="Q43" s="45">
        <v>43</v>
      </c>
      <c r="R43" s="44">
        <f t="shared" si="15"/>
        <v>4214</v>
      </c>
    </row>
    <row r="44" spans="1:18" x14ac:dyDescent="0.25">
      <c r="A44" s="40">
        <v>9</v>
      </c>
      <c r="B44" s="41" t="s">
        <v>45</v>
      </c>
      <c r="C44" s="129">
        <v>30462</v>
      </c>
      <c r="D44" s="129">
        <v>35046</v>
      </c>
      <c r="E44" s="43">
        <f t="shared" si="16"/>
        <v>-13.079952063002906</v>
      </c>
      <c r="F44" s="129">
        <v>10741</v>
      </c>
      <c r="G44" s="129">
        <v>17645</v>
      </c>
      <c r="H44" s="43">
        <f t="shared" si="17"/>
        <v>-39.127231510342874</v>
      </c>
      <c r="I44" s="129">
        <v>34324</v>
      </c>
      <c r="J44" s="129">
        <v>29032</v>
      </c>
      <c r="K44" s="43">
        <f t="shared" si="18"/>
        <v>18.228162028106908</v>
      </c>
      <c r="L44" s="129">
        <v>0</v>
      </c>
      <c r="M44" s="129">
        <v>0</v>
      </c>
      <c r="N44" s="43">
        <v>0</v>
      </c>
      <c r="O44" s="45">
        <v>56</v>
      </c>
      <c r="P44" s="46">
        <v>141</v>
      </c>
      <c r="Q44" s="45">
        <v>58</v>
      </c>
      <c r="R44" s="44">
        <f t="shared" si="15"/>
        <v>7896</v>
      </c>
    </row>
    <row r="45" spans="1:18" x14ac:dyDescent="0.25">
      <c r="A45" s="50">
        <v>10</v>
      </c>
      <c r="B45" s="41" t="s">
        <v>46</v>
      </c>
      <c r="C45" s="129">
        <v>94916</v>
      </c>
      <c r="D45" s="129">
        <v>196830</v>
      </c>
      <c r="E45" s="43">
        <f t="shared" si="16"/>
        <v>-51.777676167250924</v>
      </c>
      <c r="F45" s="129">
        <v>82568</v>
      </c>
      <c r="G45" s="129">
        <v>114148</v>
      </c>
      <c r="H45" s="43">
        <f t="shared" si="17"/>
        <v>-27.665837333987454</v>
      </c>
      <c r="I45" s="129">
        <v>89452</v>
      </c>
      <c r="J45" s="129">
        <v>198136</v>
      </c>
      <c r="K45" s="43">
        <f t="shared" si="18"/>
        <v>-54.853232123389994</v>
      </c>
      <c r="L45" s="129">
        <v>89435</v>
      </c>
      <c r="M45" s="129">
        <v>195930</v>
      </c>
      <c r="N45" s="43">
        <f t="shared" si="19"/>
        <v>-54.353595671923642</v>
      </c>
      <c r="O45" s="45">
        <v>127</v>
      </c>
      <c r="P45" s="46">
        <v>84</v>
      </c>
      <c r="Q45" s="45">
        <v>23</v>
      </c>
      <c r="R45" s="44">
        <f t="shared" si="15"/>
        <v>10668</v>
      </c>
    </row>
    <row r="46" spans="1:18" x14ac:dyDescent="0.25">
      <c r="A46" s="40">
        <v>11</v>
      </c>
      <c r="B46" s="41" t="s">
        <v>47</v>
      </c>
      <c r="C46" s="129">
        <v>0</v>
      </c>
      <c r="D46" s="129">
        <v>0</v>
      </c>
      <c r="E46" s="43">
        <v>0</v>
      </c>
      <c r="F46" s="129">
        <v>0</v>
      </c>
      <c r="G46" s="129">
        <v>0</v>
      </c>
      <c r="H46" s="43">
        <v>0</v>
      </c>
      <c r="I46" s="129">
        <v>5769</v>
      </c>
      <c r="J46" s="129">
        <v>0</v>
      </c>
      <c r="K46" s="43">
        <v>0</v>
      </c>
      <c r="L46" s="129">
        <v>5769</v>
      </c>
      <c r="M46" s="129">
        <v>0</v>
      </c>
      <c r="N46" s="43">
        <v>0</v>
      </c>
      <c r="O46" s="45">
        <v>21</v>
      </c>
      <c r="P46" s="46">
        <v>80</v>
      </c>
      <c r="Q46" s="45">
        <v>23</v>
      </c>
      <c r="R46" s="44">
        <f t="shared" si="15"/>
        <v>1680</v>
      </c>
    </row>
    <row r="47" spans="1:18" x14ac:dyDescent="0.25">
      <c r="A47" s="40">
        <v>12</v>
      </c>
      <c r="B47" s="41" t="s">
        <v>48</v>
      </c>
      <c r="C47" s="129">
        <v>4813</v>
      </c>
      <c r="D47" s="129">
        <v>25321</v>
      </c>
      <c r="E47" s="43">
        <f t="shared" si="16"/>
        <v>-80.992061924884482</v>
      </c>
      <c r="F47" s="129">
        <v>2263</v>
      </c>
      <c r="G47" s="129">
        <v>9802</v>
      </c>
      <c r="H47" s="43">
        <f t="shared" ref="H47" si="20">F47/G47*100-100</f>
        <v>-76.912874923485006</v>
      </c>
      <c r="I47" s="129">
        <v>4813</v>
      </c>
      <c r="J47" s="129">
        <v>24963</v>
      </c>
      <c r="K47" s="43">
        <f t="shared" ref="K47" si="21">I47/J47*100-100</f>
        <v>-80.719464807915713</v>
      </c>
      <c r="L47" s="129">
        <v>2199</v>
      </c>
      <c r="M47" s="129">
        <v>22028</v>
      </c>
      <c r="N47" s="43">
        <f t="shared" ref="N47" si="22">L47/M47*100-100</f>
        <v>-90.017250771745054</v>
      </c>
      <c r="O47" s="45">
        <v>21</v>
      </c>
      <c r="P47" s="46">
        <v>145</v>
      </c>
      <c r="Q47" s="45">
        <v>23</v>
      </c>
      <c r="R47" s="44">
        <f t="shared" si="15"/>
        <v>3045</v>
      </c>
    </row>
    <row r="48" spans="1:18" x14ac:dyDescent="0.25">
      <c r="A48" s="40">
        <v>13</v>
      </c>
      <c r="B48" s="41" t="s">
        <v>49</v>
      </c>
      <c r="C48" s="129">
        <v>35588</v>
      </c>
      <c r="D48" s="129">
        <v>97730</v>
      </c>
      <c r="E48" s="43">
        <f t="shared" si="16"/>
        <v>-63.585388314744705</v>
      </c>
      <c r="F48" s="129">
        <v>8808</v>
      </c>
      <c r="G48" s="129">
        <v>32082</v>
      </c>
      <c r="H48" s="43">
        <f t="shared" si="17"/>
        <v>-72.545352534131297</v>
      </c>
      <c r="I48" s="129">
        <v>39538</v>
      </c>
      <c r="J48" s="129">
        <v>78947</v>
      </c>
      <c r="K48" s="43">
        <f t="shared" si="18"/>
        <v>-49.918299618731552</v>
      </c>
      <c r="L48" s="129">
        <v>0</v>
      </c>
      <c r="M48" s="129">
        <v>0</v>
      </c>
      <c r="N48" s="43">
        <v>0</v>
      </c>
      <c r="O48" s="45">
        <v>65</v>
      </c>
      <c r="P48" s="46">
        <v>100</v>
      </c>
      <c r="Q48" s="45">
        <v>33</v>
      </c>
      <c r="R48" s="44">
        <f t="shared" si="15"/>
        <v>6500</v>
      </c>
    </row>
    <row r="49" spans="1:18" x14ac:dyDescent="0.25">
      <c r="A49" s="40">
        <v>14</v>
      </c>
      <c r="B49" s="41" t="s">
        <v>50</v>
      </c>
      <c r="C49" s="129">
        <v>5671</v>
      </c>
      <c r="D49" s="129">
        <v>6308</v>
      </c>
      <c r="E49" s="43">
        <f t="shared" si="16"/>
        <v>-10.098287888395689</v>
      </c>
      <c r="F49" s="129">
        <v>2017</v>
      </c>
      <c r="G49" s="129">
        <v>1382</v>
      </c>
      <c r="H49" s="43">
        <f t="shared" si="17"/>
        <v>45.9479015918958</v>
      </c>
      <c r="I49" s="129">
        <v>3544</v>
      </c>
      <c r="J49" s="129">
        <v>4751</v>
      </c>
      <c r="K49" s="43">
        <f t="shared" si="18"/>
        <v>-25.405177857293211</v>
      </c>
      <c r="L49" s="129">
        <v>0</v>
      </c>
      <c r="M49" s="129">
        <v>1576</v>
      </c>
      <c r="N49" s="43">
        <v>0</v>
      </c>
      <c r="O49" s="45">
        <v>14</v>
      </c>
      <c r="P49" s="46">
        <v>80</v>
      </c>
      <c r="Q49" s="45">
        <v>14</v>
      </c>
      <c r="R49" s="44">
        <f t="shared" si="15"/>
        <v>1120</v>
      </c>
    </row>
    <row r="50" spans="1:18" x14ac:dyDescent="0.25">
      <c r="A50" s="40">
        <v>15</v>
      </c>
      <c r="B50" s="41" t="s">
        <v>51</v>
      </c>
      <c r="C50" s="129">
        <v>31940</v>
      </c>
      <c r="D50" s="129">
        <v>0</v>
      </c>
      <c r="E50" s="45">
        <v>0</v>
      </c>
      <c r="F50" s="129">
        <v>31940</v>
      </c>
      <c r="G50" s="129">
        <v>0</v>
      </c>
      <c r="H50" s="43">
        <v>0</v>
      </c>
      <c r="I50" s="129">
        <v>99259</v>
      </c>
      <c r="J50" s="129">
        <v>0</v>
      </c>
      <c r="K50" s="43">
        <v>0</v>
      </c>
      <c r="L50" s="129">
        <v>87402</v>
      </c>
      <c r="M50" s="129">
        <v>0</v>
      </c>
      <c r="N50" s="43">
        <v>0</v>
      </c>
      <c r="O50" s="45">
        <v>55</v>
      </c>
      <c r="P50" s="46">
        <v>136</v>
      </c>
      <c r="Q50" s="45">
        <v>60</v>
      </c>
      <c r="R50" s="44">
        <f t="shared" si="15"/>
        <v>7480</v>
      </c>
    </row>
    <row r="51" spans="1:18" x14ac:dyDescent="0.25">
      <c r="A51" s="40">
        <v>16</v>
      </c>
      <c r="B51" s="41" t="s">
        <v>52</v>
      </c>
      <c r="C51" s="129">
        <v>0</v>
      </c>
      <c r="D51" s="129">
        <v>0</v>
      </c>
      <c r="E51" s="43">
        <v>0</v>
      </c>
      <c r="F51" s="129">
        <v>0</v>
      </c>
      <c r="G51" s="129">
        <v>0</v>
      </c>
      <c r="H51" s="43">
        <v>0</v>
      </c>
      <c r="I51" s="129">
        <v>0</v>
      </c>
      <c r="J51" s="129">
        <v>0</v>
      </c>
      <c r="K51" s="43">
        <v>0</v>
      </c>
      <c r="L51" s="129">
        <v>0</v>
      </c>
      <c r="M51" s="129">
        <v>0</v>
      </c>
      <c r="N51" s="43">
        <v>0</v>
      </c>
      <c r="O51" s="45"/>
      <c r="P51" s="46">
        <v>45</v>
      </c>
      <c r="Q51" s="45">
        <v>17</v>
      </c>
      <c r="R51" s="44">
        <f t="shared" si="15"/>
        <v>0</v>
      </c>
    </row>
    <row r="52" spans="1:18" x14ac:dyDescent="0.25">
      <c r="A52" s="40">
        <v>17</v>
      </c>
      <c r="B52" s="41" t="s">
        <v>53</v>
      </c>
      <c r="C52" s="129"/>
      <c r="D52" s="129"/>
      <c r="E52" s="43" t="e">
        <f t="shared" si="16"/>
        <v>#DIV/0!</v>
      </c>
      <c r="F52" s="129"/>
      <c r="G52" s="129"/>
      <c r="H52" s="43">
        <v>0</v>
      </c>
      <c r="I52" s="129"/>
      <c r="J52" s="129"/>
      <c r="K52" s="43" t="e">
        <f t="shared" si="18"/>
        <v>#DIV/0!</v>
      </c>
      <c r="L52" s="129"/>
      <c r="M52" s="129"/>
      <c r="N52" s="43">
        <v>0</v>
      </c>
      <c r="O52" s="45"/>
      <c r="P52" s="46">
        <v>63</v>
      </c>
      <c r="Q52" s="45">
        <v>2</v>
      </c>
      <c r="R52" s="44">
        <f t="shared" si="15"/>
        <v>0</v>
      </c>
    </row>
    <row r="53" spans="1:18" x14ac:dyDescent="0.25">
      <c r="A53" s="40">
        <v>18</v>
      </c>
      <c r="B53" s="55" t="s">
        <v>54</v>
      </c>
      <c r="C53" s="129">
        <v>0</v>
      </c>
      <c r="D53" s="129">
        <v>216771</v>
      </c>
      <c r="E53" s="43">
        <f t="shared" si="16"/>
        <v>-100</v>
      </c>
      <c r="F53" s="129">
        <v>0</v>
      </c>
      <c r="G53" s="129">
        <v>127436.3</v>
      </c>
      <c r="H53" s="43">
        <v>0</v>
      </c>
      <c r="I53" s="129">
        <v>35585</v>
      </c>
      <c r="J53" s="129">
        <v>216771</v>
      </c>
      <c r="K53" s="43">
        <v>0</v>
      </c>
      <c r="L53" s="129">
        <v>0</v>
      </c>
      <c r="M53" s="129">
        <f>204802.1+4875</f>
        <v>209677.1</v>
      </c>
      <c r="N53" s="43">
        <v>0</v>
      </c>
      <c r="O53" s="45">
        <v>105</v>
      </c>
      <c r="P53" s="46">
        <v>85</v>
      </c>
      <c r="Q53" s="45">
        <v>112</v>
      </c>
      <c r="R53" s="44">
        <f t="shared" si="15"/>
        <v>8925</v>
      </c>
    </row>
    <row r="54" spans="1:18" x14ac:dyDescent="0.25">
      <c r="A54" s="893" t="s">
        <v>55</v>
      </c>
      <c r="B54" s="894"/>
      <c r="C54" s="206">
        <f>SUM(C36:C53)</f>
        <v>452794</v>
      </c>
      <c r="D54" s="206">
        <f>SUM(D36:D53)</f>
        <v>717168</v>
      </c>
      <c r="E54" s="57">
        <f>C54/D54*100-100</f>
        <v>-36.863607969122988</v>
      </c>
      <c r="F54" s="206">
        <f>SUM(F36:F53)</f>
        <v>216723</v>
      </c>
      <c r="G54" s="206">
        <f>SUM(G36:G53)</f>
        <v>342609.3</v>
      </c>
      <c r="H54" s="57">
        <f t="shared" si="17"/>
        <v>-36.743398384106904</v>
      </c>
      <c r="I54" s="206">
        <f>SUM(I36:I53)</f>
        <v>465054</v>
      </c>
      <c r="J54" s="206">
        <f>SUM(J36:J53)</f>
        <v>699169</v>
      </c>
      <c r="K54" s="57">
        <f t="shared" si="18"/>
        <v>-33.484751183190326</v>
      </c>
      <c r="L54" s="206">
        <f>SUM(L36:L53)</f>
        <v>205097</v>
      </c>
      <c r="M54" s="206">
        <f>SUM(M36:M53)</f>
        <v>445662.1</v>
      </c>
      <c r="N54" s="57">
        <f t="shared" si="19"/>
        <v>-53.979259174159075</v>
      </c>
      <c r="O54" s="56">
        <f>SUM(O36:O53)</f>
        <v>805</v>
      </c>
      <c r="P54" s="58">
        <f>R54/O54</f>
        <v>109.47329192546584</v>
      </c>
      <c r="Q54" s="56">
        <f>SUM(Q36:Q53)</f>
        <v>711</v>
      </c>
      <c r="R54" s="56">
        <f>SUM(R36:R53)</f>
        <v>88126</v>
      </c>
    </row>
    <row r="55" spans="1:18" x14ac:dyDescent="0.2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45"/>
      <c r="R55" s="71"/>
    </row>
    <row r="56" spans="1:18" x14ac:dyDescent="0.25">
      <c r="A56" s="891" t="s">
        <v>56</v>
      </c>
      <c r="B56" s="892"/>
      <c r="C56" s="37">
        <v>3</v>
      </c>
      <c r="D56" s="37">
        <v>4</v>
      </c>
      <c r="E56" s="38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38">
        <v>16</v>
      </c>
      <c r="Q56" s="37">
        <v>15</v>
      </c>
      <c r="R56" s="39"/>
    </row>
    <row r="57" spans="1:18" x14ac:dyDescent="0.25">
      <c r="A57" s="46">
        <v>1</v>
      </c>
      <c r="B57" s="55" t="s">
        <v>57</v>
      </c>
      <c r="C57" s="129">
        <v>59385</v>
      </c>
      <c r="D57" s="129">
        <v>85798</v>
      </c>
      <c r="E57" s="43">
        <f t="shared" ref="E57:E66" si="23">C57/D57*100-100</f>
        <v>-30.785099885778223</v>
      </c>
      <c r="F57" s="129">
        <v>31793</v>
      </c>
      <c r="G57" s="129">
        <v>42981</v>
      </c>
      <c r="H57" s="54">
        <f t="shared" ref="H57:H66" si="24">F57/G57*100-100</f>
        <v>-26.030106326051055</v>
      </c>
      <c r="I57" s="129">
        <v>70044</v>
      </c>
      <c r="J57" s="129">
        <v>73662</v>
      </c>
      <c r="K57" s="43">
        <f t="shared" ref="K57:K66" si="25">I57/J57*100-100</f>
        <v>-4.9116233607558968</v>
      </c>
      <c r="L57" s="129">
        <v>69658</v>
      </c>
      <c r="M57" s="129">
        <v>73235</v>
      </c>
      <c r="N57" s="43">
        <f t="shared" ref="N57:N66" si="26">L57/M57*100-100</f>
        <v>-4.8842766436812894</v>
      </c>
      <c r="O57" s="54">
        <v>146</v>
      </c>
      <c r="P57" s="62">
        <v>86</v>
      </c>
      <c r="Q57" s="54">
        <v>146</v>
      </c>
      <c r="R57" s="44">
        <f>O57*P57</f>
        <v>12556</v>
      </c>
    </row>
    <row r="58" spans="1:18" x14ac:dyDescent="0.25">
      <c r="A58" s="63">
        <v>2</v>
      </c>
      <c r="B58" s="55" t="s">
        <v>58</v>
      </c>
      <c r="C58" s="129">
        <v>12649</v>
      </c>
      <c r="D58" s="129">
        <v>20284</v>
      </c>
      <c r="E58" s="43">
        <f t="shared" si="23"/>
        <v>-37.640504831394203</v>
      </c>
      <c r="F58" s="129">
        <v>1856</v>
      </c>
      <c r="G58" s="129">
        <v>19673</v>
      </c>
      <c r="H58" s="54">
        <f t="shared" si="24"/>
        <v>-90.565750012707767</v>
      </c>
      <c r="I58" s="129">
        <v>16771</v>
      </c>
      <c r="J58" s="129">
        <v>20046</v>
      </c>
      <c r="K58" s="43">
        <f t="shared" si="25"/>
        <v>-16.337423924972555</v>
      </c>
      <c r="L58" s="129">
        <v>0</v>
      </c>
      <c r="M58" s="129">
        <v>0</v>
      </c>
      <c r="N58" s="43">
        <v>0</v>
      </c>
      <c r="O58" s="54">
        <v>105</v>
      </c>
      <c r="P58" s="54">
        <v>105</v>
      </c>
      <c r="Q58" s="54">
        <v>101</v>
      </c>
      <c r="R58" s="44">
        <f t="shared" ref="R58:R65" si="27">O58*P58</f>
        <v>11025</v>
      </c>
    </row>
    <row r="59" spans="1:18" x14ac:dyDescent="0.25">
      <c r="A59" s="63">
        <v>3</v>
      </c>
      <c r="B59" s="55" t="s">
        <v>59</v>
      </c>
      <c r="C59" s="129">
        <v>47983</v>
      </c>
      <c r="D59" s="129">
        <v>51439</v>
      </c>
      <c r="E59" s="43">
        <f t="shared" si="23"/>
        <v>-6.7186376095958309</v>
      </c>
      <c r="F59" s="129">
        <v>16480</v>
      </c>
      <c r="G59" s="129">
        <v>23992</v>
      </c>
      <c r="H59" s="43">
        <f t="shared" si="24"/>
        <v>-31.310436812270765</v>
      </c>
      <c r="I59" s="129">
        <v>47983</v>
      </c>
      <c r="J59" s="129">
        <v>51439</v>
      </c>
      <c r="K59" s="43">
        <f t="shared" si="25"/>
        <v>-6.7186376095958309</v>
      </c>
      <c r="L59" s="129">
        <v>0</v>
      </c>
      <c r="M59" s="129">
        <v>0</v>
      </c>
      <c r="N59" s="43">
        <v>0</v>
      </c>
      <c r="O59" s="54">
        <v>108</v>
      </c>
      <c r="P59" s="54">
        <v>88</v>
      </c>
      <c r="Q59" s="54">
        <v>108</v>
      </c>
      <c r="R59" s="44">
        <f t="shared" si="27"/>
        <v>9504</v>
      </c>
    </row>
    <row r="60" spans="1:18" x14ac:dyDescent="0.25">
      <c r="A60" s="46">
        <v>4</v>
      </c>
      <c r="B60" s="55" t="s">
        <v>60</v>
      </c>
      <c r="C60" s="129">
        <v>100171</v>
      </c>
      <c r="D60" s="129">
        <v>51927</v>
      </c>
      <c r="E60" s="43">
        <f t="shared" si="23"/>
        <v>92.907350703872737</v>
      </c>
      <c r="F60" s="129">
        <v>69944</v>
      </c>
      <c r="G60" s="129">
        <v>12892</v>
      </c>
      <c r="H60" s="43">
        <f t="shared" si="24"/>
        <v>442.53800806701827</v>
      </c>
      <c r="I60" s="129">
        <v>99463</v>
      </c>
      <c r="J60" s="129">
        <v>51931</v>
      </c>
      <c r="K60" s="43">
        <f t="shared" si="25"/>
        <v>91.529144441662993</v>
      </c>
      <c r="L60" s="129">
        <f>44055+2625</f>
        <v>46680</v>
      </c>
      <c r="M60" s="129">
        <v>0</v>
      </c>
      <c r="N60" s="43">
        <v>0</v>
      </c>
      <c r="O60" s="54">
        <v>67</v>
      </c>
      <c r="P60" s="54">
        <v>124</v>
      </c>
      <c r="Q60" s="54">
        <v>67</v>
      </c>
      <c r="R60" s="44">
        <f t="shared" si="27"/>
        <v>8308</v>
      </c>
    </row>
    <row r="61" spans="1:18" x14ac:dyDescent="0.25">
      <c r="A61" s="63">
        <v>5</v>
      </c>
      <c r="B61" s="55" t="s">
        <v>61</v>
      </c>
      <c r="C61" s="129">
        <v>0</v>
      </c>
      <c r="D61" s="129">
        <v>0</v>
      </c>
      <c r="E61" s="43">
        <v>0</v>
      </c>
      <c r="F61" s="129">
        <v>0</v>
      </c>
      <c r="G61" s="129">
        <v>0</v>
      </c>
      <c r="H61" s="43">
        <v>0</v>
      </c>
      <c r="I61" s="129">
        <v>0</v>
      </c>
      <c r="J61" s="129">
        <v>0</v>
      </c>
      <c r="K61" s="43">
        <v>0</v>
      </c>
      <c r="L61" s="129">
        <v>0</v>
      </c>
      <c r="M61" s="129">
        <v>0</v>
      </c>
      <c r="N61" s="43">
        <v>0</v>
      </c>
      <c r="O61" s="45"/>
      <c r="P61" s="46">
        <v>0</v>
      </c>
      <c r="Q61" s="45">
        <v>35</v>
      </c>
      <c r="R61" s="44">
        <f t="shared" si="27"/>
        <v>0</v>
      </c>
    </row>
    <row r="62" spans="1:18" x14ac:dyDescent="0.25">
      <c r="A62" s="63">
        <v>6</v>
      </c>
      <c r="B62" s="55" t="s">
        <v>62</v>
      </c>
      <c r="C62" s="129">
        <v>12450</v>
      </c>
      <c r="D62" s="129">
        <v>14823</v>
      </c>
      <c r="E62" s="43">
        <f t="shared" si="23"/>
        <v>-16.008905079943332</v>
      </c>
      <c r="F62" s="129">
        <v>6102</v>
      </c>
      <c r="G62" s="129">
        <v>5187</v>
      </c>
      <c r="H62" s="43">
        <f t="shared" si="24"/>
        <v>17.640254482359751</v>
      </c>
      <c r="I62" s="129">
        <v>10950</v>
      </c>
      <c r="J62" s="129">
        <v>17600</v>
      </c>
      <c r="K62" s="43">
        <f t="shared" si="25"/>
        <v>-37.784090909090907</v>
      </c>
      <c r="L62" s="129">
        <v>10950</v>
      </c>
      <c r="M62" s="129">
        <v>17600</v>
      </c>
      <c r="N62" s="43">
        <f t="shared" si="26"/>
        <v>-37.784090909090907</v>
      </c>
      <c r="O62" s="54">
        <v>31</v>
      </c>
      <c r="P62" s="54">
        <v>67</v>
      </c>
      <c r="Q62" s="54">
        <v>31</v>
      </c>
      <c r="R62" s="44">
        <f t="shared" si="27"/>
        <v>2077</v>
      </c>
    </row>
    <row r="63" spans="1:18" x14ac:dyDescent="0.25">
      <c r="A63" s="46">
        <v>7</v>
      </c>
      <c r="B63" s="55" t="s">
        <v>63</v>
      </c>
      <c r="C63" s="129">
        <v>23859</v>
      </c>
      <c r="D63" s="129">
        <v>6307</v>
      </c>
      <c r="E63" s="43">
        <f t="shared" si="23"/>
        <v>278.29395909307118</v>
      </c>
      <c r="F63" s="129">
        <v>1102</v>
      </c>
      <c r="G63" s="129">
        <v>1569</v>
      </c>
      <c r="H63" s="43">
        <f t="shared" si="24"/>
        <v>-29.764181007010833</v>
      </c>
      <c r="I63" s="129">
        <v>27499</v>
      </c>
      <c r="J63" s="129">
        <v>18933</v>
      </c>
      <c r="K63" s="43">
        <f t="shared" si="25"/>
        <v>45.243754291448795</v>
      </c>
      <c r="L63" s="129">
        <v>27392</v>
      </c>
      <c r="M63" s="129">
        <v>18918</v>
      </c>
      <c r="N63" s="43">
        <f t="shared" si="26"/>
        <v>44.793318532614421</v>
      </c>
      <c r="O63" s="54">
        <v>33</v>
      </c>
      <c r="P63" s="54">
        <v>67</v>
      </c>
      <c r="Q63" s="54">
        <v>34</v>
      </c>
      <c r="R63" s="44">
        <f t="shared" si="27"/>
        <v>2211</v>
      </c>
    </row>
    <row r="64" spans="1:18" x14ac:dyDescent="0.25">
      <c r="A64" s="63">
        <v>8</v>
      </c>
      <c r="B64" s="55" t="s">
        <v>64</v>
      </c>
      <c r="C64" s="129">
        <v>0</v>
      </c>
      <c r="D64" s="129">
        <v>0</v>
      </c>
      <c r="E64" s="43">
        <v>0</v>
      </c>
      <c r="F64" s="129">
        <v>0</v>
      </c>
      <c r="G64" s="129">
        <v>0</v>
      </c>
      <c r="H64" s="43">
        <v>0</v>
      </c>
      <c r="I64" s="129">
        <v>0</v>
      </c>
      <c r="J64" s="129">
        <v>0</v>
      </c>
      <c r="K64" s="43">
        <v>0</v>
      </c>
      <c r="L64" s="129">
        <v>0</v>
      </c>
      <c r="M64" s="129">
        <v>0</v>
      </c>
      <c r="N64" s="43">
        <v>0</v>
      </c>
      <c r="O64" s="54"/>
      <c r="P64" s="62">
        <v>85</v>
      </c>
      <c r="Q64" s="54">
        <v>28</v>
      </c>
      <c r="R64" s="44">
        <f t="shared" si="27"/>
        <v>0</v>
      </c>
    </row>
    <row r="65" spans="1:18" x14ac:dyDescent="0.25">
      <c r="A65" s="63">
        <v>9</v>
      </c>
      <c r="B65" s="55" t="s">
        <v>65</v>
      </c>
      <c r="C65" s="129">
        <v>0</v>
      </c>
      <c r="D65" s="129">
        <v>0</v>
      </c>
      <c r="E65" s="43">
        <v>0</v>
      </c>
      <c r="F65" s="129">
        <v>0</v>
      </c>
      <c r="G65" s="129">
        <v>0</v>
      </c>
      <c r="H65" s="43">
        <v>0</v>
      </c>
      <c r="I65" s="129">
        <v>0</v>
      </c>
      <c r="J65" s="129">
        <v>0</v>
      </c>
      <c r="K65" s="43">
        <v>0</v>
      </c>
      <c r="L65" s="129">
        <v>0</v>
      </c>
      <c r="M65" s="129">
        <v>0</v>
      </c>
      <c r="N65" s="43">
        <v>0</v>
      </c>
      <c r="O65" s="45">
        <v>0</v>
      </c>
      <c r="P65" s="46">
        <v>0</v>
      </c>
      <c r="Q65" s="45">
        <v>0</v>
      </c>
      <c r="R65" s="44">
        <f t="shared" si="27"/>
        <v>0</v>
      </c>
    </row>
    <row r="66" spans="1:18" x14ac:dyDescent="0.25">
      <c r="A66" s="907" t="s">
        <v>66</v>
      </c>
      <c r="B66" s="908"/>
      <c r="C66" s="209">
        <f>SUM(C57:C65)</f>
        <v>256497</v>
      </c>
      <c r="D66" s="209">
        <f>SUM(D57:D65)</f>
        <v>230578</v>
      </c>
      <c r="E66" s="57">
        <f t="shared" si="23"/>
        <v>11.240881610561289</v>
      </c>
      <c r="F66" s="209">
        <f>SUM(F57:F65)</f>
        <v>127277</v>
      </c>
      <c r="G66" s="209">
        <f>SUM(G57:G65)</f>
        <v>106294</v>
      </c>
      <c r="H66" s="57">
        <f t="shared" si="24"/>
        <v>19.740530980111771</v>
      </c>
      <c r="I66" s="68">
        <f>SUM(I57:I65)</f>
        <v>272710</v>
      </c>
      <c r="J66" s="209">
        <f>SUM(J57:J65)</f>
        <v>233611</v>
      </c>
      <c r="K66" s="57">
        <f t="shared" si="25"/>
        <v>16.736797496693214</v>
      </c>
      <c r="L66" s="209">
        <f>SUM(L57:L65)</f>
        <v>154680</v>
      </c>
      <c r="M66" s="209">
        <f>SUM(M57:M65)</f>
        <v>109753</v>
      </c>
      <c r="N66" s="57">
        <f t="shared" si="26"/>
        <v>40.934644155512814</v>
      </c>
      <c r="O66" s="68">
        <f>SUM(O57:O65)</f>
        <v>490</v>
      </c>
      <c r="P66" s="69">
        <f>R66/O66</f>
        <v>93.2265306122449</v>
      </c>
      <c r="Q66" s="68">
        <f>SUM(Q57:Q65)</f>
        <v>550</v>
      </c>
      <c r="R66" s="70">
        <f>SUM(R57:R65)</f>
        <v>45681</v>
      </c>
    </row>
    <row r="67" spans="1:18" x14ac:dyDescent="0.25">
      <c r="A67" s="39"/>
      <c r="B67" s="71"/>
      <c r="C67" s="39"/>
      <c r="D67" s="39"/>
      <c r="E67" s="39"/>
      <c r="F67" s="39"/>
      <c r="G67" s="39"/>
      <c r="H67" s="39"/>
      <c r="I67" s="39"/>
      <c r="J67" s="39"/>
      <c r="K67" s="72"/>
      <c r="L67" s="39"/>
      <c r="M67" s="39"/>
      <c r="N67" s="39"/>
      <c r="O67" s="39"/>
      <c r="P67" s="73"/>
      <c r="Q67" s="39"/>
      <c r="R67" s="39"/>
    </row>
    <row r="68" spans="1:18" x14ac:dyDescent="0.25">
      <c r="A68" s="891" t="s">
        <v>67</v>
      </c>
      <c r="B68" s="892"/>
      <c r="C68" s="37">
        <v>3</v>
      </c>
      <c r="D68" s="37">
        <v>4</v>
      </c>
      <c r="E68" s="38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38">
        <v>16</v>
      </c>
      <c r="Q68" s="37">
        <v>15</v>
      </c>
      <c r="R68" s="39"/>
    </row>
    <row r="69" spans="1:18" x14ac:dyDescent="0.25">
      <c r="A69" s="40">
        <v>1</v>
      </c>
      <c r="B69" s="41" t="s">
        <v>68</v>
      </c>
      <c r="C69" s="134">
        <v>554</v>
      </c>
      <c r="D69" s="134">
        <v>900</v>
      </c>
      <c r="E69" s="43">
        <f t="shared" ref="E69:E78" si="28">C69/D69*100-100</f>
        <v>-38.44444444444445</v>
      </c>
      <c r="F69" s="134">
        <v>375</v>
      </c>
      <c r="G69" s="134">
        <v>82</v>
      </c>
      <c r="H69" s="54">
        <f t="shared" ref="H69:H78" si="29">F69/G69*100-100</f>
        <v>357.3170731707317</v>
      </c>
      <c r="I69" s="134">
        <v>554</v>
      </c>
      <c r="J69" s="134">
        <v>900</v>
      </c>
      <c r="K69" s="74">
        <f>I69/J69*100</f>
        <v>61.55555555555555</v>
      </c>
      <c r="L69" s="134">
        <v>0</v>
      </c>
      <c r="M69" s="134">
        <v>0</v>
      </c>
      <c r="N69" s="43">
        <v>0</v>
      </c>
      <c r="O69" s="45">
        <v>142</v>
      </c>
      <c r="P69" s="60">
        <v>55</v>
      </c>
      <c r="Q69" s="45">
        <v>138</v>
      </c>
      <c r="R69" s="44">
        <f t="shared" ref="R69:R76" si="30">O69*P69</f>
        <v>7810</v>
      </c>
    </row>
    <row r="70" spans="1:18" x14ac:dyDescent="0.25">
      <c r="A70" s="40">
        <v>2</v>
      </c>
      <c r="B70" s="41" t="s">
        <v>69</v>
      </c>
      <c r="C70" s="134">
        <v>40591</v>
      </c>
      <c r="D70" s="134">
        <v>169357</v>
      </c>
      <c r="E70" s="43">
        <f t="shared" si="28"/>
        <v>-76.032286826053834</v>
      </c>
      <c r="F70" s="134">
        <v>6962</v>
      </c>
      <c r="G70" s="134">
        <v>74390</v>
      </c>
      <c r="H70" s="43">
        <f t="shared" si="29"/>
        <v>-90.641215217099074</v>
      </c>
      <c r="I70" s="134">
        <v>40687</v>
      </c>
      <c r="J70" s="134">
        <v>136969</v>
      </c>
      <c r="K70" s="43">
        <f t="shared" ref="K70:K78" si="31">I70/J70*100-100</f>
        <v>-70.294738225437868</v>
      </c>
      <c r="L70" s="134">
        <v>40687</v>
      </c>
      <c r="M70" s="134">
        <v>136969</v>
      </c>
      <c r="N70" s="43">
        <f t="shared" ref="N70:N78" si="32">L70/M70*100-100</f>
        <v>-70.294738225437868</v>
      </c>
      <c r="O70" s="45">
        <v>13</v>
      </c>
      <c r="P70" s="46">
        <v>55</v>
      </c>
      <c r="Q70" s="45">
        <v>13</v>
      </c>
      <c r="R70" s="44">
        <f t="shared" si="30"/>
        <v>715</v>
      </c>
    </row>
    <row r="71" spans="1:18" x14ac:dyDescent="0.25">
      <c r="A71" s="40">
        <v>3</v>
      </c>
      <c r="B71" s="41" t="s">
        <v>70</v>
      </c>
      <c r="C71" s="134">
        <f>Փետրվար!C71/1000</f>
        <v>0</v>
      </c>
      <c r="D71" s="134">
        <f>Փետրվար!D71/1000</f>
        <v>0</v>
      </c>
      <c r="E71" s="43">
        <v>0</v>
      </c>
      <c r="F71" s="134">
        <f>Փետրվար!F71/1000</f>
        <v>0</v>
      </c>
      <c r="G71" s="134">
        <f>Փետրվար!G71/1000</f>
        <v>0</v>
      </c>
      <c r="H71" s="43">
        <v>0</v>
      </c>
      <c r="I71" s="134">
        <f>Փետրվար!I71/1000</f>
        <v>0</v>
      </c>
      <c r="J71" s="134">
        <f>Փետրվար!J71/1000</f>
        <v>0</v>
      </c>
      <c r="K71" s="43" t="e">
        <f t="shared" si="31"/>
        <v>#DIV/0!</v>
      </c>
      <c r="L71" s="134">
        <f>Փետրվար!L71/1000</f>
        <v>0</v>
      </c>
      <c r="M71" s="134">
        <f>Փետրվար!M71/1000</f>
        <v>0</v>
      </c>
      <c r="N71" s="43">
        <v>0</v>
      </c>
      <c r="O71" s="45"/>
      <c r="P71" s="60">
        <v>71</v>
      </c>
      <c r="Q71" s="45">
        <v>37</v>
      </c>
      <c r="R71" s="44">
        <f t="shared" si="30"/>
        <v>0</v>
      </c>
    </row>
    <row r="72" spans="1:18" x14ac:dyDescent="0.25">
      <c r="A72" s="40">
        <v>4</v>
      </c>
      <c r="B72" s="41" t="s">
        <v>71</v>
      </c>
      <c r="C72" s="134">
        <v>3556</v>
      </c>
      <c r="D72" s="134">
        <v>16179</v>
      </c>
      <c r="E72" s="43">
        <f t="shared" si="28"/>
        <v>-78.020891278818226</v>
      </c>
      <c r="F72" s="134">
        <v>500</v>
      </c>
      <c r="G72" s="134">
        <v>527</v>
      </c>
      <c r="H72" s="43">
        <f t="shared" si="29"/>
        <v>-5.1233396584440243</v>
      </c>
      <c r="I72" s="134">
        <v>601</v>
      </c>
      <c r="J72" s="134">
        <v>25520</v>
      </c>
      <c r="K72" s="43">
        <f t="shared" si="31"/>
        <v>-97.644984326018815</v>
      </c>
      <c r="L72" s="134">
        <v>0</v>
      </c>
      <c r="M72" s="134">
        <v>22158</v>
      </c>
      <c r="N72" s="43">
        <v>0</v>
      </c>
      <c r="O72" s="45">
        <v>43</v>
      </c>
      <c r="P72" s="75">
        <v>50</v>
      </c>
      <c r="Q72" s="45">
        <v>41</v>
      </c>
      <c r="R72" s="44">
        <f t="shared" si="30"/>
        <v>2150</v>
      </c>
    </row>
    <row r="73" spans="1:18" x14ac:dyDescent="0.25">
      <c r="A73" s="40">
        <v>5</v>
      </c>
      <c r="B73" s="41" t="s">
        <v>72</v>
      </c>
      <c r="C73" s="134">
        <v>625</v>
      </c>
      <c r="D73" s="134">
        <v>325</v>
      </c>
      <c r="E73" s="43">
        <f t="shared" si="28"/>
        <v>92.307692307692321</v>
      </c>
      <c r="F73" s="134">
        <v>209</v>
      </c>
      <c r="G73" s="134">
        <v>125</v>
      </c>
      <c r="H73" s="43">
        <f t="shared" si="29"/>
        <v>67.199999999999989</v>
      </c>
      <c r="I73" s="134">
        <v>625</v>
      </c>
      <c r="J73" s="134">
        <v>325</v>
      </c>
      <c r="K73" s="43">
        <f t="shared" si="31"/>
        <v>92.307692307692321</v>
      </c>
      <c r="L73" s="134">
        <v>0</v>
      </c>
      <c r="M73" s="134">
        <v>0</v>
      </c>
      <c r="N73" s="43">
        <v>0</v>
      </c>
      <c r="O73" s="45">
        <v>63</v>
      </c>
      <c r="P73" s="60">
        <v>125</v>
      </c>
      <c r="Q73" s="45">
        <v>66</v>
      </c>
      <c r="R73" s="44">
        <f t="shared" si="30"/>
        <v>7875</v>
      </c>
    </row>
    <row r="74" spans="1:18" x14ac:dyDescent="0.25">
      <c r="A74" s="50">
        <v>6</v>
      </c>
      <c r="B74" s="41" t="s">
        <v>73</v>
      </c>
      <c r="C74" s="134">
        <v>0</v>
      </c>
      <c r="D74" s="134">
        <v>2175</v>
      </c>
      <c r="E74" s="54">
        <f t="shared" si="28"/>
        <v>-100</v>
      </c>
      <c r="F74" s="134">
        <v>0</v>
      </c>
      <c r="G74" s="134">
        <v>125</v>
      </c>
      <c r="H74" s="43">
        <v>0</v>
      </c>
      <c r="I74" s="134">
        <v>175</v>
      </c>
      <c r="J74" s="134">
        <v>20750</v>
      </c>
      <c r="K74" s="54">
        <f t="shared" si="31"/>
        <v>-99.156626506024097</v>
      </c>
      <c r="L74" s="134">
        <v>0</v>
      </c>
      <c r="M74" s="134">
        <v>28</v>
      </c>
      <c r="N74" s="43">
        <f t="shared" si="32"/>
        <v>-100</v>
      </c>
      <c r="O74" s="45">
        <v>6</v>
      </c>
      <c r="P74" s="60">
        <v>62</v>
      </c>
      <c r="Q74" s="45">
        <v>6</v>
      </c>
      <c r="R74" s="44">
        <f t="shared" si="30"/>
        <v>372</v>
      </c>
    </row>
    <row r="75" spans="1:18" x14ac:dyDescent="0.25">
      <c r="A75" s="40">
        <v>7</v>
      </c>
      <c r="B75" s="41" t="s">
        <v>74</v>
      </c>
      <c r="C75" s="134">
        <v>127490</v>
      </c>
      <c r="D75" s="134">
        <v>134757</v>
      </c>
      <c r="E75" s="43">
        <f t="shared" si="28"/>
        <v>-5.3926697685463409</v>
      </c>
      <c r="F75" s="134">
        <v>51319</v>
      </c>
      <c r="G75" s="134">
        <v>53700</v>
      </c>
      <c r="H75" s="43">
        <f t="shared" si="29"/>
        <v>-4.4338919925512101</v>
      </c>
      <c r="I75" s="134">
        <v>135965</v>
      </c>
      <c r="J75" s="134">
        <v>155849</v>
      </c>
      <c r="K75" s="43">
        <f t="shared" si="31"/>
        <v>-12.75850342318526</v>
      </c>
      <c r="L75" s="134">
        <f>20732+25502</f>
        <v>46234</v>
      </c>
      <c r="M75" s="134">
        <v>25674</v>
      </c>
      <c r="N75" s="43">
        <f t="shared" si="32"/>
        <v>80.081015813663612</v>
      </c>
      <c r="O75" s="45">
        <v>133</v>
      </c>
      <c r="P75" s="46">
        <v>200</v>
      </c>
      <c r="Q75" s="45">
        <v>131</v>
      </c>
      <c r="R75" s="44">
        <f t="shared" si="30"/>
        <v>26600</v>
      </c>
    </row>
    <row r="76" spans="1:18" x14ac:dyDescent="0.25">
      <c r="A76" s="40">
        <v>8</v>
      </c>
      <c r="B76" s="41" t="s">
        <v>75</v>
      </c>
      <c r="C76" s="134">
        <v>31848</v>
      </c>
      <c r="D76" s="134">
        <v>26269</v>
      </c>
      <c r="E76" s="54">
        <f t="shared" si="28"/>
        <v>21.237961094826602</v>
      </c>
      <c r="F76" s="134">
        <v>12192</v>
      </c>
      <c r="G76" s="134">
        <v>10885</v>
      </c>
      <c r="H76" s="43">
        <f t="shared" si="29"/>
        <v>12.00734956361967</v>
      </c>
      <c r="I76" s="134">
        <v>31848</v>
      </c>
      <c r="J76" s="134">
        <v>26269</v>
      </c>
      <c r="K76" s="54">
        <f t="shared" si="31"/>
        <v>21.237961094826602</v>
      </c>
      <c r="L76" s="134">
        <v>0</v>
      </c>
      <c r="M76" s="134">
        <v>1254</v>
      </c>
      <c r="N76" s="43">
        <v>0</v>
      </c>
      <c r="O76" s="45">
        <v>29</v>
      </c>
      <c r="P76" s="60">
        <v>40</v>
      </c>
      <c r="Q76" s="45">
        <v>29</v>
      </c>
      <c r="R76" s="44">
        <f t="shared" si="30"/>
        <v>1160</v>
      </c>
    </row>
    <row r="77" spans="1:18" x14ac:dyDescent="0.25">
      <c r="A77" s="203"/>
      <c r="B77" s="204" t="s">
        <v>77</v>
      </c>
      <c r="C77" s="206">
        <f>SUM(C69:C76)</f>
        <v>204664</v>
      </c>
      <c r="D77" s="206">
        <f>SUM(D69:D76)</f>
        <v>349962</v>
      </c>
      <c r="E77" s="57">
        <f t="shared" si="28"/>
        <v>-41.518221978386229</v>
      </c>
      <c r="F77" s="206">
        <f>SUM(F69:F76)</f>
        <v>71557</v>
      </c>
      <c r="G77" s="58">
        <f>SUM(G69:G76)</f>
        <v>139834</v>
      </c>
      <c r="H77" s="57">
        <f t="shared" si="29"/>
        <v>-48.82718080009154</v>
      </c>
      <c r="I77" s="206">
        <f>SUM(I69:I76)</f>
        <v>210455</v>
      </c>
      <c r="J77" s="206">
        <f>SUM(J69:J76)</f>
        <v>366582</v>
      </c>
      <c r="K77" s="57">
        <f t="shared" si="31"/>
        <v>-42.589925310026132</v>
      </c>
      <c r="L77" s="206">
        <f>SUM(L69:L76)</f>
        <v>86921</v>
      </c>
      <c r="M77" s="206">
        <f>SUM(M69:M76)</f>
        <v>186083</v>
      </c>
      <c r="N77" s="57">
        <f t="shared" si="32"/>
        <v>-53.2891236706201</v>
      </c>
      <c r="O77" s="56">
        <f>SUM(O69:O76)</f>
        <v>429</v>
      </c>
      <c r="P77" s="58">
        <f>R77/O77</f>
        <v>108.81585081585082</v>
      </c>
      <c r="Q77" s="56">
        <f>SUM(Q69:Q76)</f>
        <v>461</v>
      </c>
      <c r="R77" s="70">
        <f>SUM(R69:R76)</f>
        <v>46682</v>
      </c>
    </row>
    <row r="78" spans="1:18" x14ac:dyDescent="0.25">
      <c r="A78" s="905" t="s">
        <v>78</v>
      </c>
      <c r="B78" s="906" t="s">
        <v>78</v>
      </c>
      <c r="C78" s="210">
        <f>C54+C66+C77</f>
        <v>913955</v>
      </c>
      <c r="D78" s="210">
        <f>D54+D66+D77</f>
        <v>1297708</v>
      </c>
      <c r="E78" s="77">
        <f t="shared" si="28"/>
        <v>-29.571598541428429</v>
      </c>
      <c r="F78" s="78">
        <f>F54+F66+F77</f>
        <v>415557</v>
      </c>
      <c r="G78" s="78">
        <f>G54+G66+G77</f>
        <v>588737.30000000005</v>
      </c>
      <c r="H78" s="77">
        <f t="shared" si="29"/>
        <v>-29.415547477627129</v>
      </c>
      <c r="I78" s="210">
        <f>I54+I66+I77</f>
        <v>948219</v>
      </c>
      <c r="J78" s="210">
        <f>J54+J66+J77</f>
        <v>1299362</v>
      </c>
      <c r="K78" s="77">
        <f t="shared" si="31"/>
        <v>-27.0242626766059</v>
      </c>
      <c r="L78" s="210">
        <f>L54+L66+L77</f>
        <v>446698</v>
      </c>
      <c r="M78" s="210">
        <f>M54+M66+M77</f>
        <v>741498.1</v>
      </c>
      <c r="N78" s="77">
        <f t="shared" si="32"/>
        <v>-39.757364179355278</v>
      </c>
      <c r="O78" s="76">
        <f>O54+O66+O77</f>
        <v>1724</v>
      </c>
      <c r="P78" s="78">
        <f>R78/O78</f>
        <v>104.69199535962878</v>
      </c>
      <c r="Q78" s="76">
        <f>Q54+Q66+Q77</f>
        <v>1722</v>
      </c>
      <c r="R78" s="79">
        <f>R54+R66+R77</f>
        <v>180489</v>
      </c>
    </row>
    <row r="79" spans="1:18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45"/>
      <c r="R79" s="71"/>
    </row>
    <row r="80" spans="1:18" x14ac:dyDescent="0.25">
      <c r="A80" s="903" t="s">
        <v>79</v>
      </c>
      <c r="B80" s="904"/>
      <c r="C80" s="37">
        <v>3</v>
      </c>
      <c r="D80" s="37">
        <v>4</v>
      </c>
      <c r="E80" s="38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38">
        <v>16</v>
      </c>
      <c r="Q80" s="37">
        <v>15</v>
      </c>
      <c r="R80" s="39"/>
    </row>
    <row r="81" spans="1:18" x14ac:dyDescent="0.25">
      <c r="A81" s="80">
        <v>1</v>
      </c>
      <c r="B81" s="81" t="s">
        <v>80</v>
      </c>
      <c r="C81" s="134">
        <v>3443</v>
      </c>
      <c r="D81" s="134">
        <v>12564</v>
      </c>
      <c r="E81" s="43">
        <f t="shared" ref="E81:E92" si="33">C81/D81*100-100</f>
        <v>-72.596306908627824</v>
      </c>
      <c r="F81" s="134">
        <v>3443</v>
      </c>
      <c r="G81" s="134">
        <v>0</v>
      </c>
      <c r="H81" s="43" t="e">
        <f t="shared" ref="H81:H92" si="34">F81/G81*100-100</f>
        <v>#DIV/0!</v>
      </c>
      <c r="I81" s="134">
        <v>3443</v>
      </c>
      <c r="J81" s="134">
        <v>9991</v>
      </c>
      <c r="K81" s="43">
        <v>0</v>
      </c>
      <c r="L81" s="134">
        <v>0</v>
      </c>
      <c r="M81" s="134">
        <v>0</v>
      </c>
      <c r="N81" s="43">
        <v>0</v>
      </c>
      <c r="O81" s="45">
        <v>2501</v>
      </c>
      <c r="P81" s="49">
        <v>113</v>
      </c>
      <c r="Q81" s="45"/>
      <c r="R81" s="44">
        <f t="shared" ref="R81:R91" si="35">O81*P81</f>
        <v>282613</v>
      </c>
    </row>
    <row r="82" spans="1:18" x14ac:dyDescent="0.25">
      <c r="A82" s="82">
        <v>2</v>
      </c>
      <c r="B82" s="81" t="s">
        <v>81</v>
      </c>
      <c r="C82" s="134">
        <v>0</v>
      </c>
      <c r="D82" s="134">
        <v>197325</v>
      </c>
      <c r="E82" s="43">
        <f t="shared" si="33"/>
        <v>-100</v>
      </c>
      <c r="F82" s="134">
        <v>0</v>
      </c>
      <c r="G82" s="134">
        <v>53408</v>
      </c>
      <c r="H82" s="43">
        <f t="shared" si="34"/>
        <v>-100</v>
      </c>
      <c r="I82" s="134">
        <v>440</v>
      </c>
      <c r="J82" s="134">
        <v>232320</v>
      </c>
      <c r="K82" s="43">
        <f t="shared" ref="K82:K92" si="36">I82/J82*100-100</f>
        <v>-99.810606060606062</v>
      </c>
      <c r="L82" s="134">
        <v>0</v>
      </c>
      <c r="M82" s="134">
        <v>229122</v>
      </c>
      <c r="N82" s="43">
        <f t="shared" ref="N82:N92" si="37">L82/M82*100-100</f>
        <v>-100</v>
      </c>
      <c r="O82" s="45">
        <v>688</v>
      </c>
      <c r="P82" s="49">
        <v>115</v>
      </c>
      <c r="Q82" s="45">
        <v>693</v>
      </c>
      <c r="R82" s="44">
        <f t="shared" si="35"/>
        <v>79120</v>
      </c>
    </row>
    <row r="83" spans="1:18" x14ac:dyDescent="0.25">
      <c r="A83" s="80">
        <v>3</v>
      </c>
      <c r="B83" s="81" t="s">
        <v>82</v>
      </c>
      <c r="C83" s="134">
        <v>369220</v>
      </c>
      <c r="D83" s="134">
        <v>205741</v>
      </c>
      <c r="E83" s="43">
        <f t="shared" si="33"/>
        <v>79.458639746088522</v>
      </c>
      <c r="F83" s="134">
        <v>101166</v>
      </c>
      <c r="G83" s="134">
        <v>27100</v>
      </c>
      <c r="H83" s="43">
        <f t="shared" si="34"/>
        <v>273.30627306273061</v>
      </c>
      <c r="I83" s="134">
        <v>287019</v>
      </c>
      <c r="J83" s="134">
        <v>286390</v>
      </c>
      <c r="K83" s="43">
        <f t="shared" si="36"/>
        <v>0.21963057369320893</v>
      </c>
      <c r="L83" s="134">
        <v>72279</v>
      </c>
      <c r="M83" s="134">
        <v>82797</v>
      </c>
      <c r="N83" s="43">
        <f t="shared" si="37"/>
        <v>-12.703358817348459</v>
      </c>
      <c r="O83" s="45">
        <v>33</v>
      </c>
      <c r="P83" s="49">
        <v>306</v>
      </c>
      <c r="Q83" s="45">
        <v>33</v>
      </c>
      <c r="R83" s="44">
        <f t="shared" si="35"/>
        <v>10098</v>
      </c>
    </row>
    <row r="84" spans="1:18" x14ac:dyDescent="0.25">
      <c r="A84" s="82">
        <v>4</v>
      </c>
      <c r="B84" s="81" t="s">
        <v>83</v>
      </c>
      <c r="C84" s="134">
        <v>229129</v>
      </c>
      <c r="D84" s="134">
        <v>212638</v>
      </c>
      <c r="E84" s="43">
        <f t="shared" si="33"/>
        <v>7.7554341180786253</v>
      </c>
      <c r="F84" s="134">
        <v>99820</v>
      </c>
      <c r="G84" s="134">
        <v>85646</v>
      </c>
      <c r="H84" s="43">
        <f t="shared" si="34"/>
        <v>16.549517782500061</v>
      </c>
      <c r="I84" s="134">
        <v>227572</v>
      </c>
      <c r="J84" s="134">
        <v>198369</v>
      </c>
      <c r="K84" s="43">
        <f t="shared" si="36"/>
        <v>14.721554275113547</v>
      </c>
      <c r="L84" s="134">
        <v>155558</v>
      </c>
      <c r="M84" s="134">
        <v>119301</v>
      </c>
      <c r="N84" s="43">
        <f t="shared" si="37"/>
        <v>30.391195379753725</v>
      </c>
      <c r="O84" s="45">
        <v>174</v>
      </c>
      <c r="P84" s="49">
        <v>40</v>
      </c>
      <c r="Q84" s="45">
        <v>181</v>
      </c>
      <c r="R84" s="44">
        <f t="shared" si="35"/>
        <v>6960</v>
      </c>
    </row>
    <row r="85" spans="1:18" x14ac:dyDescent="0.25">
      <c r="A85" s="80">
        <v>5</v>
      </c>
      <c r="B85" s="81" t="s">
        <v>84</v>
      </c>
      <c r="C85" s="134">
        <v>75316</v>
      </c>
      <c r="D85" s="134">
        <v>90407</v>
      </c>
      <c r="E85" s="43">
        <f t="shared" si="33"/>
        <v>-16.692291526098643</v>
      </c>
      <c r="F85" s="134">
        <v>32100</v>
      </c>
      <c r="G85" s="134">
        <v>30629</v>
      </c>
      <c r="H85" s="43">
        <f t="shared" si="34"/>
        <v>4.8026380227888694</v>
      </c>
      <c r="I85" s="134">
        <v>64900</v>
      </c>
      <c r="J85" s="134">
        <v>90524</v>
      </c>
      <c r="K85" s="43">
        <f t="shared" si="36"/>
        <v>-28.306305510140959</v>
      </c>
      <c r="L85" s="134">
        <v>30769</v>
      </c>
      <c r="M85" s="134">
        <v>52487</v>
      </c>
      <c r="N85" s="43">
        <f t="shared" si="37"/>
        <v>-41.377864995141657</v>
      </c>
      <c r="O85" s="45">
        <v>89</v>
      </c>
      <c r="P85" s="60">
        <v>70</v>
      </c>
      <c r="Q85" s="45">
        <v>89</v>
      </c>
      <c r="R85" s="44">
        <f t="shared" si="35"/>
        <v>6230</v>
      </c>
    </row>
    <row r="86" spans="1:18" x14ac:dyDescent="0.25">
      <c r="A86" s="82">
        <v>6</v>
      </c>
      <c r="B86" s="81" t="s">
        <v>85</v>
      </c>
      <c r="C86" s="134">
        <v>0</v>
      </c>
      <c r="D86" s="134">
        <v>0</v>
      </c>
      <c r="E86" s="43">
        <v>0</v>
      </c>
      <c r="F86" s="134">
        <v>0</v>
      </c>
      <c r="G86" s="134">
        <v>0</v>
      </c>
      <c r="H86" s="43">
        <v>0</v>
      </c>
      <c r="I86" s="134">
        <v>0</v>
      </c>
      <c r="J86" s="134">
        <v>0</v>
      </c>
      <c r="K86" s="43">
        <v>0</v>
      </c>
      <c r="L86" s="134">
        <v>0</v>
      </c>
      <c r="M86" s="134">
        <v>0</v>
      </c>
      <c r="N86" s="43">
        <v>0</v>
      </c>
      <c r="O86" s="45"/>
      <c r="P86" s="46">
        <v>0</v>
      </c>
      <c r="Q86" s="45">
        <v>0</v>
      </c>
      <c r="R86" s="44">
        <f t="shared" si="35"/>
        <v>0</v>
      </c>
    </row>
    <row r="87" spans="1:18" x14ac:dyDescent="0.25">
      <c r="A87" s="82">
        <v>7</v>
      </c>
      <c r="B87" s="83" t="s">
        <v>86</v>
      </c>
      <c r="C87" s="134">
        <v>0</v>
      </c>
      <c r="D87" s="134">
        <v>0</v>
      </c>
      <c r="E87" s="43">
        <v>0</v>
      </c>
      <c r="F87" s="134">
        <v>0</v>
      </c>
      <c r="G87" s="134">
        <v>0</v>
      </c>
      <c r="H87" s="43">
        <v>0</v>
      </c>
      <c r="I87" s="134">
        <v>0</v>
      </c>
      <c r="J87" s="134">
        <v>0</v>
      </c>
      <c r="K87" s="43">
        <v>0</v>
      </c>
      <c r="L87" s="134">
        <v>0</v>
      </c>
      <c r="M87" s="134">
        <v>0</v>
      </c>
      <c r="N87" s="43">
        <v>0</v>
      </c>
      <c r="O87" s="45"/>
      <c r="P87" s="49"/>
      <c r="Q87" s="45"/>
      <c r="R87" s="44">
        <f t="shared" si="35"/>
        <v>0</v>
      </c>
    </row>
    <row r="88" spans="1:18" x14ac:dyDescent="0.25">
      <c r="A88" s="80">
        <v>8</v>
      </c>
      <c r="B88" s="81" t="s">
        <v>87</v>
      </c>
      <c r="C88" s="134">
        <v>460913</v>
      </c>
      <c r="D88" s="134">
        <v>322134</v>
      </c>
      <c r="E88" s="43">
        <f t="shared" si="33"/>
        <v>43.081140146647044</v>
      </c>
      <c r="F88" s="134">
        <v>258108</v>
      </c>
      <c r="G88" s="134">
        <v>151418</v>
      </c>
      <c r="H88" s="43">
        <f t="shared" si="34"/>
        <v>70.460579323462213</v>
      </c>
      <c r="I88" s="134">
        <v>455859</v>
      </c>
      <c r="J88" s="134">
        <v>320134</v>
      </c>
      <c r="K88" s="43">
        <f t="shared" si="36"/>
        <v>42.396309045587145</v>
      </c>
      <c r="L88" s="134">
        <f>123824+158992</f>
        <v>282816</v>
      </c>
      <c r="M88" s="134">
        <f>43615+132445</f>
        <v>176060</v>
      </c>
      <c r="N88" s="43">
        <f t="shared" si="37"/>
        <v>60.636146768147228</v>
      </c>
      <c r="O88" s="45">
        <v>107</v>
      </c>
      <c r="P88" s="49">
        <v>231</v>
      </c>
      <c r="Q88" s="45">
        <v>105</v>
      </c>
      <c r="R88" s="44">
        <f t="shared" si="35"/>
        <v>24717</v>
      </c>
    </row>
    <row r="89" spans="1:18" x14ac:dyDescent="0.25">
      <c r="A89" s="80">
        <v>9</v>
      </c>
      <c r="B89" s="81" t="s">
        <v>88</v>
      </c>
      <c r="C89" s="134"/>
      <c r="D89" s="134"/>
      <c r="E89" s="43" t="e">
        <f t="shared" si="33"/>
        <v>#DIV/0!</v>
      </c>
      <c r="F89" s="134"/>
      <c r="G89" s="134"/>
      <c r="H89" s="43" t="e">
        <f t="shared" si="34"/>
        <v>#DIV/0!</v>
      </c>
      <c r="I89" s="134"/>
      <c r="J89" s="134"/>
      <c r="K89" s="43" t="e">
        <f t="shared" si="36"/>
        <v>#DIV/0!</v>
      </c>
      <c r="L89" s="134"/>
      <c r="M89" s="134"/>
      <c r="N89" s="43" t="e">
        <f t="shared" si="37"/>
        <v>#DIV/0!</v>
      </c>
      <c r="O89" s="45"/>
      <c r="P89" s="49">
        <v>169</v>
      </c>
      <c r="Q89" s="45">
        <v>82</v>
      </c>
      <c r="R89" s="44">
        <f t="shared" si="35"/>
        <v>0</v>
      </c>
    </row>
    <row r="90" spans="1:18" x14ac:dyDescent="0.25">
      <c r="A90" s="80">
        <v>10</v>
      </c>
      <c r="B90" s="81" t="s">
        <v>89</v>
      </c>
      <c r="C90" s="134">
        <v>31751</v>
      </c>
      <c r="D90" s="134">
        <v>40286</v>
      </c>
      <c r="E90" s="43">
        <f t="shared" si="33"/>
        <v>-21.186019957305263</v>
      </c>
      <c r="F90" s="134">
        <v>9851</v>
      </c>
      <c r="G90" s="134">
        <v>13825</v>
      </c>
      <c r="H90" s="43">
        <f t="shared" si="34"/>
        <v>-28.745027124773955</v>
      </c>
      <c r="I90" s="134">
        <v>31751</v>
      </c>
      <c r="J90" s="134">
        <v>40286</v>
      </c>
      <c r="K90" s="43">
        <f t="shared" si="36"/>
        <v>-21.186019957305263</v>
      </c>
      <c r="L90" s="134">
        <f>7795+5230</f>
        <v>13025</v>
      </c>
      <c r="M90" s="134">
        <f>10440+5901</f>
        <v>16341</v>
      </c>
      <c r="N90" s="43">
        <f t="shared" si="37"/>
        <v>-20.292515757909555</v>
      </c>
      <c r="O90" s="45">
        <v>47</v>
      </c>
      <c r="P90" s="49"/>
      <c r="Q90" s="45"/>
      <c r="R90" s="44">
        <f t="shared" si="35"/>
        <v>0</v>
      </c>
    </row>
    <row r="91" spans="1:18" x14ac:dyDescent="0.25">
      <c r="A91" s="82">
        <v>11</v>
      </c>
      <c r="B91" s="81" t="s">
        <v>90</v>
      </c>
      <c r="C91" s="134">
        <v>93346</v>
      </c>
      <c r="D91" s="134">
        <v>90410</v>
      </c>
      <c r="E91" s="43">
        <f t="shared" si="33"/>
        <v>3.247428381816178</v>
      </c>
      <c r="F91" s="134">
        <v>35287</v>
      </c>
      <c r="G91" s="134">
        <v>34804</v>
      </c>
      <c r="H91" s="43">
        <f t="shared" si="34"/>
        <v>1.3877715205148746</v>
      </c>
      <c r="I91" s="134">
        <v>655230</v>
      </c>
      <c r="J91" s="134">
        <v>863451</v>
      </c>
      <c r="K91" s="43">
        <f t="shared" si="36"/>
        <v>-24.11497583533982</v>
      </c>
      <c r="L91" s="134">
        <v>24683</v>
      </c>
      <c r="M91" s="134">
        <f>40099+16802</f>
        <v>56901</v>
      </c>
      <c r="N91" s="43">
        <f t="shared" si="37"/>
        <v>-56.621149013198362</v>
      </c>
      <c r="O91" s="45">
        <v>50</v>
      </c>
      <c r="P91" s="49">
        <v>250</v>
      </c>
      <c r="Q91" s="45">
        <v>50</v>
      </c>
      <c r="R91" s="44">
        <f t="shared" si="35"/>
        <v>12500</v>
      </c>
    </row>
    <row r="92" spans="1:18" x14ac:dyDescent="0.25">
      <c r="A92" s="198"/>
      <c r="B92" s="198" t="s">
        <v>92</v>
      </c>
      <c r="C92" s="87">
        <f>SUM(C81:C91)</f>
        <v>1263118</v>
      </c>
      <c r="D92" s="87">
        <f>SUM(D81:D91)</f>
        <v>1171505</v>
      </c>
      <c r="E92" s="57">
        <f t="shared" si="33"/>
        <v>7.8201117366123043</v>
      </c>
      <c r="F92" s="87">
        <f>SUM(F81:F91)</f>
        <v>539775</v>
      </c>
      <c r="G92" s="87">
        <f>SUM(G81:G91)</f>
        <v>396830</v>
      </c>
      <c r="H92" s="57">
        <f t="shared" si="34"/>
        <v>36.021722148023088</v>
      </c>
      <c r="I92" s="87">
        <f>SUM(I81:I91)</f>
        <v>1726214</v>
      </c>
      <c r="J92" s="87">
        <f>SUM(J81:J91)</f>
        <v>2041465</v>
      </c>
      <c r="K92" s="57">
        <f t="shared" si="36"/>
        <v>-15.442390636136309</v>
      </c>
      <c r="L92" s="87">
        <f>SUM(L81:L91)</f>
        <v>579130</v>
      </c>
      <c r="M92" s="87">
        <f>SUM(M81:M91)</f>
        <v>733009</v>
      </c>
      <c r="N92" s="57">
        <f t="shared" si="37"/>
        <v>-20.99278453606982</v>
      </c>
      <c r="O92" s="56">
        <f>SUM(O81:O91)</f>
        <v>3689</v>
      </c>
      <c r="P92" s="58">
        <f>R92/O92</f>
        <v>114.45866088370832</v>
      </c>
      <c r="Q92" s="56">
        <f>SUM(Q81:Q91)</f>
        <v>1233</v>
      </c>
      <c r="R92" s="70">
        <f>SUM(R81:R91)</f>
        <v>422238</v>
      </c>
    </row>
    <row r="93" spans="1:18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45"/>
      <c r="R93" s="71"/>
    </row>
    <row r="94" spans="1:18" x14ac:dyDescent="0.25">
      <c r="A94" s="903" t="s">
        <v>93</v>
      </c>
      <c r="B94" s="904"/>
      <c r="C94" s="37">
        <v>3</v>
      </c>
      <c r="D94" s="37">
        <v>4</v>
      </c>
      <c r="E94" s="38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38">
        <v>16</v>
      </c>
      <c r="Q94" s="37">
        <v>15</v>
      </c>
      <c r="R94" s="39"/>
    </row>
    <row r="95" spans="1:18" x14ac:dyDescent="0.25">
      <c r="A95" s="88">
        <v>1</v>
      </c>
      <c r="B95" s="83" t="s">
        <v>94</v>
      </c>
      <c r="C95" s="134">
        <v>108957</v>
      </c>
      <c r="D95" s="134">
        <v>26760</v>
      </c>
      <c r="E95" s="43">
        <v>0</v>
      </c>
      <c r="F95" s="134">
        <v>7926</v>
      </c>
      <c r="G95" s="134">
        <v>26760</v>
      </c>
      <c r="H95" s="43">
        <v>0</v>
      </c>
      <c r="I95" s="134">
        <v>110041</v>
      </c>
      <c r="J95" s="134">
        <v>18133</v>
      </c>
      <c r="K95" s="54">
        <f t="shared" ref="K95:K122" si="38">I95/J95*100-100</f>
        <v>506.85490542105549</v>
      </c>
      <c r="L95" s="134">
        <v>102115</v>
      </c>
      <c r="M95" s="134">
        <v>18113</v>
      </c>
      <c r="N95" s="43">
        <f t="shared" ref="N95:N122" si="39">L95/M95*100-100</f>
        <v>463.76635565615857</v>
      </c>
      <c r="O95" s="89">
        <v>315</v>
      </c>
      <c r="P95" s="89">
        <v>102</v>
      </c>
      <c r="Q95" s="89">
        <v>315</v>
      </c>
      <c r="R95" s="44">
        <f t="shared" ref="R95:R121" si="40">O95*P95</f>
        <v>32130</v>
      </c>
    </row>
    <row r="96" spans="1:18" x14ac:dyDescent="0.25">
      <c r="A96" s="88">
        <v>2</v>
      </c>
      <c r="B96" s="83" t="s">
        <v>95</v>
      </c>
      <c r="C96" s="134">
        <v>0</v>
      </c>
      <c r="D96" s="134">
        <v>0</v>
      </c>
      <c r="E96" s="43">
        <v>0</v>
      </c>
      <c r="F96" s="134">
        <v>0</v>
      </c>
      <c r="G96" s="134">
        <v>0</v>
      </c>
      <c r="H96" s="43">
        <v>0</v>
      </c>
      <c r="I96" s="134">
        <v>0</v>
      </c>
      <c r="J96" s="134">
        <v>0</v>
      </c>
      <c r="K96" s="43">
        <v>0</v>
      </c>
      <c r="L96" s="134">
        <v>0</v>
      </c>
      <c r="M96" s="134">
        <v>0</v>
      </c>
      <c r="N96" s="43">
        <v>0</v>
      </c>
      <c r="O96" s="89"/>
      <c r="P96" s="89">
        <v>0</v>
      </c>
      <c r="Q96" s="89">
        <v>0</v>
      </c>
      <c r="R96" s="44">
        <f t="shared" si="40"/>
        <v>0</v>
      </c>
    </row>
    <row r="97" spans="1:19" x14ac:dyDescent="0.25">
      <c r="A97" s="88">
        <v>3</v>
      </c>
      <c r="B97" s="81" t="s">
        <v>96</v>
      </c>
      <c r="C97" s="134">
        <v>0</v>
      </c>
      <c r="D97" s="134">
        <v>0</v>
      </c>
      <c r="E97" s="43">
        <v>0</v>
      </c>
      <c r="F97" s="134">
        <v>0</v>
      </c>
      <c r="G97" s="134">
        <v>0</v>
      </c>
      <c r="H97" s="43">
        <v>0</v>
      </c>
      <c r="I97" s="134">
        <v>0</v>
      </c>
      <c r="J97" s="134">
        <v>0</v>
      </c>
      <c r="K97" s="43">
        <v>0</v>
      </c>
      <c r="L97" s="134">
        <v>0</v>
      </c>
      <c r="M97" s="134">
        <v>0</v>
      </c>
      <c r="N97" s="43">
        <v>0</v>
      </c>
      <c r="O97" s="89"/>
      <c r="P97" s="89">
        <v>0</v>
      </c>
      <c r="Q97" s="89">
        <v>0</v>
      </c>
      <c r="R97" s="192">
        <v>0</v>
      </c>
      <c r="S97" s="191"/>
    </row>
    <row r="98" spans="1:19" x14ac:dyDescent="0.25">
      <c r="A98" s="88">
        <v>4</v>
      </c>
      <c r="B98" s="81" t="s">
        <v>97</v>
      </c>
      <c r="C98" s="134">
        <v>12953</v>
      </c>
      <c r="D98" s="134">
        <v>0</v>
      </c>
      <c r="E98" s="43">
        <v>0</v>
      </c>
      <c r="F98" s="134">
        <v>4032</v>
      </c>
      <c r="G98" s="134">
        <v>0</v>
      </c>
      <c r="H98" s="43">
        <v>0</v>
      </c>
      <c r="I98" s="134">
        <v>473</v>
      </c>
      <c r="J98" s="134">
        <v>0</v>
      </c>
      <c r="K98" s="43">
        <v>0</v>
      </c>
      <c r="L98" s="134">
        <v>0</v>
      </c>
      <c r="M98" s="134">
        <v>0</v>
      </c>
      <c r="N98" s="43">
        <v>0</v>
      </c>
      <c r="O98" s="89">
        <v>29</v>
      </c>
      <c r="P98" s="89">
        <v>100</v>
      </c>
      <c r="Q98" s="89">
        <v>29</v>
      </c>
      <c r="R98" s="44">
        <f t="shared" si="40"/>
        <v>2900</v>
      </c>
    </row>
    <row r="99" spans="1:19" x14ac:dyDescent="0.25">
      <c r="A99" s="88">
        <v>5</v>
      </c>
      <c r="B99" s="83" t="s">
        <v>98</v>
      </c>
      <c r="C99" s="134">
        <v>147602</v>
      </c>
      <c r="D99" s="134">
        <v>213498</v>
      </c>
      <c r="E99" s="43">
        <f t="shared" ref="E99:E122" si="41">C99/D99*100-100</f>
        <v>-30.864926135139441</v>
      </c>
      <c r="F99" s="134">
        <v>62653</v>
      </c>
      <c r="G99" s="134">
        <v>96838</v>
      </c>
      <c r="H99" s="43">
        <f t="shared" ref="H99:H122" si="42">F99/G99*100-100</f>
        <v>-35.301224725830764</v>
      </c>
      <c r="I99" s="134">
        <v>168761</v>
      </c>
      <c r="J99" s="134">
        <v>156460</v>
      </c>
      <c r="K99" s="43">
        <f t="shared" si="38"/>
        <v>7.8620733733861528</v>
      </c>
      <c r="L99" s="134">
        <f>3169+165592</f>
        <v>168761</v>
      </c>
      <c r="M99" s="134">
        <v>156460</v>
      </c>
      <c r="N99" s="43">
        <f t="shared" si="39"/>
        <v>7.8620733733861528</v>
      </c>
      <c r="O99" s="89">
        <v>357</v>
      </c>
      <c r="P99" s="89">
        <v>52</v>
      </c>
      <c r="Q99" s="89">
        <v>401</v>
      </c>
      <c r="R99" s="44">
        <f t="shared" si="40"/>
        <v>18564</v>
      </c>
    </row>
    <row r="100" spans="1:19" x14ac:dyDescent="0.25">
      <c r="A100" s="88">
        <v>6</v>
      </c>
      <c r="B100" s="83" t="s">
        <v>99</v>
      </c>
      <c r="C100" s="134">
        <v>0</v>
      </c>
      <c r="D100" s="134">
        <v>0</v>
      </c>
      <c r="E100" s="43">
        <v>0</v>
      </c>
      <c r="F100" s="134">
        <v>0</v>
      </c>
      <c r="G100" s="134">
        <v>0</v>
      </c>
      <c r="H100" s="43">
        <v>0</v>
      </c>
      <c r="I100" s="134">
        <v>0</v>
      </c>
      <c r="J100" s="134">
        <v>0</v>
      </c>
      <c r="K100" s="43">
        <v>0</v>
      </c>
      <c r="L100" s="134">
        <v>0</v>
      </c>
      <c r="M100" s="134">
        <v>0</v>
      </c>
      <c r="N100" s="43">
        <v>0</v>
      </c>
      <c r="O100" s="89"/>
      <c r="P100" s="89">
        <v>0</v>
      </c>
      <c r="Q100" s="89">
        <v>0</v>
      </c>
      <c r="R100" s="44">
        <f t="shared" si="40"/>
        <v>0</v>
      </c>
    </row>
    <row r="101" spans="1:19" x14ac:dyDescent="0.25">
      <c r="A101" s="88">
        <v>7</v>
      </c>
      <c r="B101" s="81" t="s">
        <v>100</v>
      </c>
      <c r="C101" s="134">
        <v>0</v>
      </c>
      <c r="D101" s="134">
        <v>0</v>
      </c>
      <c r="E101" s="43">
        <v>0</v>
      </c>
      <c r="F101" s="134">
        <v>0</v>
      </c>
      <c r="G101" s="134">
        <v>0</v>
      </c>
      <c r="H101" s="43">
        <v>0</v>
      </c>
      <c r="I101" s="134">
        <v>0</v>
      </c>
      <c r="J101" s="134">
        <v>0</v>
      </c>
      <c r="K101" s="43">
        <v>0</v>
      </c>
      <c r="L101" s="134">
        <v>0</v>
      </c>
      <c r="M101" s="134">
        <v>0</v>
      </c>
      <c r="N101" s="43">
        <v>0</v>
      </c>
      <c r="O101" s="89"/>
      <c r="P101" s="89">
        <v>0</v>
      </c>
      <c r="Q101" s="89">
        <v>0</v>
      </c>
      <c r="R101" s="44">
        <f t="shared" si="40"/>
        <v>0</v>
      </c>
    </row>
    <row r="102" spans="1:19" x14ac:dyDescent="0.25">
      <c r="A102" s="88">
        <v>8</v>
      </c>
      <c r="B102" s="83" t="s">
        <v>101</v>
      </c>
      <c r="C102" s="134">
        <v>43743</v>
      </c>
      <c r="D102" s="134">
        <v>129847</v>
      </c>
      <c r="E102" s="43">
        <f t="shared" si="41"/>
        <v>-66.311890147635296</v>
      </c>
      <c r="F102" s="134">
        <v>15183</v>
      </c>
      <c r="G102" s="134">
        <v>37630</v>
      </c>
      <c r="H102" s="43">
        <f t="shared" si="42"/>
        <v>-59.651873505182031</v>
      </c>
      <c r="I102" s="134">
        <v>45373</v>
      </c>
      <c r="J102" s="134">
        <v>137158</v>
      </c>
      <c r="K102" s="43">
        <f t="shared" si="38"/>
        <v>-66.919173507925166</v>
      </c>
      <c r="L102" s="134">
        <v>0</v>
      </c>
      <c r="M102" s="134">
        <v>0</v>
      </c>
      <c r="N102" s="54" t="e">
        <f t="shared" si="39"/>
        <v>#DIV/0!</v>
      </c>
      <c r="O102" s="89">
        <v>109</v>
      </c>
      <c r="P102" s="89">
        <v>74</v>
      </c>
      <c r="Q102" s="89">
        <v>109</v>
      </c>
      <c r="R102" s="44">
        <f t="shared" si="40"/>
        <v>8066</v>
      </c>
    </row>
    <row r="103" spans="1:19" x14ac:dyDescent="0.25">
      <c r="A103" s="88">
        <v>9</v>
      </c>
      <c r="B103" s="83" t="s">
        <v>102</v>
      </c>
      <c r="C103" s="134">
        <v>0</v>
      </c>
      <c r="D103" s="134">
        <v>0</v>
      </c>
      <c r="E103" s="43">
        <v>0</v>
      </c>
      <c r="F103" s="134">
        <v>0</v>
      </c>
      <c r="G103" s="134">
        <v>0</v>
      </c>
      <c r="H103" s="43">
        <v>0</v>
      </c>
      <c r="I103" s="134">
        <v>0</v>
      </c>
      <c r="J103" s="134">
        <v>0</v>
      </c>
      <c r="K103" s="43">
        <v>0</v>
      </c>
      <c r="L103" s="134">
        <v>0</v>
      </c>
      <c r="M103" s="134">
        <v>0</v>
      </c>
      <c r="N103" s="43">
        <v>0</v>
      </c>
      <c r="O103" s="89"/>
      <c r="P103" s="89">
        <v>0</v>
      </c>
      <c r="Q103" s="89">
        <v>0</v>
      </c>
      <c r="R103" s="44">
        <f t="shared" si="40"/>
        <v>0</v>
      </c>
    </row>
    <row r="104" spans="1:19" x14ac:dyDescent="0.25">
      <c r="A104" s="88">
        <v>10</v>
      </c>
      <c r="B104" s="81" t="s">
        <v>103</v>
      </c>
      <c r="C104" s="134">
        <v>19223</v>
      </c>
      <c r="D104" s="134">
        <v>34883</v>
      </c>
      <c r="E104" s="43">
        <f t="shared" si="41"/>
        <v>-44.892927787174266</v>
      </c>
      <c r="F104" s="134">
        <v>19223</v>
      </c>
      <c r="G104" s="134">
        <v>10661</v>
      </c>
      <c r="H104" s="43">
        <v>0</v>
      </c>
      <c r="I104" s="134">
        <v>19223</v>
      </c>
      <c r="J104" s="134">
        <v>34883</v>
      </c>
      <c r="K104" s="43">
        <f t="shared" si="38"/>
        <v>-44.892927787174266</v>
      </c>
      <c r="L104" s="134">
        <v>19223</v>
      </c>
      <c r="M104" s="134">
        <v>10661</v>
      </c>
      <c r="N104" s="43">
        <f t="shared" si="39"/>
        <v>80.311415439452219</v>
      </c>
      <c r="O104" s="89">
        <v>84</v>
      </c>
      <c r="P104" s="89">
        <v>65</v>
      </c>
      <c r="Q104" s="89">
        <v>89</v>
      </c>
      <c r="R104" s="44">
        <f t="shared" si="40"/>
        <v>5460</v>
      </c>
    </row>
    <row r="105" spans="1:19" x14ac:dyDescent="0.25">
      <c r="A105" s="88">
        <v>11</v>
      </c>
      <c r="B105" s="83" t="s">
        <v>104</v>
      </c>
      <c r="C105" s="134">
        <v>0</v>
      </c>
      <c r="D105" s="134">
        <v>0</v>
      </c>
      <c r="E105" s="43">
        <v>0</v>
      </c>
      <c r="F105" s="134">
        <v>0</v>
      </c>
      <c r="G105" s="134">
        <v>0</v>
      </c>
      <c r="H105" s="43">
        <v>0</v>
      </c>
      <c r="I105" s="134">
        <v>0</v>
      </c>
      <c r="J105" s="134">
        <v>0</v>
      </c>
      <c r="K105" s="43">
        <v>0</v>
      </c>
      <c r="L105" s="134">
        <v>0</v>
      </c>
      <c r="M105" s="134">
        <v>0</v>
      </c>
      <c r="N105" s="43">
        <v>0</v>
      </c>
      <c r="O105" s="89"/>
      <c r="P105" s="89">
        <v>0</v>
      </c>
      <c r="Q105" s="89">
        <v>0</v>
      </c>
      <c r="R105" s="44">
        <f t="shared" si="40"/>
        <v>0</v>
      </c>
    </row>
    <row r="106" spans="1:19" x14ac:dyDescent="0.25">
      <c r="A106" s="88">
        <v>12</v>
      </c>
      <c r="B106" s="83" t="s">
        <v>105</v>
      </c>
      <c r="C106" s="134">
        <v>0</v>
      </c>
      <c r="D106" s="134">
        <v>12730</v>
      </c>
      <c r="E106" s="43">
        <f t="shared" si="41"/>
        <v>-100</v>
      </c>
      <c r="F106" s="134">
        <v>0</v>
      </c>
      <c r="G106" s="134">
        <v>8500</v>
      </c>
      <c r="H106" s="43">
        <v>0</v>
      </c>
      <c r="I106" s="134">
        <v>0</v>
      </c>
      <c r="J106" s="134">
        <v>0</v>
      </c>
      <c r="K106" s="43">
        <v>0</v>
      </c>
      <c r="L106" s="134">
        <v>0</v>
      </c>
      <c r="M106" s="134">
        <v>0</v>
      </c>
      <c r="N106" s="43">
        <v>0</v>
      </c>
      <c r="O106" s="89">
        <v>8</v>
      </c>
      <c r="P106" s="89">
        <v>58</v>
      </c>
      <c r="Q106" s="89">
        <v>8</v>
      </c>
      <c r="R106" s="44">
        <f t="shared" si="40"/>
        <v>464</v>
      </c>
    </row>
    <row r="107" spans="1:19" x14ac:dyDescent="0.25">
      <c r="A107" s="88">
        <v>13</v>
      </c>
      <c r="B107" s="83" t="s">
        <v>106</v>
      </c>
      <c r="C107" s="134">
        <v>6733</v>
      </c>
      <c r="D107" s="134">
        <v>2699</v>
      </c>
      <c r="E107" s="43">
        <f t="shared" si="41"/>
        <v>149.46276398666174</v>
      </c>
      <c r="F107" s="134">
        <v>0</v>
      </c>
      <c r="G107" s="134">
        <v>2699</v>
      </c>
      <c r="H107" s="43">
        <v>0</v>
      </c>
      <c r="I107" s="134">
        <v>17510</v>
      </c>
      <c r="J107" s="134">
        <v>3612</v>
      </c>
      <c r="K107" s="92">
        <f t="shared" si="38"/>
        <v>384.77297895902547</v>
      </c>
      <c r="L107" s="134">
        <v>16736</v>
      </c>
      <c r="M107" s="134">
        <v>0</v>
      </c>
      <c r="N107" s="43">
        <v>0</v>
      </c>
      <c r="O107" s="90">
        <v>81</v>
      </c>
      <c r="P107" s="90">
        <v>76</v>
      </c>
      <c r="Q107" s="90">
        <v>74</v>
      </c>
      <c r="R107" s="44">
        <f t="shared" si="40"/>
        <v>6156</v>
      </c>
    </row>
    <row r="108" spans="1:19" x14ac:dyDescent="0.25">
      <c r="A108" s="88">
        <v>14</v>
      </c>
      <c r="B108" s="83" t="s">
        <v>107</v>
      </c>
      <c r="C108" s="134">
        <v>0</v>
      </c>
      <c r="D108" s="134">
        <v>0</v>
      </c>
      <c r="E108" s="43">
        <v>0</v>
      </c>
      <c r="F108" s="134">
        <v>0</v>
      </c>
      <c r="G108" s="134">
        <v>0</v>
      </c>
      <c r="H108" s="43">
        <v>0</v>
      </c>
      <c r="I108" s="134">
        <v>0</v>
      </c>
      <c r="J108" s="134">
        <v>0</v>
      </c>
      <c r="K108" s="43">
        <v>0</v>
      </c>
      <c r="L108" s="134">
        <v>0</v>
      </c>
      <c r="M108" s="134">
        <v>0</v>
      </c>
      <c r="N108" s="43">
        <v>0</v>
      </c>
      <c r="O108" s="89"/>
      <c r="P108" s="89">
        <v>0</v>
      </c>
      <c r="Q108" s="89">
        <v>0</v>
      </c>
      <c r="R108" s="44">
        <f t="shared" si="40"/>
        <v>0</v>
      </c>
    </row>
    <row r="109" spans="1:19" x14ac:dyDescent="0.25">
      <c r="A109" s="88">
        <v>15</v>
      </c>
      <c r="B109" s="83" t="s">
        <v>108</v>
      </c>
      <c r="C109" s="134">
        <v>44363</v>
      </c>
      <c r="D109" s="134">
        <v>51359</v>
      </c>
      <c r="E109" s="43">
        <f t="shared" si="41"/>
        <v>-13.621760548297274</v>
      </c>
      <c r="F109" s="134">
        <v>14990</v>
      </c>
      <c r="G109" s="134">
        <v>24510</v>
      </c>
      <c r="H109" s="43">
        <f t="shared" si="42"/>
        <v>-38.841289269685845</v>
      </c>
      <c r="I109" s="134">
        <v>44363</v>
      </c>
      <c r="J109" s="134">
        <v>51359</v>
      </c>
      <c r="K109" s="43">
        <v>0</v>
      </c>
      <c r="L109" s="134">
        <v>44363</v>
      </c>
      <c r="M109" s="134">
        <v>51359</v>
      </c>
      <c r="N109" s="43">
        <f t="shared" si="39"/>
        <v>-13.621760548297274</v>
      </c>
      <c r="O109" s="89">
        <v>85</v>
      </c>
      <c r="P109" s="89">
        <v>95</v>
      </c>
      <c r="Q109" s="89">
        <v>87</v>
      </c>
      <c r="R109" s="44">
        <f t="shared" si="40"/>
        <v>8075</v>
      </c>
    </row>
    <row r="110" spans="1:19" x14ac:dyDescent="0.25">
      <c r="A110" s="88">
        <v>16</v>
      </c>
      <c r="B110" s="83" t="s">
        <v>109</v>
      </c>
      <c r="C110" s="134">
        <v>39030</v>
      </c>
      <c r="D110" s="134">
        <v>27555</v>
      </c>
      <c r="E110" s="43">
        <f t="shared" si="41"/>
        <v>41.64398475775721</v>
      </c>
      <c r="F110" s="134">
        <v>22768</v>
      </c>
      <c r="G110" s="134">
        <v>27419</v>
      </c>
      <c r="H110" s="43">
        <f t="shared" si="42"/>
        <v>-16.962690105401364</v>
      </c>
      <c r="I110" s="134">
        <v>38402</v>
      </c>
      <c r="J110" s="134">
        <v>94733</v>
      </c>
      <c r="K110" s="43">
        <f t="shared" si="38"/>
        <v>-59.462911551412915</v>
      </c>
      <c r="L110" s="134">
        <v>0</v>
      </c>
      <c r="M110" s="134">
        <v>0</v>
      </c>
      <c r="N110" s="43">
        <v>0</v>
      </c>
      <c r="O110" s="89">
        <v>63</v>
      </c>
      <c r="P110" s="89">
        <v>65</v>
      </c>
      <c r="Q110" s="89">
        <v>44</v>
      </c>
      <c r="R110" s="44">
        <f t="shared" si="40"/>
        <v>4095</v>
      </c>
    </row>
    <row r="111" spans="1:19" x14ac:dyDescent="0.25">
      <c r="A111" s="88">
        <v>17</v>
      </c>
      <c r="B111" s="83" t="s">
        <v>110</v>
      </c>
      <c r="C111" s="134">
        <v>118176</v>
      </c>
      <c r="D111" s="134">
        <v>144068</v>
      </c>
      <c r="E111" s="43">
        <f t="shared" si="41"/>
        <v>-17.972068745314715</v>
      </c>
      <c r="F111" s="134">
        <v>37984</v>
      </c>
      <c r="G111" s="134">
        <v>54418</v>
      </c>
      <c r="H111" s="43">
        <f t="shared" si="42"/>
        <v>-30.199566319967659</v>
      </c>
      <c r="I111" s="134">
        <v>16999</v>
      </c>
      <c r="J111" s="134">
        <v>59025</v>
      </c>
      <c r="K111" s="43">
        <f t="shared" si="38"/>
        <v>-71.200338839474796</v>
      </c>
      <c r="L111" s="134">
        <v>0</v>
      </c>
      <c r="M111" s="134">
        <v>0</v>
      </c>
      <c r="N111" s="90">
        <v>0</v>
      </c>
      <c r="O111" s="89">
        <v>167</v>
      </c>
      <c r="P111" s="89">
        <v>85</v>
      </c>
      <c r="Q111" s="89">
        <v>168</v>
      </c>
      <c r="R111" s="44">
        <f t="shared" si="40"/>
        <v>14195</v>
      </c>
    </row>
    <row r="112" spans="1:19" ht="27" x14ac:dyDescent="0.25">
      <c r="A112" s="185">
        <v>18</v>
      </c>
      <c r="B112" s="184" t="s">
        <v>258</v>
      </c>
      <c r="C112" s="129">
        <v>378966</v>
      </c>
      <c r="D112" s="129">
        <v>0</v>
      </c>
      <c r="E112" s="43">
        <v>0</v>
      </c>
      <c r="F112" s="129">
        <v>147768</v>
      </c>
      <c r="G112" s="129">
        <v>0</v>
      </c>
      <c r="H112" s="43">
        <v>0</v>
      </c>
      <c r="I112" s="129">
        <v>378966</v>
      </c>
      <c r="J112" s="129">
        <v>0</v>
      </c>
      <c r="K112" s="43">
        <v>0</v>
      </c>
      <c r="L112" s="129">
        <v>378966</v>
      </c>
      <c r="M112" s="129">
        <v>0</v>
      </c>
      <c r="N112" s="43">
        <v>0</v>
      </c>
      <c r="O112" s="125">
        <v>820</v>
      </c>
      <c r="P112" s="125">
        <v>75</v>
      </c>
      <c r="Q112" s="125">
        <v>830</v>
      </c>
      <c r="R112" s="44">
        <f t="shared" si="40"/>
        <v>61500</v>
      </c>
    </row>
    <row r="113" spans="1:18" x14ac:dyDescent="0.25">
      <c r="A113" s="88">
        <v>19</v>
      </c>
      <c r="B113" s="83" t="s">
        <v>112</v>
      </c>
      <c r="C113" s="134">
        <v>0</v>
      </c>
      <c r="D113" s="134">
        <v>0</v>
      </c>
      <c r="E113" s="43">
        <v>0</v>
      </c>
      <c r="F113" s="134">
        <v>0</v>
      </c>
      <c r="G113" s="134">
        <v>0</v>
      </c>
      <c r="H113" s="43">
        <v>0</v>
      </c>
      <c r="I113" s="134">
        <v>0</v>
      </c>
      <c r="J113" s="134">
        <v>0</v>
      </c>
      <c r="K113" s="43">
        <v>0</v>
      </c>
      <c r="L113" s="134">
        <v>0</v>
      </c>
      <c r="M113" s="134">
        <v>0</v>
      </c>
      <c r="N113" s="43">
        <v>0</v>
      </c>
      <c r="O113" s="90"/>
      <c r="P113" s="90">
        <v>0</v>
      </c>
      <c r="Q113" s="90">
        <v>0</v>
      </c>
      <c r="R113" s="44">
        <f t="shared" si="40"/>
        <v>0</v>
      </c>
    </row>
    <row r="114" spans="1:18" x14ac:dyDescent="0.25">
      <c r="A114" s="88">
        <v>20</v>
      </c>
      <c r="B114" s="83" t="s">
        <v>113</v>
      </c>
      <c r="C114" s="134">
        <v>0</v>
      </c>
      <c r="D114" s="134">
        <v>0</v>
      </c>
      <c r="E114" s="43">
        <v>0</v>
      </c>
      <c r="F114" s="134">
        <v>0</v>
      </c>
      <c r="G114" s="134">
        <v>0</v>
      </c>
      <c r="H114" s="43">
        <v>0</v>
      </c>
      <c r="I114" s="134">
        <v>0</v>
      </c>
      <c r="J114" s="134">
        <v>0</v>
      </c>
      <c r="K114" s="43">
        <v>0</v>
      </c>
      <c r="L114" s="134">
        <v>0</v>
      </c>
      <c r="M114" s="134">
        <v>0</v>
      </c>
      <c r="N114" s="43">
        <v>0</v>
      </c>
      <c r="O114" s="90"/>
      <c r="P114" s="90">
        <v>0</v>
      </c>
      <c r="Q114" s="90">
        <v>0</v>
      </c>
      <c r="R114" s="44">
        <f t="shared" si="40"/>
        <v>0</v>
      </c>
    </row>
    <row r="115" spans="1:18" x14ac:dyDescent="0.25">
      <c r="A115" s="88">
        <v>21</v>
      </c>
      <c r="B115" s="83" t="s">
        <v>114</v>
      </c>
      <c r="C115" s="134">
        <v>15984</v>
      </c>
      <c r="D115" s="134">
        <v>13988</v>
      </c>
      <c r="E115" s="43">
        <f t="shared" si="41"/>
        <v>14.269373748927649</v>
      </c>
      <c r="F115" s="134">
        <v>7310</v>
      </c>
      <c r="G115" s="134">
        <v>5519</v>
      </c>
      <c r="H115" s="43">
        <f t="shared" si="42"/>
        <v>32.451531074470012</v>
      </c>
      <c r="I115" s="134">
        <v>15984</v>
      </c>
      <c r="J115" s="134">
        <v>13988</v>
      </c>
      <c r="K115" s="43">
        <f t="shared" si="38"/>
        <v>14.269373748927649</v>
      </c>
      <c r="L115" s="134">
        <v>15647</v>
      </c>
      <c r="M115" s="134">
        <v>13134</v>
      </c>
      <c r="N115" s="43">
        <f t="shared" si="39"/>
        <v>19.133546520481204</v>
      </c>
      <c r="O115" s="90">
        <v>14</v>
      </c>
      <c r="P115" s="90">
        <v>68</v>
      </c>
      <c r="Q115" s="90">
        <v>15</v>
      </c>
      <c r="R115" s="44">
        <f t="shared" si="40"/>
        <v>952</v>
      </c>
    </row>
    <row r="116" spans="1:18" x14ac:dyDescent="0.25">
      <c r="A116" s="88">
        <v>22</v>
      </c>
      <c r="B116" s="81" t="s">
        <v>115</v>
      </c>
      <c r="C116" s="134">
        <v>2940</v>
      </c>
      <c r="D116" s="134">
        <v>4490</v>
      </c>
      <c r="E116" s="43">
        <f t="shared" si="41"/>
        <v>-34.521158129175944</v>
      </c>
      <c r="F116" s="134">
        <v>2940</v>
      </c>
      <c r="G116" s="134">
        <v>2240</v>
      </c>
      <c r="H116" s="43">
        <f t="shared" si="42"/>
        <v>31.25</v>
      </c>
      <c r="I116" s="134">
        <v>10141</v>
      </c>
      <c r="J116" s="134">
        <v>8681</v>
      </c>
      <c r="K116" s="43">
        <f t="shared" si="38"/>
        <v>16.818338901048264</v>
      </c>
      <c r="L116" s="134">
        <v>0</v>
      </c>
      <c r="M116" s="134">
        <v>0</v>
      </c>
      <c r="N116" s="43">
        <v>0</v>
      </c>
      <c r="O116" s="90">
        <v>13</v>
      </c>
      <c r="P116" s="90">
        <v>95</v>
      </c>
      <c r="Q116" s="90">
        <v>12</v>
      </c>
      <c r="R116" s="44">
        <f t="shared" si="40"/>
        <v>1235</v>
      </c>
    </row>
    <row r="117" spans="1:18" x14ac:dyDescent="0.25">
      <c r="A117" s="88">
        <v>23</v>
      </c>
      <c r="B117" s="81" t="s">
        <v>116</v>
      </c>
      <c r="C117" s="134">
        <v>33711</v>
      </c>
      <c r="D117" s="134">
        <v>24819</v>
      </c>
      <c r="E117" s="43">
        <f t="shared" si="41"/>
        <v>35.827390305814106</v>
      </c>
      <c r="F117" s="134">
        <v>15524</v>
      </c>
      <c r="G117" s="134">
        <v>7870</v>
      </c>
      <c r="H117" s="43">
        <f t="shared" si="42"/>
        <v>97.255400254129597</v>
      </c>
      <c r="I117" s="134">
        <v>32518</v>
      </c>
      <c r="J117" s="134">
        <v>25234</v>
      </c>
      <c r="K117" s="43">
        <v>0</v>
      </c>
      <c r="L117" s="134">
        <v>0</v>
      </c>
      <c r="M117" s="134">
        <v>0</v>
      </c>
      <c r="N117" s="43">
        <v>0</v>
      </c>
      <c r="O117" s="90">
        <v>20</v>
      </c>
      <c r="P117" s="90">
        <v>70</v>
      </c>
      <c r="Q117" s="90">
        <v>16</v>
      </c>
      <c r="R117" s="44">
        <f t="shared" si="40"/>
        <v>1400</v>
      </c>
    </row>
    <row r="118" spans="1:18" x14ac:dyDescent="0.25">
      <c r="A118" s="88">
        <v>24</v>
      </c>
      <c r="B118" s="83" t="s">
        <v>117</v>
      </c>
      <c r="C118" s="134">
        <v>19279</v>
      </c>
      <c r="D118" s="134">
        <v>16993</v>
      </c>
      <c r="E118" s="43">
        <f t="shared" si="41"/>
        <v>13.452598128641213</v>
      </c>
      <c r="F118" s="134">
        <v>2394</v>
      </c>
      <c r="G118" s="134">
        <v>5139</v>
      </c>
      <c r="H118" s="43">
        <f t="shared" si="42"/>
        <v>-53.415061295971981</v>
      </c>
      <c r="I118" s="134">
        <v>6775</v>
      </c>
      <c r="J118" s="134">
        <v>26654</v>
      </c>
      <c r="K118" s="43">
        <f t="shared" si="38"/>
        <v>-74.581676296240715</v>
      </c>
      <c r="L118" s="134">
        <v>0</v>
      </c>
      <c r="M118" s="134">
        <v>0</v>
      </c>
      <c r="N118" s="43">
        <v>0</v>
      </c>
      <c r="O118" s="90">
        <v>49</v>
      </c>
      <c r="P118" s="90">
        <v>62</v>
      </c>
      <c r="Q118" s="90">
        <v>48</v>
      </c>
      <c r="R118" s="44">
        <f t="shared" si="40"/>
        <v>3038</v>
      </c>
    </row>
    <row r="119" spans="1:18" x14ac:dyDescent="0.25">
      <c r="A119" s="88">
        <v>25</v>
      </c>
      <c r="B119" s="83" t="s">
        <v>118</v>
      </c>
      <c r="C119" s="134">
        <v>5459</v>
      </c>
      <c r="D119" s="134">
        <v>3158</v>
      </c>
      <c r="E119" s="43">
        <f t="shared" si="41"/>
        <v>72.862571247625084</v>
      </c>
      <c r="F119" s="134">
        <v>2395</v>
      </c>
      <c r="G119" s="134">
        <v>1061</v>
      </c>
      <c r="H119" s="43">
        <f t="shared" si="42"/>
        <v>125.73044297832232</v>
      </c>
      <c r="I119" s="134">
        <v>5540</v>
      </c>
      <c r="J119" s="134">
        <v>3208</v>
      </c>
      <c r="K119" s="43">
        <f t="shared" si="38"/>
        <v>72.693266832917715</v>
      </c>
      <c r="L119" s="134">
        <v>0</v>
      </c>
      <c r="M119" s="134">
        <v>0</v>
      </c>
      <c r="N119" s="43">
        <v>0</v>
      </c>
      <c r="O119" s="90">
        <v>22</v>
      </c>
      <c r="P119" s="90">
        <v>45</v>
      </c>
      <c r="Q119" s="90">
        <v>23</v>
      </c>
      <c r="R119" s="44">
        <f t="shared" si="40"/>
        <v>990</v>
      </c>
    </row>
    <row r="120" spans="1:18" x14ac:dyDescent="0.25">
      <c r="A120" s="88">
        <v>26</v>
      </c>
      <c r="B120" s="182" t="s">
        <v>228</v>
      </c>
      <c r="C120" s="134">
        <v>5978</v>
      </c>
      <c r="D120" s="134">
        <v>2839</v>
      </c>
      <c r="E120" s="43">
        <f t="shared" si="41"/>
        <v>110.56710109193381</v>
      </c>
      <c r="F120" s="134">
        <v>2303</v>
      </c>
      <c r="G120" s="134">
        <v>2839</v>
      </c>
      <c r="H120" s="43">
        <f t="shared" si="42"/>
        <v>-18.87988728425502</v>
      </c>
      <c r="I120" s="134">
        <v>3008</v>
      </c>
      <c r="J120" s="134">
        <v>4672</v>
      </c>
      <c r="K120" s="43">
        <f t="shared" si="38"/>
        <v>-35.61643835616438</v>
      </c>
      <c r="L120" s="134">
        <v>0</v>
      </c>
      <c r="M120" s="134">
        <v>0</v>
      </c>
      <c r="N120" s="43">
        <v>0</v>
      </c>
      <c r="O120" s="90">
        <v>19</v>
      </c>
      <c r="P120" s="90"/>
      <c r="Q120" s="90"/>
      <c r="R120" s="44">
        <f t="shared" si="40"/>
        <v>0</v>
      </c>
    </row>
    <row r="121" spans="1:18" x14ac:dyDescent="0.25">
      <c r="A121" s="88">
        <v>27</v>
      </c>
      <c r="B121" s="182" t="s">
        <v>238</v>
      </c>
      <c r="C121" s="134">
        <v>12396</v>
      </c>
      <c r="D121" s="134">
        <v>9260</v>
      </c>
      <c r="E121" s="43">
        <f t="shared" si="41"/>
        <v>33.866090712742988</v>
      </c>
      <c r="F121" s="134">
        <v>2480</v>
      </c>
      <c r="G121" s="134">
        <v>2923</v>
      </c>
      <c r="H121" s="43">
        <f t="shared" si="42"/>
        <v>-15.155661991105035</v>
      </c>
      <c r="I121" s="134">
        <v>12396</v>
      </c>
      <c r="J121" s="134">
        <v>9260</v>
      </c>
      <c r="K121" s="43">
        <f t="shared" si="38"/>
        <v>33.866090712742988</v>
      </c>
      <c r="L121" s="134">
        <v>0</v>
      </c>
      <c r="M121" s="134">
        <v>0</v>
      </c>
      <c r="N121" s="43">
        <v>0</v>
      </c>
      <c r="O121" s="90">
        <v>33</v>
      </c>
      <c r="P121" s="90"/>
      <c r="Q121" s="90">
        <v>34</v>
      </c>
      <c r="R121" s="44">
        <f t="shared" si="40"/>
        <v>0</v>
      </c>
    </row>
    <row r="122" spans="1:18" x14ac:dyDescent="0.25">
      <c r="A122" s="198"/>
      <c r="B122" s="198" t="s">
        <v>119</v>
      </c>
      <c r="C122" s="87">
        <f>SUM(C95:C121)</f>
        <v>1015493</v>
      </c>
      <c r="D122" s="87">
        <f>SUM(D95:D121)</f>
        <v>718946</v>
      </c>
      <c r="E122" s="57">
        <f t="shared" si="41"/>
        <v>41.247465039098898</v>
      </c>
      <c r="F122" s="87">
        <f>SUM(F95:F121)</f>
        <v>367873</v>
      </c>
      <c r="G122" s="87">
        <f>SUM(G95:G121)</f>
        <v>317026</v>
      </c>
      <c r="H122" s="57">
        <f t="shared" si="42"/>
        <v>16.038747610606066</v>
      </c>
      <c r="I122" s="87">
        <f>SUM(I95:I121)</f>
        <v>926473</v>
      </c>
      <c r="J122" s="87">
        <f>SUM(J95:J121)</f>
        <v>647060</v>
      </c>
      <c r="K122" s="57">
        <f t="shared" si="38"/>
        <v>43.181930578308027</v>
      </c>
      <c r="L122" s="87">
        <f>SUM(L95:L121)</f>
        <v>745811</v>
      </c>
      <c r="M122" s="87">
        <f>SUM(M95:M121)</f>
        <v>249727</v>
      </c>
      <c r="N122" s="57">
        <f t="shared" si="39"/>
        <v>198.6505263748013</v>
      </c>
      <c r="O122" s="87">
        <f>SUM(O95:O121)</f>
        <v>2288</v>
      </c>
      <c r="P122" s="58">
        <f>R122/O122</f>
        <v>73.959790209790214</v>
      </c>
      <c r="Q122" s="87">
        <f>SUM(Q95:Q121)</f>
        <v>2302</v>
      </c>
      <c r="R122" s="87">
        <f>SUM(R95:R121)</f>
        <v>169220</v>
      </c>
    </row>
    <row r="123" spans="1:18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37">
        <v>15</v>
      </c>
      <c r="R123" s="39">
        <f t="shared" ref="R123:R130" si="43">O123*P123</f>
        <v>0</v>
      </c>
    </row>
    <row r="124" spans="1:18" x14ac:dyDescent="0.25">
      <c r="A124" s="946" t="s">
        <v>120</v>
      </c>
      <c r="B124" s="948"/>
      <c r="C124" s="37">
        <v>3</v>
      </c>
      <c r="D124" s="37">
        <v>4</v>
      </c>
      <c r="E124" s="38">
        <v>5</v>
      </c>
      <c r="F124" s="37">
        <v>6</v>
      </c>
      <c r="G124" s="37">
        <v>7</v>
      </c>
      <c r="H124" s="37">
        <v>8</v>
      </c>
      <c r="I124" s="37">
        <v>9</v>
      </c>
      <c r="J124" s="37">
        <v>10</v>
      </c>
      <c r="K124" s="37">
        <v>11</v>
      </c>
      <c r="L124" s="37">
        <v>12</v>
      </c>
      <c r="M124" s="37">
        <v>13</v>
      </c>
      <c r="N124" s="37">
        <v>14</v>
      </c>
      <c r="O124" s="37">
        <v>15</v>
      </c>
      <c r="P124" s="38">
        <v>16</v>
      </c>
      <c r="Q124" s="45"/>
      <c r="R124" s="44">
        <f t="shared" si="43"/>
        <v>240</v>
      </c>
    </row>
    <row r="125" spans="1:18" x14ac:dyDescent="0.25">
      <c r="A125" s="50">
        <v>1</v>
      </c>
      <c r="B125" s="97" t="s">
        <v>121</v>
      </c>
      <c r="C125" s="134">
        <v>26124</v>
      </c>
      <c r="D125" s="134">
        <v>30419</v>
      </c>
      <c r="E125" s="43">
        <f t="shared" ref="E125:E131" si="44">C125/D125*100-100</f>
        <v>-14.119464808179089</v>
      </c>
      <c r="F125" s="134">
        <v>5350</v>
      </c>
      <c r="G125" s="134">
        <v>19447</v>
      </c>
      <c r="H125" s="43">
        <f t="shared" ref="H125:H131" si="45">F125/G125*100-100</f>
        <v>-72.489329973774872</v>
      </c>
      <c r="I125" s="134">
        <v>15439</v>
      </c>
      <c r="J125" s="134">
        <v>18451</v>
      </c>
      <c r="K125" s="43">
        <f t="shared" ref="K125:K131" si="46">I125/J125*100-100</f>
        <v>-16.324318465123838</v>
      </c>
      <c r="L125" s="134">
        <v>0</v>
      </c>
      <c r="M125" s="134">
        <v>0</v>
      </c>
      <c r="N125" s="34">
        <v>0</v>
      </c>
      <c r="O125" s="60">
        <v>73</v>
      </c>
      <c r="P125" s="46">
        <v>80</v>
      </c>
      <c r="Q125" s="60">
        <v>73</v>
      </c>
      <c r="R125" s="44">
        <f t="shared" si="43"/>
        <v>5840</v>
      </c>
    </row>
    <row r="126" spans="1:18" x14ac:dyDescent="0.25">
      <c r="A126" s="50">
        <v>2</v>
      </c>
      <c r="B126" s="97" t="s">
        <v>122</v>
      </c>
      <c r="C126" s="134">
        <v>0</v>
      </c>
      <c r="D126" s="134">
        <v>0</v>
      </c>
      <c r="E126" s="43">
        <v>0</v>
      </c>
      <c r="F126" s="134">
        <v>0</v>
      </c>
      <c r="G126" s="134">
        <v>0</v>
      </c>
      <c r="H126" s="43">
        <v>0</v>
      </c>
      <c r="I126" s="134">
        <v>0</v>
      </c>
      <c r="J126" s="134">
        <v>0</v>
      </c>
      <c r="K126" s="43">
        <v>0</v>
      </c>
      <c r="L126" s="134">
        <v>0</v>
      </c>
      <c r="M126" s="134">
        <v>0</v>
      </c>
      <c r="N126" s="43">
        <v>0</v>
      </c>
      <c r="O126" s="45"/>
      <c r="P126" s="46">
        <v>0</v>
      </c>
      <c r="Q126" s="45">
        <v>0</v>
      </c>
      <c r="R126" s="44">
        <f t="shared" si="43"/>
        <v>0</v>
      </c>
    </row>
    <row r="127" spans="1:18" x14ac:dyDescent="0.25">
      <c r="A127" s="50">
        <v>3</v>
      </c>
      <c r="B127" s="97" t="s">
        <v>123</v>
      </c>
      <c r="C127" s="134">
        <v>0</v>
      </c>
      <c r="D127" s="134">
        <v>0</v>
      </c>
      <c r="E127" s="43">
        <v>0</v>
      </c>
      <c r="F127" s="134">
        <v>0</v>
      </c>
      <c r="G127" s="134">
        <v>0</v>
      </c>
      <c r="H127" s="43">
        <v>0</v>
      </c>
      <c r="I127" s="134">
        <v>0</v>
      </c>
      <c r="J127" s="134">
        <v>0</v>
      </c>
      <c r="K127" s="43">
        <v>0</v>
      </c>
      <c r="L127" s="134">
        <v>0</v>
      </c>
      <c r="M127" s="134">
        <v>0</v>
      </c>
      <c r="N127" s="43">
        <v>0</v>
      </c>
      <c r="O127" s="45"/>
      <c r="P127" s="46">
        <v>0</v>
      </c>
      <c r="Q127" s="45">
        <v>0</v>
      </c>
      <c r="R127" s="44">
        <f t="shared" si="43"/>
        <v>0</v>
      </c>
    </row>
    <row r="128" spans="1:18" x14ac:dyDescent="0.25">
      <c r="A128" s="50">
        <v>4</v>
      </c>
      <c r="B128" s="98" t="s">
        <v>124</v>
      </c>
      <c r="C128" s="134">
        <v>625</v>
      </c>
      <c r="D128" s="134">
        <v>1050</v>
      </c>
      <c r="E128" s="43">
        <v>0</v>
      </c>
      <c r="F128" s="134">
        <v>625</v>
      </c>
      <c r="G128" s="134">
        <v>1050</v>
      </c>
      <c r="H128" s="43">
        <v>0</v>
      </c>
      <c r="I128" s="134">
        <v>1635</v>
      </c>
      <c r="J128" s="134">
        <v>1441</v>
      </c>
      <c r="K128" s="43">
        <f t="shared" si="46"/>
        <v>13.462873004857727</v>
      </c>
      <c r="L128" s="134">
        <v>0</v>
      </c>
      <c r="M128" s="134">
        <v>0</v>
      </c>
      <c r="N128" s="90">
        <v>0</v>
      </c>
      <c r="O128" s="60">
        <v>8</v>
      </c>
      <c r="P128" s="99">
        <v>70</v>
      </c>
      <c r="Q128" s="60">
        <v>8</v>
      </c>
      <c r="R128" s="44">
        <f t="shared" si="43"/>
        <v>560</v>
      </c>
    </row>
    <row r="129" spans="1:18" x14ac:dyDescent="0.25">
      <c r="A129" s="50">
        <v>5</v>
      </c>
      <c r="B129" s="98" t="s">
        <v>125</v>
      </c>
      <c r="C129" s="134">
        <v>0</v>
      </c>
      <c r="D129" s="134">
        <v>0</v>
      </c>
      <c r="E129" s="43">
        <v>0</v>
      </c>
      <c r="F129" s="134">
        <v>0</v>
      </c>
      <c r="G129" s="134">
        <v>0</v>
      </c>
      <c r="H129" s="43">
        <v>0</v>
      </c>
      <c r="I129" s="134">
        <v>0</v>
      </c>
      <c r="J129" s="134">
        <v>0</v>
      </c>
      <c r="K129" s="43">
        <v>0</v>
      </c>
      <c r="L129" s="134">
        <v>0</v>
      </c>
      <c r="M129" s="134">
        <v>0</v>
      </c>
      <c r="N129" s="43">
        <v>0</v>
      </c>
      <c r="O129" s="45"/>
      <c r="P129" s="46">
        <v>0</v>
      </c>
      <c r="Q129" s="45">
        <v>0</v>
      </c>
      <c r="R129" s="44">
        <f t="shared" si="43"/>
        <v>0</v>
      </c>
    </row>
    <row r="130" spans="1:18" x14ac:dyDescent="0.25">
      <c r="A130" s="50">
        <v>6</v>
      </c>
      <c r="B130" s="97" t="s">
        <v>126</v>
      </c>
      <c r="C130" s="134">
        <v>20765</v>
      </c>
      <c r="D130" s="134">
        <v>5726</v>
      </c>
      <c r="E130" s="43">
        <f t="shared" si="44"/>
        <v>262.64407963674466</v>
      </c>
      <c r="F130" s="134">
        <v>12475</v>
      </c>
      <c r="G130" s="134">
        <v>2264</v>
      </c>
      <c r="H130" s="43">
        <f t="shared" si="45"/>
        <v>451.01590106007063</v>
      </c>
      <c r="I130" s="134">
        <v>20765</v>
      </c>
      <c r="J130" s="134">
        <v>5726</v>
      </c>
      <c r="K130" s="43">
        <f t="shared" si="46"/>
        <v>262.64407963674466</v>
      </c>
      <c r="L130" s="134">
        <v>10266</v>
      </c>
      <c r="M130" s="134">
        <v>0</v>
      </c>
      <c r="N130" s="34">
        <v>0</v>
      </c>
      <c r="O130" s="60">
        <v>19</v>
      </c>
      <c r="P130" s="89">
        <v>100</v>
      </c>
      <c r="Q130" s="60">
        <v>23</v>
      </c>
      <c r="R130" s="44">
        <f t="shared" si="43"/>
        <v>1900</v>
      </c>
    </row>
    <row r="131" spans="1:18" x14ac:dyDescent="0.25">
      <c r="A131" s="198"/>
      <c r="B131" s="198" t="s">
        <v>127</v>
      </c>
      <c r="C131" s="56">
        <f>SUM(C125:C130)</f>
        <v>47514</v>
      </c>
      <c r="D131" s="56">
        <f>SUM(D125:D130)</f>
        <v>37195</v>
      </c>
      <c r="E131" s="57">
        <f t="shared" si="44"/>
        <v>27.742976206479369</v>
      </c>
      <c r="F131" s="56">
        <f>SUM(F125:F130)</f>
        <v>18450</v>
      </c>
      <c r="G131" s="56">
        <f>SUM(G125:G130)</f>
        <v>22761</v>
      </c>
      <c r="H131" s="57">
        <f t="shared" si="45"/>
        <v>-18.940292605773038</v>
      </c>
      <c r="I131" s="56">
        <f>SUM(I125:I130)</f>
        <v>37839</v>
      </c>
      <c r="J131" s="56">
        <f>SUM(J125:J130)</f>
        <v>25618</v>
      </c>
      <c r="K131" s="57">
        <f t="shared" si="46"/>
        <v>47.704738855492224</v>
      </c>
      <c r="L131" s="56">
        <f>SUM(L125:L130)</f>
        <v>10266</v>
      </c>
      <c r="M131" s="56">
        <f>SUM(M125:M130)</f>
        <v>0</v>
      </c>
      <c r="N131" s="87">
        <v>0</v>
      </c>
      <c r="O131" s="56">
        <f>SUM(O125:O130)</f>
        <v>100</v>
      </c>
      <c r="P131" s="87">
        <f>R131/O131</f>
        <v>83</v>
      </c>
      <c r="Q131" s="56">
        <f>SUM(Q124:Q130)</f>
        <v>104</v>
      </c>
      <c r="R131" s="70">
        <f>SUM(R125:R130)</f>
        <v>8300</v>
      </c>
    </row>
    <row r="132" spans="1:18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45"/>
      <c r="R132" s="39"/>
    </row>
    <row r="133" spans="1:18" x14ac:dyDescent="0.25">
      <c r="A133" s="903" t="s">
        <v>128</v>
      </c>
      <c r="B133" s="904"/>
      <c r="C133" s="37">
        <v>3</v>
      </c>
      <c r="D133" s="37">
        <v>4</v>
      </c>
      <c r="E133" s="38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38">
        <v>16</v>
      </c>
      <c r="Q133" s="37">
        <v>15</v>
      </c>
      <c r="R133" s="31"/>
    </row>
    <row r="134" spans="1:18" x14ac:dyDescent="0.25">
      <c r="A134" s="100">
        <v>1</v>
      </c>
      <c r="B134" s="81" t="s">
        <v>129</v>
      </c>
      <c r="C134" s="134">
        <v>28481984</v>
      </c>
      <c r="D134" s="134">
        <v>31076091</v>
      </c>
      <c r="E134" s="43">
        <f t="shared" ref="E134:E139" si="47">C134/D134*100-100</f>
        <v>-8.3475975147582062</v>
      </c>
      <c r="F134" s="134">
        <v>10045909</v>
      </c>
      <c r="G134" s="134">
        <v>10179730</v>
      </c>
      <c r="H134" s="43">
        <f t="shared" ref="H134:H139" si="48">F134/G134*100-100</f>
        <v>-1.3145829997455678</v>
      </c>
      <c r="I134" s="134">
        <v>28809198</v>
      </c>
      <c r="J134" s="134">
        <v>31774768</v>
      </c>
      <c r="K134" s="43">
        <f t="shared" ref="K134:K139" si="49">I134/J134*100-100</f>
        <v>-9.3330972550295144</v>
      </c>
      <c r="L134" s="134">
        <v>16858539</v>
      </c>
      <c r="M134" s="134">
        <v>17213560</v>
      </c>
      <c r="N134" s="43">
        <f t="shared" ref="N134:N139" si="50">L134/M134*100-100</f>
        <v>-2.0624496036845414</v>
      </c>
      <c r="O134" s="45">
        <v>3025</v>
      </c>
      <c r="P134" s="60">
        <v>145</v>
      </c>
      <c r="Q134" s="45">
        <v>2974</v>
      </c>
      <c r="R134" s="44">
        <f>O134*P134</f>
        <v>438625</v>
      </c>
    </row>
    <row r="135" spans="1:18" x14ac:dyDescent="0.25">
      <c r="A135" s="100">
        <v>2</v>
      </c>
      <c r="B135" s="81" t="s">
        <v>130</v>
      </c>
      <c r="C135" s="134">
        <v>6465982</v>
      </c>
      <c r="D135" s="134">
        <v>5685944</v>
      </c>
      <c r="E135" s="43">
        <f t="shared" si="47"/>
        <v>13.718707043192822</v>
      </c>
      <c r="F135" s="134">
        <v>2213062</v>
      </c>
      <c r="G135" s="134">
        <v>1140315</v>
      </c>
      <c r="H135" s="43">
        <f t="shared" si="48"/>
        <v>94.074619732266967</v>
      </c>
      <c r="I135" s="134">
        <v>5981928</v>
      </c>
      <c r="J135" s="134">
        <v>4606232</v>
      </c>
      <c r="K135" s="43">
        <f t="shared" si="49"/>
        <v>29.865972881956452</v>
      </c>
      <c r="L135" s="134">
        <v>5981928</v>
      </c>
      <c r="M135" s="134">
        <v>4606232</v>
      </c>
      <c r="N135" s="43">
        <v>0</v>
      </c>
      <c r="O135" s="45"/>
      <c r="P135" s="60">
        <v>120</v>
      </c>
      <c r="Q135" s="45">
        <v>1018</v>
      </c>
      <c r="R135" s="44">
        <f>O135*P135</f>
        <v>0</v>
      </c>
    </row>
    <row r="136" spans="1:18" ht="24" x14ac:dyDescent="0.25">
      <c r="A136" s="48">
        <v>3</v>
      </c>
      <c r="B136" s="124" t="s">
        <v>131</v>
      </c>
      <c r="C136" s="129">
        <v>3919945</v>
      </c>
      <c r="D136" s="129">
        <v>5344904</v>
      </c>
      <c r="E136" s="43">
        <f t="shared" si="47"/>
        <v>-26.660142071775283</v>
      </c>
      <c r="F136" s="129">
        <v>1598834</v>
      </c>
      <c r="G136" s="129">
        <v>1985095</v>
      </c>
      <c r="H136" s="43">
        <f t="shared" si="48"/>
        <v>-19.458061201101202</v>
      </c>
      <c r="I136" s="129">
        <v>4012214</v>
      </c>
      <c r="J136" s="129">
        <v>4320886</v>
      </c>
      <c r="K136" s="43">
        <f t="shared" si="49"/>
        <v>-7.1437200611170937</v>
      </c>
      <c r="L136" s="129">
        <v>4012214</v>
      </c>
      <c r="M136" s="129">
        <v>4320886</v>
      </c>
      <c r="N136" s="43">
        <f t="shared" si="50"/>
        <v>-7.1437200611170937</v>
      </c>
      <c r="O136" s="42">
        <v>1070</v>
      </c>
      <c r="P136" s="62">
        <v>306</v>
      </c>
      <c r="Q136" s="42">
        <v>1085</v>
      </c>
      <c r="R136" s="44">
        <f>O136*P136</f>
        <v>327420</v>
      </c>
    </row>
    <row r="137" spans="1:18" x14ac:dyDescent="0.25">
      <c r="A137" s="100">
        <v>4</v>
      </c>
      <c r="B137" s="81" t="s">
        <v>132</v>
      </c>
      <c r="C137" s="134">
        <v>1757107</v>
      </c>
      <c r="D137" s="134">
        <v>1490244</v>
      </c>
      <c r="E137" s="43">
        <f t="shared" si="47"/>
        <v>17.907335979879818</v>
      </c>
      <c r="F137" s="134">
        <v>603307</v>
      </c>
      <c r="G137" s="134">
        <v>442564</v>
      </c>
      <c r="H137" s="43">
        <f t="shared" si="48"/>
        <v>36.320848510046005</v>
      </c>
      <c r="I137" s="134">
        <v>1390708</v>
      </c>
      <c r="J137" s="134">
        <v>1150773</v>
      </c>
      <c r="K137" s="43">
        <f t="shared" si="49"/>
        <v>20.849898285760958</v>
      </c>
      <c r="L137" s="134">
        <v>1390708</v>
      </c>
      <c r="M137" s="134">
        <v>1150773</v>
      </c>
      <c r="N137" s="43">
        <f t="shared" si="50"/>
        <v>20.849898285760958</v>
      </c>
      <c r="O137" s="45">
        <v>575</v>
      </c>
      <c r="P137" s="60">
        <v>170</v>
      </c>
      <c r="Q137" s="45">
        <v>540</v>
      </c>
      <c r="R137" s="44">
        <f>O137*P137</f>
        <v>97750</v>
      </c>
    </row>
    <row r="138" spans="1:18" x14ac:dyDescent="0.25">
      <c r="A138" s="100">
        <v>5</v>
      </c>
      <c r="B138" s="81" t="s">
        <v>133</v>
      </c>
      <c r="C138" s="134">
        <v>0</v>
      </c>
      <c r="D138" s="134">
        <v>0</v>
      </c>
      <c r="E138" s="43">
        <v>0</v>
      </c>
      <c r="F138" s="134">
        <v>0</v>
      </c>
      <c r="G138" s="134">
        <v>0</v>
      </c>
      <c r="H138" s="43">
        <v>0</v>
      </c>
      <c r="I138" s="134">
        <v>0</v>
      </c>
      <c r="J138" s="134">
        <v>0</v>
      </c>
      <c r="K138" s="43">
        <v>0</v>
      </c>
      <c r="L138" s="134">
        <v>0</v>
      </c>
      <c r="M138" s="134">
        <v>0</v>
      </c>
      <c r="N138" s="43">
        <v>0</v>
      </c>
      <c r="O138" s="45"/>
      <c r="P138" s="46">
        <v>189</v>
      </c>
      <c r="Q138" s="45">
        <v>380</v>
      </c>
      <c r="R138" s="44">
        <f>O138*P138</f>
        <v>0</v>
      </c>
    </row>
    <row r="139" spans="1:18" x14ac:dyDescent="0.25">
      <c r="A139" s="893" t="s">
        <v>134</v>
      </c>
      <c r="B139" s="894" t="s">
        <v>135</v>
      </c>
      <c r="C139" s="211">
        <f>SUM(C134:C138)</f>
        <v>40625018</v>
      </c>
      <c r="D139" s="211">
        <f>SUM(D134:D138)</f>
        <v>43597183</v>
      </c>
      <c r="E139" s="57">
        <f t="shared" si="47"/>
        <v>-6.8173326703241344</v>
      </c>
      <c r="F139" s="87">
        <f t="shared" ref="F139:G139" si="51">SUM(F134:F138)</f>
        <v>14461112</v>
      </c>
      <c r="G139" s="87">
        <f t="shared" si="51"/>
        <v>13747704</v>
      </c>
      <c r="H139" s="57">
        <f t="shared" si="48"/>
        <v>5.1892883349830612</v>
      </c>
      <c r="I139" s="87">
        <f t="shared" ref="I139:J139" si="52">SUM(I134:I138)</f>
        <v>40194048</v>
      </c>
      <c r="J139" s="87">
        <f t="shared" si="52"/>
        <v>41852659</v>
      </c>
      <c r="K139" s="57">
        <f t="shared" si="49"/>
        <v>-3.9629764025267775</v>
      </c>
      <c r="L139" s="87">
        <f t="shared" ref="L139:M139" si="53">SUM(L134:L138)</f>
        <v>28243389</v>
      </c>
      <c r="M139" s="87">
        <f t="shared" si="53"/>
        <v>27291451</v>
      </c>
      <c r="N139" s="57">
        <f t="shared" si="50"/>
        <v>3.4880446627773694</v>
      </c>
      <c r="O139" s="87">
        <f t="shared" ref="O139:R139" si="54">SUM(O134:O138)</f>
        <v>4670</v>
      </c>
      <c r="P139" s="87">
        <f>R139/O139</f>
        <v>184.96680942184153</v>
      </c>
      <c r="Q139" s="87">
        <f t="shared" ref="Q139" si="55">SUM(Q134:Q138)</f>
        <v>5997</v>
      </c>
      <c r="R139" s="87">
        <f t="shared" si="54"/>
        <v>863795</v>
      </c>
    </row>
    <row r="140" spans="1:18" x14ac:dyDescent="0.2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104"/>
      <c r="R140" s="105"/>
    </row>
    <row r="141" spans="1:18" x14ac:dyDescent="0.25">
      <c r="A141" s="952" t="s">
        <v>136</v>
      </c>
      <c r="B141" s="953"/>
      <c r="C141" s="37">
        <v>3</v>
      </c>
      <c r="D141" s="37">
        <v>4</v>
      </c>
      <c r="E141" s="38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38">
        <v>16</v>
      </c>
      <c r="Q141" s="37">
        <v>15</v>
      </c>
      <c r="R141" s="105"/>
    </row>
    <row r="142" spans="1:18" x14ac:dyDescent="0.25">
      <c r="A142" s="100">
        <v>1</v>
      </c>
      <c r="B142" s="81" t="s">
        <v>137</v>
      </c>
      <c r="C142" s="134">
        <v>4700734</v>
      </c>
      <c r="D142" s="134">
        <v>5237825</v>
      </c>
      <c r="E142" s="43">
        <f t="shared" ref="E142:E151" si="56">C142/D142*100-100</f>
        <v>-10.254084472085268</v>
      </c>
      <c r="F142" s="134">
        <v>1743810</v>
      </c>
      <c r="G142" s="134">
        <v>1745996</v>
      </c>
      <c r="H142" s="43">
        <f t="shared" ref="H142:H151" si="57">F142/G142*100-100</f>
        <v>-0.12520074501890122</v>
      </c>
      <c r="I142" s="134">
        <v>4737161</v>
      </c>
      <c r="J142" s="134">
        <v>5385564</v>
      </c>
      <c r="K142" s="43">
        <f t="shared" ref="K142:K151" si="58">I142/J142*100-100</f>
        <v>-12.039648957843596</v>
      </c>
      <c r="L142" s="134">
        <v>4737161</v>
      </c>
      <c r="M142" s="134">
        <v>5385564</v>
      </c>
      <c r="N142" s="43">
        <f t="shared" ref="N142:N151" si="59">L142/M142*100-100</f>
        <v>-12.039648957843596</v>
      </c>
      <c r="O142" s="45">
        <v>517</v>
      </c>
      <c r="P142" s="75">
        <v>150</v>
      </c>
      <c r="Q142" s="45">
        <v>498</v>
      </c>
      <c r="R142" s="44">
        <f t="shared" ref="R142:R148" si="60">O142*P142</f>
        <v>77550</v>
      </c>
    </row>
    <row r="143" spans="1:18" x14ac:dyDescent="0.25">
      <c r="A143" s="100">
        <v>2</v>
      </c>
      <c r="B143" s="81" t="s">
        <v>138</v>
      </c>
      <c r="C143" s="134">
        <v>7634482</v>
      </c>
      <c r="D143" s="134">
        <v>11523206</v>
      </c>
      <c r="E143" s="43">
        <f t="shared" si="56"/>
        <v>-33.746893008768566</v>
      </c>
      <c r="F143" s="134">
        <v>2437417</v>
      </c>
      <c r="G143" s="134">
        <v>3676455</v>
      </c>
      <c r="H143" s="43">
        <f t="shared" si="57"/>
        <v>-33.701976496380354</v>
      </c>
      <c r="I143" s="134">
        <v>7866599</v>
      </c>
      <c r="J143" s="134">
        <v>11169039</v>
      </c>
      <c r="K143" s="43">
        <f t="shared" si="58"/>
        <v>-29.567807937639031</v>
      </c>
      <c r="L143" s="134">
        <v>7860460</v>
      </c>
      <c r="M143" s="134">
        <v>11152044</v>
      </c>
      <c r="N143" s="43">
        <f t="shared" si="59"/>
        <v>-29.515521997581786</v>
      </c>
      <c r="O143" s="45">
        <v>693</v>
      </c>
      <c r="P143" s="60">
        <v>150</v>
      </c>
      <c r="Q143" s="45">
        <v>699</v>
      </c>
      <c r="R143" s="44">
        <f t="shared" si="60"/>
        <v>103950</v>
      </c>
    </row>
    <row r="144" spans="1:18" x14ac:dyDescent="0.25">
      <c r="A144" s="100">
        <v>3</v>
      </c>
      <c r="B144" s="81" t="s">
        <v>232</v>
      </c>
      <c r="C144" s="134">
        <v>6549649</v>
      </c>
      <c r="D144" s="134">
        <v>7626795</v>
      </c>
      <c r="E144" s="43">
        <f t="shared" si="56"/>
        <v>-14.123180182501301</v>
      </c>
      <c r="F144" s="134">
        <v>2163291</v>
      </c>
      <c r="G144" s="134">
        <v>2653108</v>
      </c>
      <c r="H144" s="43">
        <f t="shared" si="57"/>
        <v>-18.462007577527942</v>
      </c>
      <c r="I144" s="134">
        <v>6695732</v>
      </c>
      <c r="J144" s="134">
        <v>7832336</v>
      </c>
      <c r="K144" s="43">
        <f t="shared" si="58"/>
        <v>-14.51168591337246</v>
      </c>
      <c r="L144" s="134">
        <v>6695732</v>
      </c>
      <c r="M144" s="134">
        <v>7832336</v>
      </c>
      <c r="N144" s="43">
        <f t="shared" si="59"/>
        <v>-14.51168591337246</v>
      </c>
      <c r="O144" s="45">
        <v>500</v>
      </c>
      <c r="P144" s="60">
        <v>180</v>
      </c>
      <c r="Q144" s="45">
        <v>560</v>
      </c>
      <c r="R144" s="44">
        <f t="shared" si="60"/>
        <v>90000</v>
      </c>
    </row>
    <row r="145" spans="1:19" x14ac:dyDescent="0.25">
      <c r="A145" s="100">
        <v>4</v>
      </c>
      <c r="B145" s="81" t="s">
        <v>140</v>
      </c>
      <c r="C145" s="134">
        <v>1484470</v>
      </c>
      <c r="D145" s="134">
        <v>1120908</v>
      </c>
      <c r="E145" s="43">
        <f t="shared" si="56"/>
        <v>32.434597665464054</v>
      </c>
      <c r="F145" s="134">
        <v>522181</v>
      </c>
      <c r="G145" s="134">
        <v>410515</v>
      </c>
      <c r="H145" s="43">
        <f t="shared" si="57"/>
        <v>27.201442091031993</v>
      </c>
      <c r="I145" s="134">
        <v>1187917</v>
      </c>
      <c r="J145" s="134">
        <v>1275350</v>
      </c>
      <c r="K145" s="43">
        <f t="shared" si="58"/>
        <v>-6.8556082643980005</v>
      </c>
      <c r="L145" s="134">
        <v>0</v>
      </c>
      <c r="M145" s="134">
        <v>0</v>
      </c>
      <c r="N145" s="43">
        <v>0</v>
      </c>
      <c r="O145" s="45">
        <v>344</v>
      </c>
      <c r="P145" s="75">
        <v>58</v>
      </c>
      <c r="Q145" s="45">
        <v>358</v>
      </c>
      <c r="R145" s="44">
        <f t="shared" si="60"/>
        <v>19952</v>
      </c>
    </row>
    <row r="146" spans="1:19" x14ac:dyDescent="0.25">
      <c r="A146" s="100">
        <v>5</v>
      </c>
      <c r="B146" s="81" t="s">
        <v>141</v>
      </c>
      <c r="C146" s="134">
        <v>7286748</v>
      </c>
      <c r="D146" s="134">
        <v>7228977</v>
      </c>
      <c r="E146" s="43">
        <f t="shared" si="56"/>
        <v>0.7991587191382763</v>
      </c>
      <c r="F146" s="134">
        <v>2587395</v>
      </c>
      <c r="G146" s="134">
        <v>2178820</v>
      </c>
      <c r="H146" s="43">
        <f t="shared" si="57"/>
        <v>18.752122708622096</v>
      </c>
      <c r="I146" s="134">
        <v>6870089</v>
      </c>
      <c r="J146" s="134">
        <v>6932932</v>
      </c>
      <c r="K146" s="43">
        <f t="shared" si="58"/>
        <v>-0.90644189211721482</v>
      </c>
      <c r="L146" s="134">
        <v>6387089</v>
      </c>
      <c r="M146" s="134">
        <v>6932932</v>
      </c>
      <c r="N146" s="43">
        <f t="shared" si="59"/>
        <v>-7.8731913135741109</v>
      </c>
      <c r="O146" s="45">
        <v>965</v>
      </c>
      <c r="P146" s="60">
        <v>100</v>
      </c>
      <c r="Q146" s="45">
        <v>985</v>
      </c>
      <c r="R146" s="44">
        <f t="shared" si="60"/>
        <v>96500</v>
      </c>
    </row>
    <row r="147" spans="1:19" x14ac:dyDescent="0.25">
      <c r="A147" s="100">
        <v>6</v>
      </c>
      <c r="B147" s="183" t="s">
        <v>231</v>
      </c>
      <c r="C147" s="134">
        <v>8396639</v>
      </c>
      <c r="D147" s="134">
        <v>8833725</v>
      </c>
      <c r="E147" s="43">
        <f t="shared" si="56"/>
        <v>-4.9479240071430723</v>
      </c>
      <c r="F147" s="134">
        <v>2793344</v>
      </c>
      <c r="G147" s="134">
        <v>3063704</v>
      </c>
      <c r="H147" s="43">
        <f t="shared" si="57"/>
        <v>-8.8246122993605098</v>
      </c>
      <c r="I147" s="134">
        <v>9662254</v>
      </c>
      <c r="J147" s="134">
        <v>8911970</v>
      </c>
      <c r="K147" s="43">
        <f t="shared" si="58"/>
        <v>8.4188344440118072</v>
      </c>
      <c r="L147" s="134">
        <f>18241+9631687</f>
        <v>9649928</v>
      </c>
      <c r="M147" s="134">
        <v>8909338</v>
      </c>
      <c r="N147" s="43">
        <f t="shared" si="59"/>
        <v>8.3125143529182424</v>
      </c>
      <c r="O147" s="45">
        <v>639</v>
      </c>
      <c r="P147" s="60">
        <v>130</v>
      </c>
      <c r="Q147" s="45">
        <v>638</v>
      </c>
      <c r="R147" s="44">
        <f t="shared" si="60"/>
        <v>83070</v>
      </c>
    </row>
    <row r="148" spans="1:19" x14ac:dyDescent="0.25">
      <c r="A148" s="100">
        <v>7</v>
      </c>
      <c r="B148" s="81" t="s">
        <v>143</v>
      </c>
      <c r="C148" s="60">
        <v>759799</v>
      </c>
      <c r="D148" s="60">
        <v>890579</v>
      </c>
      <c r="E148" s="43">
        <f t="shared" si="56"/>
        <v>-14.684828633956116</v>
      </c>
      <c r="F148" s="134">
        <v>253558</v>
      </c>
      <c r="G148" s="134">
        <v>307402</v>
      </c>
      <c r="H148" s="43">
        <f t="shared" si="57"/>
        <v>-17.515826182002726</v>
      </c>
      <c r="I148" s="134">
        <v>596276</v>
      </c>
      <c r="J148" s="134">
        <v>530801</v>
      </c>
      <c r="K148" s="43">
        <f t="shared" si="58"/>
        <v>12.335131245042859</v>
      </c>
      <c r="L148" s="134">
        <v>0</v>
      </c>
      <c r="M148" s="134">
        <v>0</v>
      </c>
      <c r="N148" s="43">
        <v>0</v>
      </c>
      <c r="O148" s="45">
        <v>35</v>
      </c>
      <c r="P148" s="60"/>
      <c r="Q148" s="45">
        <v>36</v>
      </c>
      <c r="R148" s="44">
        <f t="shared" si="60"/>
        <v>0</v>
      </c>
    </row>
    <row r="149" spans="1:19" x14ac:dyDescent="0.25">
      <c r="A149" s="100">
        <v>8</v>
      </c>
      <c r="B149" s="81" t="s">
        <v>144</v>
      </c>
      <c r="C149" s="134">
        <v>0</v>
      </c>
      <c r="D149" s="134">
        <v>0</v>
      </c>
      <c r="E149" s="43">
        <v>0</v>
      </c>
      <c r="F149" s="134">
        <v>0</v>
      </c>
      <c r="G149" s="134">
        <v>0</v>
      </c>
      <c r="H149" s="43">
        <v>0</v>
      </c>
      <c r="I149" s="134">
        <v>0</v>
      </c>
      <c r="J149" s="134">
        <v>0</v>
      </c>
      <c r="K149" s="43">
        <v>0</v>
      </c>
      <c r="L149" s="134">
        <v>0</v>
      </c>
      <c r="M149" s="134">
        <v>0</v>
      </c>
      <c r="N149" s="43">
        <v>0</v>
      </c>
      <c r="O149" s="45"/>
      <c r="P149" s="46">
        <v>0</v>
      </c>
      <c r="Q149" s="45">
        <v>0</v>
      </c>
      <c r="R149" s="44">
        <v>0</v>
      </c>
    </row>
    <row r="150" spans="1:19" x14ac:dyDescent="0.25">
      <c r="A150" s="893" t="s">
        <v>145</v>
      </c>
      <c r="B150" s="894" t="s">
        <v>135</v>
      </c>
      <c r="C150" s="87">
        <f>SUM(C142:C149)</f>
        <v>36812521</v>
      </c>
      <c r="D150" s="87">
        <f>SUM(D142:D149)</f>
        <v>42462015</v>
      </c>
      <c r="E150" s="57">
        <f t="shared" si="56"/>
        <v>-13.30481843595976</v>
      </c>
      <c r="F150" s="87">
        <f>SUM(F142:F149)</f>
        <v>12500996</v>
      </c>
      <c r="G150" s="87">
        <f>SUM(G142:G149)</f>
        <v>14036000</v>
      </c>
      <c r="H150" s="57">
        <f t="shared" si="57"/>
        <v>-10.93619264747791</v>
      </c>
      <c r="I150" s="87">
        <f>SUM(I142:I149)</f>
        <v>37616028</v>
      </c>
      <c r="J150" s="87">
        <f>SUM(J142:J149)</f>
        <v>42037992</v>
      </c>
      <c r="K150" s="57">
        <f t="shared" si="58"/>
        <v>-10.518970554064524</v>
      </c>
      <c r="L150" s="87">
        <f>SUM(L142:L149)</f>
        <v>35330370</v>
      </c>
      <c r="M150" s="87">
        <f>SUM(M142:M149)</f>
        <v>40212214</v>
      </c>
      <c r="N150" s="57">
        <f t="shared" si="59"/>
        <v>-12.14020197942844</v>
      </c>
      <c r="O150" s="56">
        <f>SUM(O142:O149)</f>
        <v>3693</v>
      </c>
      <c r="P150" s="87">
        <f>R150/O150</f>
        <v>127.5445437313837</v>
      </c>
      <c r="Q150" s="56">
        <f>SUM(Q142:Q149)</f>
        <v>3774</v>
      </c>
      <c r="R150" s="70">
        <f>SUM(R142:R149)</f>
        <v>471022</v>
      </c>
    </row>
    <row r="151" spans="1:19" x14ac:dyDescent="0.25">
      <c r="A151" s="913" t="s">
        <v>146</v>
      </c>
      <c r="B151" s="914" t="s">
        <v>78</v>
      </c>
      <c r="C151" s="106">
        <f>C139+C150</f>
        <v>77437539</v>
      </c>
      <c r="D151" s="106">
        <f>D139+D150</f>
        <v>86059198</v>
      </c>
      <c r="E151" s="16">
        <f t="shared" si="56"/>
        <v>-10.018288806270306</v>
      </c>
      <c r="F151" s="106">
        <f>F139+F150</f>
        <v>26962108</v>
      </c>
      <c r="G151" s="106">
        <f>G139+G150</f>
        <v>27783704</v>
      </c>
      <c r="H151" s="16">
        <f t="shared" si="57"/>
        <v>-2.9571147173177508</v>
      </c>
      <c r="I151" s="106">
        <f>I139+I150</f>
        <v>77810076</v>
      </c>
      <c r="J151" s="106">
        <f>J139+J150</f>
        <v>83890651</v>
      </c>
      <c r="K151" s="16">
        <f t="shared" si="58"/>
        <v>-7.2482152987464588</v>
      </c>
      <c r="L151" s="106">
        <f>L139+L150</f>
        <v>63573759</v>
      </c>
      <c r="M151" s="106">
        <f>M139+M150</f>
        <v>67503665</v>
      </c>
      <c r="N151" s="16">
        <f t="shared" si="59"/>
        <v>-5.8217668625844254</v>
      </c>
      <c r="O151" s="106">
        <f>O139+O150</f>
        <v>8363</v>
      </c>
      <c r="P151" s="107">
        <f>R151/O151</f>
        <v>159.60982900872892</v>
      </c>
      <c r="Q151" s="106">
        <f>Q139+Q150</f>
        <v>9771</v>
      </c>
      <c r="R151">
        <f>R139+R150</f>
        <v>1334817</v>
      </c>
    </row>
    <row r="152" spans="1:19" s="111" customFormat="1" x14ac:dyDescent="0.2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102"/>
      <c r="R152"/>
      <c r="S152"/>
    </row>
    <row r="153" spans="1:19" x14ac:dyDescent="0.25">
      <c r="A153" s="911" t="s">
        <v>147</v>
      </c>
      <c r="B153" s="912"/>
      <c r="C153" s="37">
        <v>3</v>
      </c>
      <c r="D153" s="37">
        <v>4</v>
      </c>
      <c r="E153" s="38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38">
        <v>16</v>
      </c>
      <c r="Q153" s="104">
        <v>17</v>
      </c>
    </row>
    <row r="154" spans="1:19" x14ac:dyDescent="0.25">
      <c r="A154" s="100">
        <v>1</v>
      </c>
      <c r="B154" s="114" t="s">
        <v>148</v>
      </c>
      <c r="C154" s="134">
        <v>4678</v>
      </c>
      <c r="D154" s="134">
        <v>5531</v>
      </c>
      <c r="E154" s="43">
        <f t="shared" ref="E154:E160" si="61">C154/D154*100-100</f>
        <v>-15.422165973603327</v>
      </c>
      <c r="F154" s="134">
        <v>2810</v>
      </c>
      <c r="G154" s="134">
        <v>2970</v>
      </c>
      <c r="H154" s="43">
        <f t="shared" ref="H154:H160" si="62">F154/G154*100-100</f>
        <v>-5.387205387205384</v>
      </c>
      <c r="I154" s="134">
        <v>4678</v>
      </c>
      <c r="J154" s="134">
        <v>5531</v>
      </c>
      <c r="K154" s="43">
        <f t="shared" ref="K154:K160" si="63">I154/J154*100-100</f>
        <v>-15.422165973603327</v>
      </c>
      <c r="L154" s="134">
        <v>0</v>
      </c>
      <c r="M154" s="134">
        <v>0</v>
      </c>
      <c r="N154" s="43">
        <v>0</v>
      </c>
      <c r="O154" s="100">
        <v>30</v>
      </c>
      <c r="P154" s="75">
        <v>96</v>
      </c>
      <c r="Q154" s="100">
        <v>30</v>
      </c>
      <c r="R154" s="44">
        <f>O154*P154</f>
        <v>2880</v>
      </c>
    </row>
    <row r="155" spans="1:19" x14ac:dyDescent="0.25">
      <c r="A155" s="100">
        <v>2</v>
      </c>
      <c r="B155" s="114" t="s">
        <v>149</v>
      </c>
      <c r="C155" s="134">
        <v>2383677</v>
      </c>
      <c r="D155" s="134">
        <v>2564401</v>
      </c>
      <c r="E155" s="43">
        <f t="shared" si="61"/>
        <v>-7.0474157512807096</v>
      </c>
      <c r="F155" s="134">
        <v>865147</v>
      </c>
      <c r="G155" s="134">
        <v>950802</v>
      </c>
      <c r="H155" s="43">
        <f t="shared" si="62"/>
        <v>-9.0087105412062698</v>
      </c>
      <c r="I155" s="134">
        <v>2315468</v>
      </c>
      <c r="J155" s="134">
        <v>1964572</v>
      </c>
      <c r="K155" s="43">
        <f t="shared" si="63"/>
        <v>17.861193175918217</v>
      </c>
      <c r="L155" s="134">
        <v>1032327</v>
      </c>
      <c r="M155" s="134">
        <v>980739</v>
      </c>
      <c r="N155" s="43">
        <f t="shared" ref="N155:N160" si="64">L155/M155*100-100</f>
        <v>5.2601150764882476</v>
      </c>
      <c r="O155" s="100">
        <v>627</v>
      </c>
      <c r="P155" s="75">
        <v>110</v>
      </c>
      <c r="Q155" s="100">
        <v>595</v>
      </c>
      <c r="R155" s="44">
        <f>O155*P155</f>
        <v>68970</v>
      </c>
    </row>
    <row r="156" spans="1:19" x14ac:dyDescent="0.25">
      <c r="A156" s="100">
        <v>3</v>
      </c>
      <c r="B156" s="114" t="s">
        <v>150</v>
      </c>
      <c r="C156" s="134">
        <v>0</v>
      </c>
      <c r="D156" s="134">
        <v>0</v>
      </c>
      <c r="E156" s="43">
        <v>0</v>
      </c>
      <c r="F156" s="134">
        <v>0</v>
      </c>
      <c r="G156" s="134">
        <v>0</v>
      </c>
      <c r="H156" s="43">
        <v>0</v>
      </c>
      <c r="I156" s="134">
        <v>0</v>
      </c>
      <c r="J156" s="134">
        <v>0</v>
      </c>
      <c r="K156" s="43">
        <v>0</v>
      </c>
      <c r="L156" s="134">
        <v>0</v>
      </c>
      <c r="M156" s="134">
        <v>0</v>
      </c>
      <c r="N156" s="43">
        <v>0</v>
      </c>
      <c r="O156" s="45"/>
      <c r="P156" s="46">
        <v>0</v>
      </c>
      <c r="Q156" s="45">
        <v>0</v>
      </c>
      <c r="R156" s="44">
        <v>0</v>
      </c>
    </row>
    <row r="157" spans="1:19" x14ac:dyDescent="0.25">
      <c r="A157" s="100">
        <v>4</v>
      </c>
      <c r="B157" s="114" t="s">
        <v>151</v>
      </c>
      <c r="C157" s="134">
        <v>554194</v>
      </c>
      <c r="D157" s="134">
        <v>554554</v>
      </c>
      <c r="E157" s="43">
        <f t="shared" si="61"/>
        <v>-6.4917032426052401E-2</v>
      </c>
      <c r="F157" s="134">
        <v>212338</v>
      </c>
      <c r="G157" s="134">
        <v>119220</v>
      </c>
      <c r="H157" s="43">
        <f t="shared" si="62"/>
        <v>78.106022479449763</v>
      </c>
      <c r="I157" s="134">
        <v>579900</v>
      </c>
      <c r="J157" s="134">
        <v>534055</v>
      </c>
      <c r="K157" s="43">
        <f t="shared" si="63"/>
        <v>8.5843218395109204</v>
      </c>
      <c r="L157" s="134">
        <v>511558</v>
      </c>
      <c r="M157" s="134">
        <v>357782</v>
      </c>
      <c r="N157" s="43">
        <f t="shared" si="64"/>
        <v>42.980362343549984</v>
      </c>
      <c r="O157" s="100">
        <v>290</v>
      </c>
      <c r="P157" s="75">
        <v>100</v>
      </c>
      <c r="Q157" s="100">
        <v>290</v>
      </c>
      <c r="R157" s="44">
        <f>O157*P157</f>
        <v>29000</v>
      </c>
    </row>
    <row r="158" spans="1:19" x14ac:dyDescent="0.25">
      <c r="A158" s="100">
        <v>5</v>
      </c>
      <c r="B158" s="83" t="s">
        <v>259</v>
      </c>
      <c r="C158" s="134"/>
      <c r="D158" s="134"/>
      <c r="E158" s="43" t="e">
        <f t="shared" si="61"/>
        <v>#DIV/0!</v>
      </c>
      <c r="F158" s="134"/>
      <c r="G158" s="134"/>
      <c r="H158" s="43" t="e">
        <f t="shared" si="62"/>
        <v>#DIV/0!</v>
      </c>
      <c r="I158" s="134"/>
      <c r="J158" s="134"/>
      <c r="K158" s="43" t="e">
        <f t="shared" si="63"/>
        <v>#DIV/0!</v>
      </c>
      <c r="L158" s="134"/>
      <c r="M158" s="134"/>
      <c r="N158" s="43">
        <v>0</v>
      </c>
      <c r="O158" s="45"/>
      <c r="P158" s="49">
        <v>145</v>
      </c>
      <c r="Q158" s="45">
        <v>127</v>
      </c>
      <c r="R158" s="44">
        <f>O158*P158</f>
        <v>0</v>
      </c>
    </row>
    <row r="159" spans="1:19" x14ac:dyDescent="0.25">
      <c r="A159" s="100">
        <v>6</v>
      </c>
      <c r="B159" s="114" t="s">
        <v>153</v>
      </c>
      <c r="C159" s="134">
        <v>0</v>
      </c>
      <c r="D159" s="134">
        <v>0</v>
      </c>
      <c r="E159" s="43">
        <v>0</v>
      </c>
      <c r="F159" s="134">
        <v>0</v>
      </c>
      <c r="G159" s="134">
        <v>0</v>
      </c>
      <c r="H159" s="43">
        <v>0</v>
      </c>
      <c r="I159" s="134">
        <v>144519</v>
      </c>
      <c r="J159" s="134">
        <v>1317</v>
      </c>
      <c r="K159" s="43">
        <v>0</v>
      </c>
      <c r="L159" s="134">
        <v>0</v>
      </c>
      <c r="M159" s="134">
        <v>0</v>
      </c>
      <c r="N159" s="43">
        <v>0</v>
      </c>
      <c r="O159" s="45">
        <v>201</v>
      </c>
      <c r="P159" s="46">
        <v>65</v>
      </c>
      <c r="Q159" s="45">
        <v>385</v>
      </c>
      <c r="R159" s="44">
        <f>O159*P159</f>
        <v>13065</v>
      </c>
    </row>
    <row r="160" spans="1:19" x14ac:dyDescent="0.25">
      <c r="A160" s="893" t="s">
        <v>154</v>
      </c>
      <c r="B160" s="894" t="s">
        <v>155</v>
      </c>
      <c r="C160" s="206">
        <f>SUM(C154:C159)</f>
        <v>2942549</v>
      </c>
      <c r="D160" s="206">
        <f>SUM(D154:D159)</f>
        <v>3124486</v>
      </c>
      <c r="E160" s="57">
        <f t="shared" si="61"/>
        <v>-5.8229417574602707</v>
      </c>
      <c r="F160" s="206">
        <f>SUM(F154:F159)</f>
        <v>1080295</v>
      </c>
      <c r="G160" s="206">
        <f>SUM(G154:G159)</f>
        <v>1072992</v>
      </c>
      <c r="H160" s="57">
        <f t="shared" si="62"/>
        <v>0.68062017237780026</v>
      </c>
      <c r="I160" s="206">
        <f>SUM(I154:I159)</f>
        <v>3044565</v>
      </c>
      <c r="J160" s="206">
        <f>SUM(J154:J159)</f>
        <v>2505475</v>
      </c>
      <c r="K160" s="57">
        <f t="shared" si="63"/>
        <v>21.516478911184507</v>
      </c>
      <c r="L160" s="206">
        <f>SUM(L154:L159)</f>
        <v>1543885</v>
      </c>
      <c r="M160" s="206">
        <f>SUM(M154:M159)</f>
        <v>1338521</v>
      </c>
      <c r="N160" s="57">
        <f t="shared" si="64"/>
        <v>15.34260575665229</v>
      </c>
      <c r="O160" s="56">
        <f>SUM(O154:O159)</f>
        <v>1148</v>
      </c>
      <c r="P160" s="58">
        <f>R160/O160</f>
        <v>99.229094076655059</v>
      </c>
      <c r="Q160" s="56">
        <f>SUM(Q154:Q159)</f>
        <v>1427</v>
      </c>
      <c r="R160" s="70">
        <f>SUM(R154:R159)</f>
        <v>113915</v>
      </c>
    </row>
    <row r="161" spans="1:20" ht="17.25" customHeight="1" x14ac:dyDescent="0.2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45"/>
      <c r="R161" s="121"/>
    </row>
    <row r="162" spans="1:20" x14ac:dyDescent="0.25">
      <c r="A162" s="959" t="s">
        <v>242</v>
      </c>
      <c r="B162" s="960"/>
      <c r="C162" s="961"/>
      <c r="D162" s="117"/>
      <c r="E162" s="118"/>
      <c r="F162" s="117"/>
      <c r="G162" s="117"/>
      <c r="H162" s="118"/>
      <c r="I162" s="117"/>
      <c r="J162" s="117"/>
      <c r="K162" s="118"/>
      <c r="L162" s="117"/>
      <c r="M162" s="119"/>
      <c r="N162" s="120"/>
      <c r="O162" s="119"/>
      <c r="P162" s="117"/>
      <c r="R162" s="121"/>
    </row>
    <row r="163" spans="1:20" x14ac:dyDescent="0.25">
      <c r="A163" s="917" t="s">
        <v>157</v>
      </c>
      <c r="B163" s="918"/>
      <c r="C163" s="37">
        <v>3</v>
      </c>
      <c r="D163" s="37">
        <v>4</v>
      </c>
      <c r="E163" s="38">
        <v>5</v>
      </c>
      <c r="F163" s="37">
        <v>6</v>
      </c>
      <c r="G163" s="37">
        <v>7</v>
      </c>
      <c r="H163" s="37">
        <v>8</v>
      </c>
      <c r="I163" s="37">
        <v>9</v>
      </c>
      <c r="J163" s="37">
        <v>10</v>
      </c>
      <c r="K163" s="37">
        <v>11</v>
      </c>
      <c r="L163" s="37">
        <v>12</v>
      </c>
      <c r="M163" s="37">
        <v>13</v>
      </c>
      <c r="N163" s="37">
        <v>14</v>
      </c>
      <c r="O163" s="37">
        <v>15</v>
      </c>
      <c r="P163" s="38">
        <v>16</v>
      </c>
      <c r="Q163" s="119"/>
      <c r="R163" s="44"/>
    </row>
    <row r="164" spans="1:20" x14ac:dyDescent="0.25">
      <c r="A164" s="122">
        <v>1</v>
      </c>
      <c r="B164" s="183" t="s">
        <v>158</v>
      </c>
      <c r="C164" s="134">
        <v>5207564</v>
      </c>
      <c r="D164" s="134">
        <v>5227413</v>
      </c>
      <c r="E164" s="43">
        <f t="shared" ref="E164:E207" si="65">C164/D164*100-100</f>
        <v>-0.37970981056977848</v>
      </c>
      <c r="F164" s="134">
        <v>1865398</v>
      </c>
      <c r="G164" s="134">
        <v>1180311</v>
      </c>
      <c r="H164" s="43">
        <f>F164/G164*100-100</f>
        <v>58.042922585657521</v>
      </c>
      <c r="I164" s="134">
        <v>5051338</v>
      </c>
      <c r="J164" s="134">
        <v>5133392</v>
      </c>
      <c r="K164" s="43">
        <f t="shared" ref="K164:K207" si="66">I164/J164*100-100</f>
        <v>-1.5984362776113699</v>
      </c>
      <c r="L164" s="134">
        <f>4069365+426109</f>
        <v>4495474</v>
      </c>
      <c r="M164" s="134">
        <f>4254639+217863</f>
        <v>4472502</v>
      </c>
      <c r="N164" s="43">
        <f t="shared" ref="N164:N182" si="67">L164/M164*100-100</f>
        <v>0.51362749530352403</v>
      </c>
      <c r="O164" s="42">
        <v>342</v>
      </c>
      <c r="P164" s="42">
        <v>190</v>
      </c>
      <c r="Q164" s="42">
        <v>342</v>
      </c>
      <c r="R164" s="190">
        <f>O164*P164</f>
        <v>64980</v>
      </c>
    </row>
    <row r="165" spans="1:20" x14ac:dyDescent="0.25">
      <c r="A165" s="122">
        <v>2</v>
      </c>
      <c r="B165" s="183" t="s">
        <v>159</v>
      </c>
      <c r="C165" s="134">
        <v>645816</v>
      </c>
      <c r="D165" s="134">
        <v>1035502</v>
      </c>
      <c r="E165" s="43">
        <f t="shared" si="65"/>
        <v>-37.632568551292032</v>
      </c>
      <c r="F165" s="134">
        <v>438809</v>
      </c>
      <c r="G165" s="134">
        <v>156253</v>
      </c>
      <c r="H165" s="54">
        <f t="shared" ref="H165:H207" si="68">F165/G165*100-100</f>
        <v>180.83236801853405</v>
      </c>
      <c r="I165" s="134">
        <v>445336</v>
      </c>
      <c r="J165" s="134">
        <v>1016204</v>
      </c>
      <c r="K165" s="43">
        <f t="shared" si="66"/>
        <v>-56.176515738965797</v>
      </c>
      <c r="L165" s="134">
        <v>394393</v>
      </c>
      <c r="M165" s="134">
        <f>787523+53653</f>
        <v>841176</v>
      </c>
      <c r="N165" s="54">
        <f t="shared" si="67"/>
        <v>-53.114092651240647</v>
      </c>
      <c r="O165" s="42">
        <v>120</v>
      </c>
      <c r="P165" s="42">
        <v>107</v>
      </c>
      <c r="Q165" s="42">
        <v>117</v>
      </c>
      <c r="R165" s="190">
        <f t="shared" ref="R165:R181" si="69">O165*P165</f>
        <v>12840</v>
      </c>
    </row>
    <row r="166" spans="1:20" x14ac:dyDescent="0.25">
      <c r="A166" s="122">
        <v>3</v>
      </c>
      <c r="B166" s="183" t="s">
        <v>160</v>
      </c>
      <c r="C166" s="134">
        <v>76561</v>
      </c>
      <c r="D166" s="134">
        <v>6111</v>
      </c>
      <c r="E166" s="43">
        <f t="shared" si="65"/>
        <v>1152.8391425298641</v>
      </c>
      <c r="F166" s="134">
        <v>13220</v>
      </c>
      <c r="G166" s="134">
        <v>6111</v>
      </c>
      <c r="H166" s="54">
        <f t="shared" si="68"/>
        <v>116.33120602192767</v>
      </c>
      <c r="I166" s="134">
        <v>142085</v>
      </c>
      <c r="J166" s="134">
        <v>48382</v>
      </c>
      <c r="K166" s="43">
        <f t="shared" si="66"/>
        <v>193.67326691744864</v>
      </c>
      <c r="L166" s="134">
        <f>85066+6570</f>
        <v>91636</v>
      </c>
      <c r="M166" s="134">
        <v>0</v>
      </c>
      <c r="N166" s="54" t="e">
        <f t="shared" si="67"/>
        <v>#DIV/0!</v>
      </c>
      <c r="O166" s="42">
        <v>53</v>
      </c>
      <c r="P166" s="42">
        <v>146</v>
      </c>
      <c r="Q166" s="42">
        <v>52</v>
      </c>
      <c r="R166" s="190">
        <f t="shared" si="69"/>
        <v>7738</v>
      </c>
    </row>
    <row r="167" spans="1:20" x14ac:dyDescent="0.25">
      <c r="A167" s="122">
        <v>4</v>
      </c>
      <c r="B167" s="183" t="s">
        <v>161</v>
      </c>
      <c r="C167" s="134">
        <v>395700</v>
      </c>
      <c r="D167" s="134">
        <v>224570</v>
      </c>
      <c r="E167" s="43">
        <f t="shared" si="65"/>
        <v>76.203410963174065</v>
      </c>
      <c r="F167" s="134">
        <v>187106</v>
      </c>
      <c r="G167" s="134">
        <v>110252</v>
      </c>
      <c r="H167" s="43">
        <f t="shared" si="68"/>
        <v>69.707579000834443</v>
      </c>
      <c r="I167" s="134">
        <v>426497</v>
      </c>
      <c r="J167" s="134">
        <v>337506</v>
      </c>
      <c r="K167" s="43">
        <f t="shared" si="66"/>
        <v>26.367234952860102</v>
      </c>
      <c r="L167" s="134">
        <v>311126</v>
      </c>
      <c r="M167" s="134">
        <v>230999</v>
      </c>
      <c r="N167" s="54">
        <f t="shared" si="67"/>
        <v>34.68716314789242</v>
      </c>
      <c r="O167" s="125">
        <v>222</v>
      </c>
      <c r="P167" s="42">
        <v>127</v>
      </c>
      <c r="Q167" s="125">
        <v>225</v>
      </c>
      <c r="R167" s="190">
        <f t="shared" si="69"/>
        <v>28194</v>
      </c>
    </row>
    <row r="168" spans="1:20" ht="27" x14ac:dyDescent="0.25">
      <c r="A168" s="123">
        <v>5</v>
      </c>
      <c r="B168" s="184" t="s">
        <v>162</v>
      </c>
      <c r="C168" s="129">
        <v>1980591</v>
      </c>
      <c r="D168" s="129">
        <v>1980591</v>
      </c>
      <c r="E168" s="43">
        <f t="shared" si="65"/>
        <v>0</v>
      </c>
      <c r="F168" s="129">
        <v>1090765</v>
      </c>
      <c r="G168" s="129">
        <v>1090765</v>
      </c>
      <c r="H168" s="43">
        <f t="shared" si="68"/>
        <v>0</v>
      </c>
      <c r="I168" s="129">
        <v>1373300</v>
      </c>
      <c r="J168" s="129">
        <v>1551883</v>
      </c>
      <c r="K168" s="43">
        <f t="shared" si="66"/>
        <v>-11.507504109523722</v>
      </c>
      <c r="L168" s="129">
        <f>1255761+58093</f>
        <v>1313854</v>
      </c>
      <c r="M168" s="129">
        <f>1485687+19442</f>
        <v>1505129</v>
      </c>
      <c r="N168" s="54">
        <f t="shared" si="67"/>
        <v>-12.708213050177093</v>
      </c>
      <c r="O168" s="125">
        <v>289</v>
      </c>
      <c r="P168" s="42"/>
      <c r="Q168" s="125"/>
      <c r="R168" s="190">
        <f t="shared" si="69"/>
        <v>0</v>
      </c>
    </row>
    <row r="169" spans="1:20" s="126" customFormat="1" x14ac:dyDescent="0.2">
      <c r="A169" s="123">
        <v>6</v>
      </c>
      <c r="B169" s="184" t="s">
        <v>163</v>
      </c>
      <c r="C169" s="134">
        <v>1834527</v>
      </c>
      <c r="D169" s="134">
        <v>1575742</v>
      </c>
      <c r="E169" s="43">
        <f t="shared" si="65"/>
        <v>16.423056566366824</v>
      </c>
      <c r="F169" s="134">
        <v>595985</v>
      </c>
      <c r="G169" s="134">
        <v>615517</v>
      </c>
      <c r="H169" s="43">
        <f t="shared" si="68"/>
        <v>-3.1732673508611384</v>
      </c>
      <c r="I169" s="134">
        <v>1834527</v>
      </c>
      <c r="J169" s="134">
        <v>1575742</v>
      </c>
      <c r="K169" s="43">
        <f t="shared" si="66"/>
        <v>16.423056566366824</v>
      </c>
      <c r="L169" s="134">
        <f>706604+719955</f>
        <v>1426559</v>
      </c>
      <c r="M169" s="134">
        <f>666988+400075</f>
        <v>1067063</v>
      </c>
      <c r="N169" s="43">
        <f t="shared" si="67"/>
        <v>33.690231973182449</v>
      </c>
      <c r="O169" s="125">
        <v>256</v>
      </c>
      <c r="P169" s="42">
        <v>102</v>
      </c>
      <c r="Q169" s="125">
        <v>255</v>
      </c>
      <c r="R169" s="190">
        <f t="shared" si="69"/>
        <v>26112</v>
      </c>
    </row>
    <row r="170" spans="1:20" s="126" customFormat="1" x14ac:dyDescent="0.25">
      <c r="A170" s="123">
        <v>7</v>
      </c>
      <c r="B170" s="183" t="s">
        <v>233</v>
      </c>
      <c r="C170" s="134">
        <v>942153</v>
      </c>
      <c r="D170" s="134">
        <v>0</v>
      </c>
      <c r="E170" s="43">
        <v>0</v>
      </c>
      <c r="F170" s="134">
        <v>308099</v>
      </c>
      <c r="G170" s="134">
        <v>0</v>
      </c>
      <c r="H170" s="43">
        <v>0</v>
      </c>
      <c r="I170" s="134">
        <v>1337426</v>
      </c>
      <c r="J170" s="134">
        <v>0</v>
      </c>
      <c r="K170" s="43">
        <v>0</v>
      </c>
      <c r="L170" s="134">
        <v>839691</v>
      </c>
      <c r="M170" s="134">
        <v>0</v>
      </c>
      <c r="N170" s="43">
        <v>0</v>
      </c>
      <c r="O170" s="125">
        <v>210</v>
      </c>
      <c r="P170" s="42">
        <v>93</v>
      </c>
      <c r="Q170" s="125">
        <v>250</v>
      </c>
      <c r="R170" s="190">
        <f t="shared" si="69"/>
        <v>19530</v>
      </c>
      <c r="T170" s="127"/>
    </row>
    <row r="171" spans="1:20" s="126" customFormat="1" x14ac:dyDescent="0.25">
      <c r="A171" s="123">
        <v>8</v>
      </c>
      <c r="B171" s="183" t="s">
        <v>165</v>
      </c>
      <c r="C171" s="134">
        <v>0</v>
      </c>
      <c r="D171" s="134">
        <v>0</v>
      </c>
      <c r="E171" s="43" t="e">
        <f t="shared" si="65"/>
        <v>#DIV/0!</v>
      </c>
      <c r="F171" s="134">
        <v>0</v>
      </c>
      <c r="G171" s="134">
        <v>0</v>
      </c>
      <c r="H171" s="43" t="e">
        <f t="shared" si="68"/>
        <v>#DIV/0!</v>
      </c>
      <c r="I171" s="134">
        <v>0</v>
      </c>
      <c r="J171" s="134">
        <v>0</v>
      </c>
      <c r="K171" s="43" t="e">
        <f t="shared" si="66"/>
        <v>#DIV/0!</v>
      </c>
      <c r="L171" s="134">
        <v>0</v>
      </c>
      <c r="M171" s="134">
        <v>0</v>
      </c>
      <c r="N171" s="43" t="e">
        <f t="shared" si="67"/>
        <v>#DIV/0!</v>
      </c>
      <c r="O171" s="125"/>
      <c r="P171" s="42">
        <v>80</v>
      </c>
      <c r="Q171" s="125"/>
      <c r="R171" s="190">
        <f t="shared" si="69"/>
        <v>0</v>
      </c>
      <c r="T171" s="127"/>
    </row>
    <row r="172" spans="1:20" s="130" customFormat="1" x14ac:dyDescent="0.25">
      <c r="A172" s="60">
        <v>9</v>
      </c>
      <c r="B172" s="181" t="s">
        <v>166</v>
      </c>
      <c r="C172" s="134">
        <v>485063</v>
      </c>
      <c r="D172" s="134">
        <v>143936</v>
      </c>
      <c r="E172" s="43">
        <f t="shared" si="65"/>
        <v>236.99908292574474</v>
      </c>
      <c r="F172" s="134">
        <v>221700</v>
      </c>
      <c r="G172" s="134">
        <v>70669</v>
      </c>
      <c r="H172" s="43">
        <f t="shared" si="68"/>
        <v>213.71605654530276</v>
      </c>
      <c r="I172" s="134">
        <v>483413</v>
      </c>
      <c r="J172" s="134">
        <v>132317</v>
      </c>
      <c r="K172" s="54">
        <f t="shared" si="66"/>
        <v>265.34458913064839</v>
      </c>
      <c r="L172" s="134">
        <v>0</v>
      </c>
      <c r="M172" s="134">
        <v>0</v>
      </c>
      <c r="N172" s="129">
        <v>0</v>
      </c>
      <c r="O172" s="54">
        <v>252</v>
      </c>
      <c r="P172" s="54">
        <v>98</v>
      </c>
      <c r="Q172" s="54">
        <v>258</v>
      </c>
      <c r="R172" s="190">
        <f t="shared" si="69"/>
        <v>24696</v>
      </c>
      <c r="T172" s="39"/>
    </row>
    <row r="173" spans="1:20" s="130" customFormat="1" ht="27" x14ac:dyDescent="0.25">
      <c r="A173" s="54">
        <v>10</v>
      </c>
      <c r="B173" s="186" t="s">
        <v>234</v>
      </c>
      <c r="C173" s="129">
        <v>3311094</v>
      </c>
      <c r="D173" s="129">
        <v>2967940</v>
      </c>
      <c r="E173" s="43">
        <f t="shared" si="65"/>
        <v>11.562026186513208</v>
      </c>
      <c r="F173" s="129">
        <v>697621</v>
      </c>
      <c r="G173" s="129">
        <v>954697</v>
      </c>
      <c r="H173" s="43">
        <f t="shared" si="68"/>
        <v>-26.927496367957588</v>
      </c>
      <c r="I173" s="129">
        <v>1211094</v>
      </c>
      <c r="J173" s="129">
        <v>2967940</v>
      </c>
      <c r="K173" s="54">
        <f t="shared" si="66"/>
        <v>-59.194121174956365</v>
      </c>
      <c r="L173" s="129">
        <v>1211094</v>
      </c>
      <c r="M173" s="129">
        <f>2966538+1271</f>
        <v>2967809</v>
      </c>
      <c r="N173" s="129">
        <f t="shared" si="67"/>
        <v>-59.192319990942813</v>
      </c>
      <c r="O173" s="54">
        <v>82</v>
      </c>
      <c r="P173" s="54">
        <v>235</v>
      </c>
      <c r="Q173" s="54">
        <v>82</v>
      </c>
      <c r="R173" s="190">
        <f t="shared" si="69"/>
        <v>19270</v>
      </c>
      <c r="T173" s="39"/>
    </row>
    <row r="174" spans="1:20" s="130" customFormat="1" ht="27" x14ac:dyDescent="0.25">
      <c r="A174" s="54">
        <v>11</v>
      </c>
      <c r="B174" s="186" t="s">
        <v>218</v>
      </c>
      <c r="C174" s="129">
        <v>223839</v>
      </c>
      <c r="D174" s="129">
        <v>219386</v>
      </c>
      <c r="E174" s="43">
        <f t="shared" si="65"/>
        <v>2.0297557729299029</v>
      </c>
      <c r="F174" s="129">
        <v>97764</v>
      </c>
      <c r="G174" s="129">
        <v>104699</v>
      </c>
      <c r="H174" s="43">
        <f t="shared" si="68"/>
        <v>-6.6237499880610073</v>
      </c>
      <c r="I174" s="129">
        <v>229248</v>
      </c>
      <c r="J174" s="129">
        <v>239714</v>
      </c>
      <c r="K174" s="54">
        <f t="shared" si="66"/>
        <v>-4.3660361931301566</v>
      </c>
      <c r="L174" s="129">
        <v>148005</v>
      </c>
      <c r="M174" s="129">
        <f>132948+296</f>
        <v>133244</v>
      </c>
      <c r="N174" s="129">
        <f t="shared" si="67"/>
        <v>11.078172375491576</v>
      </c>
      <c r="O174" s="54">
        <v>209</v>
      </c>
      <c r="P174" s="54"/>
      <c r="Q174" s="54">
        <v>10</v>
      </c>
      <c r="R174" s="190">
        <f t="shared" si="69"/>
        <v>0</v>
      </c>
      <c r="T174" s="39"/>
    </row>
    <row r="175" spans="1:20" s="130" customFormat="1" x14ac:dyDescent="0.25">
      <c r="A175" s="60">
        <v>12</v>
      </c>
      <c r="B175" s="181" t="s">
        <v>219</v>
      </c>
      <c r="C175" s="134"/>
      <c r="D175" s="134"/>
      <c r="E175" s="43" t="e">
        <f t="shared" si="65"/>
        <v>#DIV/0!</v>
      </c>
      <c r="F175" s="134"/>
      <c r="G175" s="134"/>
      <c r="H175" s="43" t="e">
        <f t="shared" si="68"/>
        <v>#DIV/0!</v>
      </c>
      <c r="I175" s="134"/>
      <c r="J175" s="134"/>
      <c r="K175" s="54" t="e">
        <f t="shared" si="66"/>
        <v>#DIV/0!</v>
      </c>
      <c r="L175" s="134"/>
      <c r="M175" s="134"/>
      <c r="N175" s="129">
        <v>0</v>
      </c>
      <c r="O175" s="54"/>
      <c r="P175" s="54"/>
      <c r="Q175" s="54">
        <v>10</v>
      </c>
      <c r="R175" s="190">
        <f t="shared" si="69"/>
        <v>0</v>
      </c>
      <c r="T175" s="39"/>
    </row>
    <row r="176" spans="1:20" s="130" customFormat="1" x14ac:dyDescent="0.25">
      <c r="A176" s="60">
        <v>13</v>
      </c>
      <c r="B176" s="181" t="s">
        <v>220</v>
      </c>
      <c r="C176" s="134">
        <v>637540</v>
      </c>
      <c r="D176" s="134">
        <v>428777</v>
      </c>
      <c r="E176" s="43">
        <f>C176/D176*100-100</f>
        <v>48.688012649932261</v>
      </c>
      <c r="F176" s="134">
        <v>283730</v>
      </c>
      <c r="G176" s="134">
        <v>202141</v>
      </c>
      <c r="H176" s="43">
        <f t="shared" si="68"/>
        <v>40.362420290787128</v>
      </c>
      <c r="I176" s="134">
        <v>674087</v>
      </c>
      <c r="J176" s="134">
        <v>434578</v>
      </c>
      <c r="K176" s="54">
        <f t="shared" si="66"/>
        <v>55.113006180708652</v>
      </c>
      <c r="L176" s="134">
        <v>77093</v>
      </c>
      <c r="M176" s="134">
        <v>75293</v>
      </c>
      <c r="N176" s="129">
        <f t="shared" si="67"/>
        <v>2.390660486366599</v>
      </c>
      <c r="O176" s="54">
        <v>610</v>
      </c>
      <c r="P176" s="54"/>
      <c r="Q176" s="54"/>
      <c r="R176" s="190">
        <f t="shared" si="69"/>
        <v>0</v>
      </c>
      <c r="S176" s="130">
        <f>288494-233162</f>
        <v>55332</v>
      </c>
      <c r="T176" s="39"/>
    </row>
    <row r="177" spans="1:20" s="130" customFormat="1" x14ac:dyDescent="0.25">
      <c r="A177" s="60">
        <v>14</v>
      </c>
      <c r="B177" s="181" t="s">
        <v>236</v>
      </c>
      <c r="C177" s="134"/>
      <c r="D177" s="134"/>
      <c r="E177" s="43">
        <v>0</v>
      </c>
      <c r="F177" s="134"/>
      <c r="G177" s="134"/>
      <c r="H177" s="43">
        <v>0</v>
      </c>
      <c r="I177" s="134"/>
      <c r="J177" s="134"/>
      <c r="K177" s="54">
        <v>0</v>
      </c>
      <c r="L177" s="134"/>
      <c r="M177" s="134"/>
      <c r="N177" s="129">
        <v>0</v>
      </c>
      <c r="O177" s="54"/>
      <c r="P177" s="54">
        <v>112</v>
      </c>
      <c r="Q177" s="54">
        <v>33</v>
      </c>
      <c r="R177" s="190">
        <f t="shared" si="69"/>
        <v>0</v>
      </c>
      <c r="T177" s="39"/>
    </row>
    <row r="178" spans="1:20" s="130" customFormat="1" x14ac:dyDescent="0.25">
      <c r="A178" s="60">
        <v>15</v>
      </c>
      <c r="B178" s="181" t="s">
        <v>237</v>
      </c>
      <c r="C178" s="134">
        <v>475297</v>
      </c>
      <c r="D178" s="134">
        <v>88495</v>
      </c>
      <c r="E178" s="43">
        <f t="shared" si="65"/>
        <v>437.08910107915699</v>
      </c>
      <c r="F178" s="134">
        <v>132875</v>
      </c>
      <c r="G178" s="134">
        <v>21526</v>
      </c>
      <c r="H178" s="43">
        <f t="shared" si="68"/>
        <v>517.27678156647778</v>
      </c>
      <c r="I178" s="134">
        <v>475297</v>
      </c>
      <c r="J178" s="134">
        <v>88495</v>
      </c>
      <c r="K178" s="54">
        <f t="shared" si="66"/>
        <v>437.08910107915699</v>
      </c>
      <c r="L178" s="134">
        <v>447432</v>
      </c>
      <c r="M178" s="134">
        <v>40015</v>
      </c>
      <c r="N178" s="129">
        <f t="shared" si="67"/>
        <v>1018.1606897413469</v>
      </c>
      <c r="O178" s="54">
        <v>33</v>
      </c>
      <c r="P178" s="54">
        <v>110</v>
      </c>
      <c r="Q178" s="54">
        <v>33</v>
      </c>
      <c r="R178" s="190">
        <f t="shared" si="69"/>
        <v>3630</v>
      </c>
      <c r="T178" s="39"/>
    </row>
    <row r="179" spans="1:20" s="130" customFormat="1" x14ac:dyDescent="0.25">
      <c r="A179" s="60">
        <v>16</v>
      </c>
      <c r="B179" s="181" t="s">
        <v>229</v>
      </c>
      <c r="C179" s="134">
        <v>1506286</v>
      </c>
      <c r="D179" s="134">
        <v>374220</v>
      </c>
      <c r="E179" s="43">
        <f t="shared" si="65"/>
        <v>302.5134947357169</v>
      </c>
      <c r="F179" s="134">
        <v>626868</v>
      </c>
      <c r="G179" s="134">
        <v>175579</v>
      </c>
      <c r="H179" s="43">
        <f t="shared" si="68"/>
        <v>257.0290296675571</v>
      </c>
      <c r="I179" s="134">
        <v>1397994</v>
      </c>
      <c r="J179" s="134">
        <v>406706</v>
      </c>
      <c r="K179" s="54">
        <f t="shared" si="66"/>
        <v>243.73576981898475</v>
      </c>
      <c r="L179" s="134">
        <v>570100</v>
      </c>
      <c r="M179" s="134">
        <f>134391+18775</f>
        <v>153166</v>
      </c>
      <c r="N179" s="129">
        <f t="shared" si="67"/>
        <v>272.21054280976193</v>
      </c>
      <c r="O179" s="54">
        <v>373</v>
      </c>
      <c r="P179" s="54"/>
      <c r="Q179" s="54">
        <v>45</v>
      </c>
      <c r="R179" s="190">
        <f t="shared" si="69"/>
        <v>0</v>
      </c>
      <c r="T179" s="39"/>
    </row>
    <row r="180" spans="1:20" ht="27" customHeight="1" x14ac:dyDescent="0.25">
      <c r="A180" s="42">
        <v>17</v>
      </c>
      <c r="B180" s="184" t="s">
        <v>230</v>
      </c>
      <c r="C180" s="129">
        <v>315887</v>
      </c>
      <c r="D180" s="129">
        <v>244264</v>
      </c>
      <c r="E180" s="43">
        <f t="shared" si="65"/>
        <v>29.321963121868151</v>
      </c>
      <c r="F180" s="129">
        <v>162425</v>
      </c>
      <c r="G180" s="129">
        <v>75281</v>
      </c>
      <c r="H180" s="43">
        <f t="shared" si="68"/>
        <v>115.75829226498055</v>
      </c>
      <c r="I180" s="129">
        <v>275157</v>
      </c>
      <c r="J180" s="129">
        <v>273892</v>
      </c>
      <c r="K180" s="43">
        <f t="shared" si="66"/>
        <v>0.46186087947073418</v>
      </c>
      <c r="L180" s="129">
        <v>0</v>
      </c>
      <c r="M180" s="129">
        <v>0</v>
      </c>
      <c r="N180" s="43">
        <v>0</v>
      </c>
      <c r="O180" s="42">
        <v>48</v>
      </c>
      <c r="P180" s="42">
        <v>85</v>
      </c>
      <c r="Q180" s="42">
        <v>48</v>
      </c>
      <c r="R180" s="190">
        <f t="shared" si="69"/>
        <v>4080</v>
      </c>
      <c r="T180" s="73"/>
    </row>
    <row r="181" spans="1:20" ht="27" x14ac:dyDescent="0.25">
      <c r="A181" s="42">
        <v>18</v>
      </c>
      <c r="B181" s="184" t="s">
        <v>239</v>
      </c>
      <c r="C181" s="129">
        <v>500392</v>
      </c>
      <c r="D181" s="129">
        <v>77130</v>
      </c>
      <c r="E181" s="43">
        <f t="shared" si="65"/>
        <v>548.76442370024631</v>
      </c>
      <c r="F181" s="129">
        <v>220128</v>
      </c>
      <c r="G181" s="129">
        <v>51982</v>
      </c>
      <c r="H181" s="43">
        <f t="shared" si="68"/>
        <v>323.46966257550685</v>
      </c>
      <c r="I181" s="129">
        <v>603846</v>
      </c>
      <c r="J181" s="129">
        <v>158599</v>
      </c>
      <c r="K181" s="43">
        <f t="shared" si="66"/>
        <v>280.73758346521731</v>
      </c>
      <c r="L181" s="129">
        <f>27427+4935</f>
        <v>32362</v>
      </c>
      <c r="M181" s="129">
        <v>37668</v>
      </c>
      <c r="N181" s="43">
        <f t="shared" si="67"/>
        <v>-14.086227036211113</v>
      </c>
      <c r="O181" s="42">
        <v>318</v>
      </c>
      <c r="P181" s="42"/>
      <c r="Q181" s="42">
        <v>45</v>
      </c>
      <c r="R181" s="190">
        <f t="shared" si="69"/>
        <v>0</v>
      </c>
      <c r="T181" s="131"/>
    </row>
    <row r="182" spans="1:20" x14ac:dyDescent="0.25">
      <c r="A182" s="893" t="s">
        <v>169</v>
      </c>
      <c r="B182" s="894" t="s">
        <v>119</v>
      </c>
      <c r="C182" s="209">
        <f>SUM(C164:C181)</f>
        <v>18538310</v>
      </c>
      <c r="D182" s="209">
        <f>SUM(D164:D181)</f>
        <v>14594077</v>
      </c>
      <c r="E182" s="57">
        <f t="shared" si="65"/>
        <v>27.026258666443923</v>
      </c>
      <c r="F182" s="209">
        <f>SUM(F164:F181)</f>
        <v>6942493</v>
      </c>
      <c r="G182" s="209">
        <f>SUM(G164:G181)</f>
        <v>4815783</v>
      </c>
      <c r="H182" s="57">
        <f t="shared" si="68"/>
        <v>44.161250621134712</v>
      </c>
      <c r="I182" s="209">
        <f>SUM(I164:I181)</f>
        <v>15960645</v>
      </c>
      <c r="J182" s="209">
        <f>SUM(J164:J181)</f>
        <v>14365350</v>
      </c>
      <c r="K182" s="57">
        <f t="shared" si="66"/>
        <v>11.105159289540453</v>
      </c>
      <c r="L182" s="209">
        <f>SUM(L164:L181)</f>
        <v>11358819</v>
      </c>
      <c r="M182" s="209">
        <f>SUM(M164:M181)</f>
        <v>11524064</v>
      </c>
      <c r="N182" s="57">
        <f t="shared" si="67"/>
        <v>-1.4339125502947638</v>
      </c>
      <c r="O182" s="67">
        <f>SUM(O164:O181)</f>
        <v>3417</v>
      </c>
      <c r="P182" s="68">
        <f>R181/O182</f>
        <v>0</v>
      </c>
      <c r="Q182" s="67">
        <f>SUM(Q166:Q181)</f>
        <v>1346</v>
      </c>
      <c r="R182" s="70">
        <f>SUM(R164:R181)</f>
        <v>211070</v>
      </c>
    </row>
    <row r="183" spans="1:20" ht="14.25" customHeight="1" x14ac:dyDescent="0.2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R183" s="44"/>
    </row>
    <row r="184" spans="1:20" ht="14.25" customHeight="1" x14ac:dyDescent="0.25">
      <c r="A184" s="909" t="s">
        <v>224</v>
      </c>
      <c r="B184" s="910"/>
      <c r="C184" s="37">
        <v>3</v>
      </c>
      <c r="D184" s="37">
        <v>4</v>
      </c>
      <c r="E184" s="38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38">
        <v>16</v>
      </c>
      <c r="Q184" s="37">
        <v>15</v>
      </c>
    </row>
    <row r="185" spans="1:20" ht="14.25" customHeight="1" x14ac:dyDescent="0.25">
      <c r="A185" s="100">
        <v>1</v>
      </c>
      <c r="B185" s="167" t="s">
        <v>225</v>
      </c>
      <c r="C185" s="205">
        <v>6929458</v>
      </c>
      <c r="D185" s="205">
        <v>2860824</v>
      </c>
      <c r="E185" s="151">
        <f t="shared" ref="E185:E187" si="70">C185/D185*100-100</f>
        <v>142.21895509825143</v>
      </c>
      <c r="F185" s="205">
        <v>2198423</v>
      </c>
      <c r="G185" s="205">
        <v>1240035</v>
      </c>
      <c r="H185" s="151">
        <f t="shared" ref="H185:H187" si="71">F185/G185*100-100</f>
        <v>77.287173345913629</v>
      </c>
      <c r="I185" s="205">
        <v>4036751</v>
      </c>
      <c r="J185" s="205">
        <v>2671335</v>
      </c>
      <c r="K185" s="151">
        <f t="shared" ref="K185:K187" si="72">I185/J185*100-100</f>
        <v>51.113619220352376</v>
      </c>
      <c r="L185" s="205">
        <f>346439+2935521</f>
        <v>3281960</v>
      </c>
      <c r="M185" s="205">
        <f>862860+442355</f>
        <v>1305215</v>
      </c>
      <c r="N185" s="151">
        <f t="shared" ref="N185:N187" si="73">L185/M185*100-100</f>
        <v>151.4497611504618</v>
      </c>
      <c r="O185" s="34">
        <v>789</v>
      </c>
      <c r="P185" s="100"/>
      <c r="Q185" s="34">
        <v>760</v>
      </c>
      <c r="R185" s="72">
        <f>O185*P185</f>
        <v>0</v>
      </c>
    </row>
    <row r="186" spans="1:20" ht="14.25" customHeight="1" x14ac:dyDescent="0.25">
      <c r="A186" s="100">
        <v>2</v>
      </c>
      <c r="B186" s="167" t="s">
        <v>226</v>
      </c>
      <c r="C186" s="205">
        <v>731</v>
      </c>
      <c r="D186" s="205">
        <v>0</v>
      </c>
      <c r="E186" s="151" t="e">
        <f t="shared" si="70"/>
        <v>#DIV/0!</v>
      </c>
      <c r="F186" s="205">
        <v>0</v>
      </c>
      <c r="G186" s="205">
        <v>0</v>
      </c>
      <c r="H186" s="151" t="e">
        <f t="shared" si="71"/>
        <v>#DIV/0!</v>
      </c>
      <c r="I186" s="205">
        <v>984594</v>
      </c>
      <c r="J186" s="205">
        <v>713260</v>
      </c>
      <c r="K186" s="151">
        <f t="shared" si="72"/>
        <v>38.041387432352849</v>
      </c>
      <c r="L186" s="205">
        <v>0</v>
      </c>
      <c r="M186" s="205">
        <v>0</v>
      </c>
      <c r="N186" s="151" t="e">
        <f t="shared" si="73"/>
        <v>#DIV/0!</v>
      </c>
      <c r="O186" s="34">
        <v>130</v>
      </c>
      <c r="P186" s="100"/>
      <c r="Q186" s="34">
        <v>130</v>
      </c>
      <c r="R186" s="72">
        <f>O186*P186</f>
        <v>0</v>
      </c>
    </row>
    <row r="187" spans="1:20" ht="14.25" customHeight="1" x14ac:dyDescent="0.25">
      <c r="A187" s="100">
        <v>3</v>
      </c>
      <c r="B187" s="193" t="s">
        <v>244</v>
      </c>
      <c r="C187" s="205">
        <v>99135</v>
      </c>
      <c r="D187" s="205">
        <v>1678</v>
      </c>
      <c r="E187" s="151">
        <f t="shared" si="70"/>
        <v>5807.9261025029791</v>
      </c>
      <c r="F187" s="205">
        <v>99135</v>
      </c>
      <c r="G187" s="205">
        <v>0</v>
      </c>
      <c r="H187" s="151" t="e">
        <f t="shared" si="71"/>
        <v>#DIV/0!</v>
      </c>
      <c r="I187" s="205">
        <v>99135</v>
      </c>
      <c r="J187" s="205">
        <v>0</v>
      </c>
      <c r="K187" s="151" t="e">
        <f t="shared" si="72"/>
        <v>#DIV/0!</v>
      </c>
      <c r="L187" s="205">
        <f>71187+27948</f>
        <v>99135</v>
      </c>
      <c r="M187" s="205">
        <v>0</v>
      </c>
      <c r="N187" s="151" t="e">
        <f t="shared" si="73"/>
        <v>#DIV/0!</v>
      </c>
      <c r="O187" s="34">
        <v>81</v>
      </c>
      <c r="P187" s="100"/>
      <c r="Q187" s="34">
        <v>81</v>
      </c>
      <c r="R187" s="72">
        <f>O187*P187</f>
        <v>0</v>
      </c>
    </row>
    <row r="188" spans="1:20" ht="14.25" customHeight="1" x14ac:dyDescent="0.25">
      <c r="A188" s="964" t="s">
        <v>202</v>
      </c>
      <c r="B188" s="964" t="s">
        <v>155</v>
      </c>
      <c r="C188" s="206">
        <f>SUM(C185:C187)</f>
        <v>7029324</v>
      </c>
      <c r="D188" s="206">
        <f>SUM(D185:D187)</f>
        <v>2862502</v>
      </c>
      <c r="E188" s="57">
        <f t="shared" ref="E188" si="74">C188/D188*100-100</f>
        <v>145.56573235582019</v>
      </c>
      <c r="F188" s="206">
        <f>SUM(F185:F187)</f>
        <v>2297558</v>
      </c>
      <c r="G188" s="206">
        <f>SUM(G185:G187)</f>
        <v>1240035</v>
      </c>
      <c r="H188" s="57">
        <f t="shared" ref="H188" si="75">F188/G188*100-100</f>
        <v>85.281705758305208</v>
      </c>
      <c r="I188" s="206">
        <f>SUM(I185:I187)</f>
        <v>5120480</v>
      </c>
      <c r="J188" s="206">
        <f>SUM(J185:J187)</f>
        <v>3384595</v>
      </c>
      <c r="K188" s="57">
        <f t="shared" ref="K188" si="76">I188/J188*100-100</f>
        <v>51.287820256190173</v>
      </c>
      <c r="L188" s="206">
        <f>SUM(L185:L187)</f>
        <v>3381095</v>
      </c>
      <c r="M188" s="206">
        <f>SUM(M185:M187)</f>
        <v>1305215</v>
      </c>
      <c r="N188" s="168">
        <f t="shared" ref="N188" si="77">L188/M188*100-100</f>
        <v>159.04506154158508</v>
      </c>
      <c r="O188" s="87">
        <f>SUM(O185:O187)</f>
        <v>1000</v>
      </c>
      <c r="P188" s="87"/>
      <c r="Q188" s="87">
        <f>SUM(Q185:Q187)</f>
        <v>971</v>
      </c>
      <c r="R188" s="188"/>
    </row>
    <row r="189" spans="1:20" ht="14.25" customHeight="1" x14ac:dyDescent="0.2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207">
        <f>SUM(O185:O187)</f>
        <v>1000</v>
      </c>
      <c r="P189" s="71">
        <f>SUM(P185:P187)</f>
        <v>0</v>
      </c>
      <c r="Q189" s="197">
        <f>SUM(Q185:Q187)</f>
        <v>971</v>
      </c>
      <c r="R189" s="44"/>
    </row>
    <row r="190" spans="1:20" x14ac:dyDescent="0.25">
      <c r="A190" s="962" t="s">
        <v>170</v>
      </c>
      <c r="B190" s="963"/>
      <c r="C190" s="32">
        <v>3</v>
      </c>
      <c r="D190" s="32">
        <v>4</v>
      </c>
      <c r="E190" s="32">
        <v>5</v>
      </c>
      <c r="F190" s="32">
        <v>6</v>
      </c>
      <c r="G190" s="32">
        <v>7</v>
      </c>
      <c r="H190" s="32">
        <v>8</v>
      </c>
      <c r="I190" s="32">
        <v>9</v>
      </c>
      <c r="J190" s="32">
        <v>10</v>
      </c>
      <c r="K190" s="32">
        <v>11</v>
      </c>
      <c r="L190" s="32">
        <v>12</v>
      </c>
      <c r="M190" s="32">
        <v>13</v>
      </c>
      <c r="N190" s="32">
        <v>14</v>
      </c>
      <c r="O190" s="32">
        <v>15</v>
      </c>
      <c r="P190" s="32">
        <v>16</v>
      </c>
      <c r="Q190" s="32">
        <v>17</v>
      </c>
    </row>
    <row r="191" spans="1:20" x14ac:dyDescent="0.25">
      <c r="A191" s="45">
        <v>1</v>
      </c>
      <c r="B191" s="81" t="s">
        <v>171</v>
      </c>
      <c r="C191" s="134">
        <v>4724</v>
      </c>
      <c r="D191" s="134">
        <v>14173</v>
      </c>
      <c r="E191" s="43">
        <f t="shared" si="65"/>
        <v>-66.669018556410066</v>
      </c>
      <c r="F191" s="134">
        <v>4724</v>
      </c>
      <c r="G191" s="134">
        <v>472</v>
      </c>
      <c r="H191" s="43">
        <f t="shared" si="68"/>
        <v>900.84745762711873</v>
      </c>
      <c r="I191" s="134">
        <v>24449</v>
      </c>
      <c r="J191" s="134">
        <v>20909</v>
      </c>
      <c r="K191" s="43">
        <f t="shared" si="66"/>
        <v>16.930508393514756</v>
      </c>
      <c r="L191" s="134">
        <v>23902</v>
      </c>
      <c r="M191" s="134">
        <v>18417</v>
      </c>
      <c r="N191" s="43">
        <f t="shared" ref="N191:N195" si="78">L191/M191*100-100</f>
        <v>29.782266384318859</v>
      </c>
      <c r="O191" s="45">
        <v>18</v>
      </c>
      <c r="P191" s="45">
        <v>92</v>
      </c>
      <c r="Q191" s="45">
        <v>17</v>
      </c>
      <c r="R191" s="44">
        <f t="shared" ref="R191:R205" si="79">O191*P191</f>
        <v>1656</v>
      </c>
    </row>
    <row r="192" spans="1:20" x14ac:dyDescent="0.25">
      <c r="A192" s="45">
        <v>2</v>
      </c>
      <c r="B192" s="81" t="s">
        <v>172</v>
      </c>
      <c r="C192" s="134">
        <v>308315</v>
      </c>
      <c r="D192" s="134">
        <v>301664</v>
      </c>
      <c r="E192" s="54">
        <f t="shared" si="65"/>
        <v>2.2047708709027205</v>
      </c>
      <c r="F192" s="134">
        <v>123514</v>
      </c>
      <c r="G192" s="134">
        <v>103834</v>
      </c>
      <c r="H192" s="43">
        <f t="shared" si="68"/>
        <v>18.953329352620528</v>
      </c>
      <c r="I192" s="134">
        <v>258681</v>
      </c>
      <c r="J192" s="134">
        <v>293422</v>
      </c>
      <c r="K192" s="43">
        <f t="shared" si="66"/>
        <v>-11.83994383515892</v>
      </c>
      <c r="L192" s="134">
        <f>165329+12815</f>
        <v>178144</v>
      </c>
      <c r="M192" s="134">
        <f>78069+37792</f>
        <v>115861</v>
      </c>
      <c r="N192" s="43">
        <f t="shared" si="78"/>
        <v>53.756656683439644</v>
      </c>
      <c r="O192" s="45">
        <v>113</v>
      </c>
      <c r="P192" s="45">
        <v>71</v>
      </c>
      <c r="Q192" s="45">
        <v>18</v>
      </c>
      <c r="R192" s="44">
        <f t="shared" si="79"/>
        <v>8023</v>
      </c>
    </row>
    <row r="193" spans="1:18" x14ac:dyDescent="0.25">
      <c r="A193" s="45">
        <v>3</v>
      </c>
      <c r="B193" s="81" t="s">
        <v>173</v>
      </c>
      <c r="C193" s="134">
        <v>43146</v>
      </c>
      <c r="D193" s="134">
        <v>34750</v>
      </c>
      <c r="E193" s="54">
        <f t="shared" si="65"/>
        <v>24.161151079136701</v>
      </c>
      <c r="F193" s="134">
        <v>0</v>
      </c>
      <c r="G193" s="134">
        <v>16408</v>
      </c>
      <c r="H193" s="43">
        <f t="shared" si="68"/>
        <v>-100</v>
      </c>
      <c r="I193" s="134">
        <v>188072</v>
      </c>
      <c r="J193" s="134">
        <v>87198</v>
      </c>
      <c r="K193" s="43">
        <f t="shared" si="66"/>
        <v>115.68384595976971</v>
      </c>
      <c r="L193" s="134">
        <f>147241+4224</f>
        <v>151465</v>
      </c>
      <c r="M193" s="134">
        <f>47507+993</f>
        <v>48500</v>
      </c>
      <c r="N193" s="43">
        <f t="shared" si="78"/>
        <v>212.29896907216499</v>
      </c>
      <c r="O193" s="45">
        <v>40</v>
      </c>
      <c r="P193" s="45">
        <v>83</v>
      </c>
      <c r="Q193" s="45">
        <v>82</v>
      </c>
      <c r="R193" s="44">
        <f t="shared" si="79"/>
        <v>3320</v>
      </c>
    </row>
    <row r="194" spans="1:18" x14ac:dyDescent="0.25">
      <c r="A194" s="45">
        <v>4</v>
      </c>
      <c r="B194" s="81" t="s">
        <v>174</v>
      </c>
      <c r="C194" s="134">
        <v>584078</v>
      </c>
      <c r="D194" s="134">
        <v>797984</v>
      </c>
      <c r="E194" s="54">
        <f t="shared" si="65"/>
        <v>-26.805800617556244</v>
      </c>
      <c r="F194" s="134">
        <v>287440</v>
      </c>
      <c r="G194" s="134">
        <v>190631</v>
      </c>
      <c r="H194" s="43">
        <f t="shared" si="68"/>
        <v>50.783450750402608</v>
      </c>
      <c r="I194" s="134">
        <v>665496</v>
      </c>
      <c r="J194" s="134">
        <v>67334</v>
      </c>
      <c r="K194" s="43">
        <f t="shared" si="66"/>
        <v>888.35061038999606</v>
      </c>
      <c r="L194" s="134">
        <f>306100+36595</f>
        <v>342695</v>
      </c>
      <c r="M194" s="134">
        <f>510300+48500</f>
        <v>558800</v>
      </c>
      <c r="N194" s="43">
        <f t="shared" si="78"/>
        <v>-38.673049391553327</v>
      </c>
      <c r="O194" s="45">
        <v>190</v>
      </c>
      <c r="P194" s="45">
        <v>160</v>
      </c>
      <c r="Q194" s="45">
        <v>250</v>
      </c>
      <c r="R194" s="44">
        <f t="shared" si="79"/>
        <v>30400</v>
      </c>
    </row>
    <row r="195" spans="1:18" x14ac:dyDescent="0.25">
      <c r="A195" s="45">
        <v>5</v>
      </c>
      <c r="B195" s="81" t="s">
        <v>175</v>
      </c>
      <c r="C195" s="134">
        <v>9846272</v>
      </c>
      <c r="D195" s="134">
        <v>20451081</v>
      </c>
      <c r="E195" s="43">
        <f t="shared" si="65"/>
        <v>-51.854515661054791</v>
      </c>
      <c r="F195" s="134">
        <v>3772317</v>
      </c>
      <c r="G195" s="134">
        <v>8328338</v>
      </c>
      <c r="H195" s="43">
        <f t="shared" si="68"/>
        <v>-54.705044391810226</v>
      </c>
      <c r="I195" s="134">
        <v>7669356</v>
      </c>
      <c r="J195" s="134">
        <v>10164320</v>
      </c>
      <c r="K195" s="43">
        <f t="shared" si="66"/>
        <v>-24.546295276024367</v>
      </c>
      <c r="L195" s="134">
        <v>94471</v>
      </c>
      <c r="M195" s="134">
        <v>840597</v>
      </c>
      <c r="N195" s="43">
        <f t="shared" si="78"/>
        <v>-88.761439786247152</v>
      </c>
      <c r="O195" s="45">
        <v>473</v>
      </c>
      <c r="P195" s="45"/>
      <c r="Q195" s="45">
        <v>210</v>
      </c>
      <c r="R195" s="44">
        <f t="shared" si="79"/>
        <v>0</v>
      </c>
    </row>
    <row r="196" spans="1:18" x14ac:dyDescent="0.25">
      <c r="A196" s="45">
        <v>6</v>
      </c>
      <c r="B196" s="81" t="s">
        <v>176</v>
      </c>
      <c r="C196" s="134">
        <v>717783</v>
      </c>
      <c r="D196" s="134">
        <v>861568</v>
      </c>
      <c r="E196" s="43">
        <f t="shared" si="65"/>
        <v>-16.688758171148422</v>
      </c>
      <c r="F196" s="134">
        <v>304842</v>
      </c>
      <c r="G196" s="134">
        <v>372821</v>
      </c>
      <c r="H196" s="43">
        <f t="shared" si="68"/>
        <v>-18.233683188447003</v>
      </c>
      <c r="I196" s="134">
        <v>682151</v>
      </c>
      <c r="J196" s="134">
        <v>963667</v>
      </c>
      <c r="K196" s="43">
        <f t="shared" si="66"/>
        <v>-29.212995775511658</v>
      </c>
      <c r="L196" s="134">
        <v>32129</v>
      </c>
      <c r="M196" s="134">
        <f>54568+16022</f>
        <v>70590</v>
      </c>
      <c r="N196" s="43">
        <v>0</v>
      </c>
      <c r="O196" s="45">
        <v>489</v>
      </c>
      <c r="P196" s="45">
        <v>140</v>
      </c>
      <c r="Q196" s="45">
        <v>460</v>
      </c>
      <c r="R196" s="44">
        <f t="shared" si="79"/>
        <v>68460</v>
      </c>
    </row>
    <row r="197" spans="1:18" x14ac:dyDescent="0.25">
      <c r="A197" s="45">
        <v>7</v>
      </c>
      <c r="B197" s="81" t="s">
        <v>177</v>
      </c>
      <c r="C197" s="134">
        <v>328753</v>
      </c>
      <c r="D197" s="134">
        <v>346779</v>
      </c>
      <c r="E197" s="43">
        <f t="shared" si="65"/>
        <v>-5.1981233004305381</v>
      </c>
      <c r="F197" s="134">
        <v>142359</v>
      </c>
      <c r="G197" s="134">
        <v>150375</v>
      </c>
      <c r="H197" s="43">
        <f t="shared" si="68"/>
        <v>-5.3306733167082285</v>
      </c>
      <c r="I197" s="134">
        <v>327878</v>
      </c>
      <c r="J197" s="134">
        <v>346862</v>
      </c>
      <c r="K197" s="43">
        <f t="shared" si="66"/>
        <v>-5.4730699817218351</v>
      </c>
      <c r="L197" s="134">
        <f>54241+2092</f>
        <v>56333</v>
      </c>
      <c r="M197" s="134">
        <v>9269</v>
      </c>
      <c r="N197" s="43">
        <v>0</v>
      </c>
      <c r="O197" s="45">
        <v>166</v>
      </c>
      <c r="P197" s="45">
        <v>104</v>
      </c>
      <c r="Q197" s="45">
        <v>164</v>
      </c>
      <c r="R197" s="44">
        <f t="shared" si="79"/>
        <v>17264</v>
      </c>
    </row>
    <row r="198" spans="1:18" x14ac:dyDescent="0.25">
      <c r="A198" s="45">
        <v>8</v>
      </c>
      <c r="B198" s="81" t="s">
        <v>178</v>
      </c>
      <c r="C198" s="134">
        <v>65988</v>
      </c>
      <c r="D198" s="134">
        <v>154043</v>
      </c>
      <c r="E198" s="43">
        <f t="shared" si="65"/>
        <v>-57.1626104399421</v>
      </c>
      <c r="F198" s="134">
        <v>14281</v>
      </c>
      <c r="G198" s="134">
        <v>57549</v>
      </c>
      <c r="H198" s="43">
        <f t="shared" si="68"/>
        <v>-75.184625275851886</v>
      </c>
      <c r="I198" s="134">
        <v>92413</v>
      </c>
      <c r="J198" s="134">
        <v>150194</v>
      </c>
      <c r="K198" s="43">
        <f t="shared" si="66"/>
        <v>-38.470910955164648</v>
      </c>
      <c r="L198" s="134">
        <v>72112</v>
      </c>
      <c r="M198" s="134">
        <v>133745</v>
      </c>
      <c r="N198" s="43">
        <f t="shared" ref="N198:N202" si="80">L198/M198*100-100</f>
        <v>-46.082470372724217</v>
      </c>
      <c r="O198" s="45">
        <v>27</v>
      </c>
      <c r="P198" s="45">
        <v>80</v>
      </c>
      <c r="Q198" s="45">
        <v>26</v>
      </c>
      <c r="R198" s="44">
        <f t="shared" si="79"/>
        <v>2160</v>
      </c>
    </row>
    <row r="199" spans="1:18" x14ac:dyDescent="0.25">
      <c r="A199" s="45">
        <v>9</v>
      </c>
      <c r="B199" s="81" t="s">
        <v>179</v>
      </c>
      <c r="C199" s="134">
        <v>528735</v>
      </c>
      <c r="D199" s="134">
        <v>386591</v>
      </c>
      <c r="E199" s="43">
        <f t="shared" si="65"/>
        <v>36.768574540017738</v>
      </c>
      <c r="F199" s="134">
        <v>231016</v>
      </c>
      <c r="G199" s="134">
        <v>158309</v>
      </c>
      <c r="H199" s="43">
        <f t="shared" si="68"/>
        <v>45.927268822366386</v>
      </c>
      <c r="I199" s="134">
        <v>524405</v>
      </c>
      <c r="J199" s="134">
        <v>382557</v>
      </c>
      <c r="K199" s="43">
        <f t="shared" si="66"/>
        <v>37.078918958482006</v>
      </c>
      <c r="L199" s="134">
        <v>2779</v>
      </c>
      <c r="M199" s="134">
        <v>0</v>
      </c>
      <c r="N199" s="43">
        <v>0</v>
      </c>
      <c r="O199" s="45">
        <v>161</v>
      </c>
      <c r="P199" s="45">
        <v>117</v>
      </c>
      <c r="Q199" s="45">
        <v>30</v>
      </c>
      <c r="R199" s="44">
        <f t="shared" si="79"/>
        <v>18837</v>
      </c>
    </row>
    <row r="200" spans="1:18" x14ac:dyDescent="0.25">
      <c r="A200" s="45">
        <v>10</v>
      </c>
      <c r="B200" s="181" t="s">
        <v>227</v>
      </c>
      <c r="C200" s="134">
        <v>195027</v>
      </c>
      <c r="D200" s="134">
        <v>220448</v>
      </c>
      <c r="E200" s="43">
        <f t="shared" si="65"/>
        <v>-11.53151763681231</v>
      </c>
      <c r="F200" s="134">
        <v>69799</v>
      </c>
      <c r="G200" s="134">
        <v>72305</v>
      </c>
      <c r="H200" s="43">
        <f t="shared" si="68"/>
        <v>-3.4658737293409843</v>
      </c>
      <c r="I200" s="134">
        <v>195027</v>
      </c>
      <c r="J200" s="134">
        <v>220448</v>
      </c>
      <c r="K200" s="54">
        <f t="shared" si="66"/>
        <v>-11.53151763681231</v>
      </c>
      <c r="L200" s="134">
        <f>71170+23640</f>
        <v>94810</v>
      </c>
      <c r="M200" s="134">
        <f>190595+8540</f>
        <v>199135</v>
      </c>
      <c r="N200" s="43">
        <f t="shared" si="80"/>
        <v>-52.389082783036635</v>
      </c>
      <c r="O200" s="60">
        <v>71</v>
      </c>
      <c r="P200" s="60">
        <v>85</v>
      </c>
      <c r="Q200" s="60">
        <v>160</v>
      </c>
      <c r="R200" s="44">
        <f t="shared" si="79"/>
        <v>6035</v>
      </c>
    </row>
    <row r="201" spans="1:18" x14ac:dyDescent="0.25">
      <c r="A201" s="45">
        <v>11</v>
      </c>
      <c r="B201" s="181" t="s">
        <v>235</v>
      </c>
      <c r="C201" s="134">
        <v>58805</v>
      </c>
      <c r="D201" s="134">
        <v>34965</v>
      </c>
      <c r="E201" s="43">
        <f t="shared" si="65"/>
        <v>68.18246818246817</v>
      </c>
      <c r="F201" s="134">
        <v>19038</v>
      </c>
      <c r="G201" s="134">
        <v>13671</v>
      </c>
      <c r="H201" s="43">
        <f t="shared" si="68"/>
        <v>39.258283958744784</v>
      </c>
      <c r="I201" s="134">
        <v>58805</v>
      </c>
      <c r="J201" s="134">
        <v>34965</v>
      </c>
      <c r="K201" s="54">
        <f t="shared" si="66"/>
        <v>68.18246818246817</v>
      </c>
      <c r="L201" s="134">
        <v>0</v>
      </c>
      <c r="M201" s="134">
        <v>0</v>
      </c>
      <c r="N201" s="43">
        <v>0</v>
      </c>
      <c r="O201" s="60">
        <v>17</v>
      </c>
      <c r="P201" s="134">
        <v>80</v>
      </c>
      <c r="Q201" s="60">
        <v>17</v>
      </c>
      <c r="R201" s="44">
        <f t="shared" si="79"/>
        <v>1360</v>
      </c>
    </row>
    <row r="202" spans="1:18" x14ac:dyDescent="0.25">
      <c r="A202" s="45">
        <v>12</v>
      </c>
      <c r="B202" s="81" t="s">
        <v>223</v>
      </c>
      <c r="C202" s="134">
        <v>434204</v>
      </c>
      <c r="D202" s="134">
        <v>315334</v>
      </c>
      <c r="E202" s="43">
        <f t="shared" si="65"/>
        <v>37.6965376394553</v>
      </c>
      <c r="F202" s="134">
        <v>148121</v>
      </c>
      <c r="G202" s="134">
        <v>141495</v>
      </c>
      <c r="H202" s="43">
        <f t="shared" si="68"/>
        <v>4.6828509841337222</v>
      </c>
      <c r="I202" s="134">
        <v>434204</v>
      </c>
      <c r="J202" s="134">
        <v>141495</v>
      </c>
      <c r="K202" s="54">
        <f t="shared" si="66"/>
        <v>206.86879395031627</v>
      </c>
      <c r="L202" s="134">
        <v>46905</v>
      </c>
      <c r="M202" s="134">
        <v>32952</v>
      </c>
      <c r="N202" s="43">
        <f t="shared" si="80"/>
        <v>42.343408594318987</v>
      </c>
      <c r="O202" s="60">
        <v>164</v>
      </c>
      <c r="P202" s="134"/>
      <c r="Q202" s="60">
        <v>164</v>
      </c>
      <c r="R202" s="44">
        <f t="shared" si="79"/>
        <v>0</v>
      </c>
    </row>
    <row r="203" spans="1:18" x14ac:dyDescent="0.25">
      <c r="A203" s="45">
        <v>13</v>
      </c>
      <c r="B203" s="81" t="s">
        <v>182</v>
      </c>
      <c r="C203" s="134">
        <v>133556</v>
      </c>
      <c r="D203" s="134">
        <v>73029</v>
      </c>
      <c r="E203" s="43">
        <f t="shared" si="65"/>
        <v>82.880773391392466</v>
      </c>
      <c r="F203" s="134">
        <v>35915</v>
      </c>
      <c r="G203" s="134">
        <v>27733</v>
      </c>
      <c r="H203" s="43">
        <f t="shared" si="68"/>
        <v>29.502758446615928</v>
      </c>
      <c r="I203" s="134">
        <v>140364</v>
      </c>
      <c r="J203" s="134">
        <v>71779</v>
      </c>
      <c r="K203" s="43">
        <f t="shared" si="66"/>
        <v>95.550230568829306</v>
      </c>
      <c r="L203" s="134">
        <v>7293</v>
      </c>
      <c r="M203" s="134">
        <v>0</v>
      </c>
      <c r="N203" s="43">
        <v>0</v>
      </c>
      <c r="O203" s="45">
        <v>133</v>
      </c>
      <c r="P203" s="45">
        <v>115</v>
      </c>
      <c r="Q203" s="45">
        <v>109</v>
      </c>
      <c r="R203" s="44">
        <f t="shared" si="79"/>
        <v>15295</v>
      </c>
    </row>
    <row r="204" spans="1:18" x14ac:dyDescent="0.25">
      <c r="A204" s="45">
        <v>14</v>
      </c>
      <c r="B204" s="81" t="s">
        <v>183</v>
      </c>
      <c r="C204" s="134">
        <v>1151</v>
      </c>
      <c r="D204" s="134">
        <v>3965</v>
      </c>
      <c r="E204" s="43">
        <f t="shared" si="65"/>
        <v>-70.970996216897859</v>
      </c>
      <c r="F204" s="134">
        <v>604</v>
      </c>
      <c r="G204" s="134">
        <v>2504</v>
      </c>
      <c r="H204" s="43">
        <v>0</v>
      </c>
      <c r="I204" s="134">
        <v>1151</v>
      </c>
      <c r="J204" s="134">
        <v>3965</v>
      </c>
      <c r="K204" s="43">
        <f t="shared" si="66"/>
        <v>-70.970996216897859</v>
      </c>
      <c r="L204" s="134">
        <v>0</v>
      </c>
      <c r="M204" s="134">
        <v>0</v>
      </c>
      <c r="N204" s="43">
        <v>0</v>
      </c>
      <c r="O204" s="45">
        <v>46</v>
      </c>
      <c r="P204" s="45">
        <v>80</v>
      </c>
      <c r="Q204" s="45">
        <v>44</v>
      </c>
      <c r="R204" s="44">
        <f t="shared" si="79"/>
        <v>3680</v>
      </c>
    </row>
    <row r="205" spans="1:18" x14ac:dyDescent="0.25">
      <c r="A205" s="45">
        <v>15</v>
      </c>
      <c r="B205" s="81" t="s">
        <v>184</v>
      </c>
      <c r="C205" s="134">
        <v>678710</v>
      </c>
      <c r="D205" s="134">
        <v>1024003</v>
      </c>
      <c r="E205" s="43">
        <f t="shared" si="65"/>
        <v>-33.719920742419703</v>
      </c>
      <c r="F205" s="134">
        <v>593800</v>
      </c>
      <c r="G205" s="134">
        <v>238592</v>
      </c>
      <c r="H205" s="43">
        <f t="shared" si="68"/>
        <v>148.87674356223175</v>
      </c>
      <c r="I205" s="134">
        <v>670695</v>
      </c>
      <c r="J205" s="134">
        <v>588114</v>
      </c>
      <c r="K205" s="43">
        <f t="shared" si="66"/>
        <v>14.041665391403697</v>
      </c>
      <c r="L205" s="134">
        <v>0</v>
      </c>
      <c r="M205" s="134">
        <v>0</v>
      </c>
      <c r="N205" s="43">
        <v>0</v>
      </c>
      <c r="O205" s="45">
        <v>481</v>
      </c>
      <c r="P205" s="45">
        <v>100</v>
      </c>
      <c r="Q205" s="45">
        <v>445</v>
      </c>
      <c r="R205" s="44">
        <f t="shared" si="79"/>
        <v>48100</v>
      </c>
    </row>
    <row r="206" spans="1:18" x14ac:dyDescent="0.25">
      <c r="A206" s="893" t="s">
        <v>185</v>
      </c>
      <c r="B206" s="894" t="s">
        <v>119</v>
      </c>
      <c r="C206" s="206">
        <f>SUM(C191:C205)</f>
        <v>13929247</v>
      </c>
      <c r="D206" s="206">
        <f>SUM(D191:D205)</f>
        <v>25020377</v>
      </c>
      <c r="E206" s="57">
        <f t="shared" si="65"/>
        <v>-44.328388816843166</v>
      </c>
      <c r="F206" s="206">
        <f>SUM(F191:F205)</f>
        <v>5747770</v>
      </c>
      <c r="G206" s="56">
        <f>SUM(G191:G205)</f>
        <v>9875037</v>
      </c>
      <c r="H206" s="57">
        <f t="shared" si="68"/>
        <v>-41.794952261951025</v>
      </c>
      <c r="I206" s="206">
        <f>SUM(I191:I205)</f>
        <v>11933147</v>
      </c>
      <c r="J206" s="206">
        <f>SUM(J191:J205)</f>
        <v>13537229</v>
      </c>
      <c r="K206" s="57">
        <f t="shared" si="66"/>
        <v>-11.849411722295599</v>
      </c>
      <c r="L206" s="206">
        <f>SUM(L191:L205)</f>
        <v>1103038</v>
      </c>
      <c r="M206" s="206">
        <f>SUM(M191:M205)</f>
        <v>2027866</v>
      </c>
      <c r="N206" s="57">
        <f t="shared" ref="N206:N207" si="81">L206/M206*100-100</f>
        <v>-45.605971992232227</v>
      </c>
      <c r="O206" s="56">
        <f>SUM(O172:O205)</f>
        <v>10961</v>
      </c>
      <c r="P206" s="87">
        <f>R206/O206</f>
        <v>20.489918803028921</v>
      </c>
      <c r="Q206" s="56">
        <f>SUM(Q174:Q205)</f>
        <v>6711</v>
      </c>
      <c r="R206" s="70">
        <f>SUM(R191:R205)</f>
        <v>224590</v>
      </c>
    </row>
    <row r="207" spans="1:18" x14ac:dyDescent="0.25">
      <c r="A207" s="135"/>
      <c r="B207" s="135" t="s">
        <v>186</v>
      </c>
      <c r="C207" s="208">
        <f>C182+C188+C206</f>
        <v>39496881</v>
      </c>
      <c r="D207" s="208">
        <f>D182+D188+D206</f>
        <v>42476956</v>
      </c>
      <c r="E207" s="16">
        <f t="shared" si="65"/>
        <v>-7.0157451960540698</v>
      </c>
      <c r="F207" s="136">
        <f>F182+F188+F206</f>
        <v>14987821</v>
      </c>
      <c r="G207" s="136">
        <f>G182+G188+G206</f>
        <v>15930855</v>
      </c>
      <c r="H207" s="16">
        <f t="shared" si="68"/>
        <v>-5.9195441801460049</v>
      </c>
      <c r="I207" s="208">
        <f>I182+I188+I206</f>
        <v>33014272</v>
      </c>
      <c r="J207" s="208">
        <f>J182+J188+J206</f>
        <v>31287174</v>
      </c>
      <c r="K207" s="16">
        <f t="shared" si="66"/>
        <v>5.5201470097618852</v>
      </c>
      <c r="L207" s="208">
        <f>L182+L188+L206</f>
        <v>15842952</v>
      </c>
      <c r="M207" s="208">
        <f>M182+M188+M206</f>
        <v>14857145</v>
      </c>
      <c r="N207" s="16">
        <f t="shared" si="81"/>
        <v>6.635238466071371</v>
      </c>
      <c r="O207" s="136">
        <f>O182+O188+O206</f>
        <v>15378</v>
      </c>
      <c r="P207" s="107">
        <f>R207/O207</f>
        <v>28.330081935232151</v>
      </c>
      <c r="Q207" s="136">
        <f>Q182+Q188+Q206</f>
        <v>9028</v>
      </c>
      <c r="R207" s="136">
        <f>R182+R188+R206</f>
        <v>435660</v>
      </c>
    </row>
    <row r="208" spans="1:18" x14ac:dyDescent="0.2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R208" s="121"/>
    </row>
    <row r="209" spans="1:18" x14ac:dyDescent="0.25">
      <c r="A209" s="949" t="s">
        <v>243</v>
      </c>
      <c r="B209" s="950"/>
      <c r="C209" s="951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24"/>
    </row>
    <row r="210" spans="1:18" x14ac:dyDescent="0.25">
      <c r="A210" s="891" t="s">
        <v>188</v>
      </c>
      <c r="B210" s="892"/>
      <c r="C210" s="37">
        <v>3</v>
      </c>
      <c r="D210" s="37">
        <v>4</v>
      </c>
      <c r="E210" s="38">
        <v>5</v>
      </c>
      <c r="F210" s="37">
        <v>6</v>
      </c>
      <c r="G210" s="37">
        <v>7</v>
      </c>
      <c r="H210" s="37">
        <v>8</v>
      </c>
      <c r="I210" s="37">
        <v>9</v>
      </c>
      <c r="J210" s="37">
        <v>10</v>
      </c>
      <c r="K210" s="37">
        <v>11</v>
      </c>
      <c r="L210" s="37">
        <v>12</v>
      </c>
      <c r="M210" s="27">
        <v>13</v>
      </c>
      <c r="N210" s="27">
        <v>14</v>
      </c>
      <c r="O210" s="27">
        <v>15</v>
      </c>
      <c r="P210" s="38">
        <v>16</v>
      </c>
      <c r="Q210" s="27">
        <v>15</v>
      </c>
    </row>
    <row r="211" spans="1:18" x14ac:dyDescent="0.25">
      <c r="A211" s="140">
        <v>1</v>
      </c>
      <c r="B211" s="141" t="s">
        <v>189</v>
      </c>
      <c r="C211" s="134">
        <v>266475</v>
      </c>
      <c r="D211" s="134">
        <v>406925</v>
      </c>
      <c r="E211" s="43">
        <f>C211/D211*100-100</f>
        <v>-34.514959759169386</v>
      </c>
      <c r="F211" s="134">
        <v>44602</v>
      </c>
      <c r="G211" s="134">
        <v>346404</v>
      </c>
      <c r="H211" s="43">
        <f>F211/G211*100-100</f>
        <v>-87.124282629530839</v>
      </c>
      <c r="I211" s="134">
        <v>266475</v>
      </c>
      <c r="J211" s="134">
        <v>575105</v>
      </c>
      <c r="K211" s="43">
        <f>I211/J211*100-100</f>
        <v>-53.664982916163133</v>
      </c>
      <c r="L211" s="134">
        <f>165940+100535</f>
        <v>266475</v>
      </c>
      <c r="M211" s="134">
        <f>469694+107411</f>
        <v>577105</v>
      </c>
      <c r="N211" s="43">
        <f>L211/M211*100-100</f>
        <v>-53.825560339972796</v>
      </c>
      <c r="O211" s="100">
        <v>135</v>
      </c>
      <c r="P211" s="100">
        <v>152</v>
      </c>
      <c r="Q211" s="100">
        <v>142</v>
      </c>
      <c r="R211" s="44">
        <f t="shared" ref="R211:R217" si="82">O211*P211</f>
        <v>20520</v>
      </c>
    </row>
    <row r="212" spans="1:18" x14ac:dyDescent="0.25">
      <c r="A212" s="140">
        <v>2</v>
      </c>
      <c r="B212" s="141" t="s">
        <v>190</v>
      </c>
      <c r="C212" s="134">
        <v>0</v>
      </c>
      <c r="D212" s="134">
        <v>0</v>
      </c>
      <c r="E212" s="43">
        <v>0</v>
      </c>
      <c r="F212" s="134">
        <v>0</v>
      </c>
      <c r="G212" s="134">
        <v>0</v>
      </c>
      <c r="H212" s="43">
        <v>0</v>
      </c>
      <c r="I212" s="134">
        <v>0</v>
      </c>
      <c r="J212" s="134">
        <v>0</v>
      </c>
      <c r="K212" s="43">
        <v>0</v>
      </c>
      <c r="L212" s="134"/>
      <c r="M212" s="134">
        <v>0</v>
      </c>
      <c r="N212" s="43">
        <v>0</v>
      </c>
      <c r="O212" s="45"/>
      <c r="P212" s="46">
        <v>0</v>
      </c>
      <c r="Q212" s="45"/>
      <c r="R212" s="44">
        <f t="shared" si="82"/>
        <v>0</v>
      </c>
    </row>
    <row r="213" spans="1:18" x14ac:dyDescent="0.25">
      <c r="A213" s="140">
        <v>3</v>
      </c>
      <c r="B213" s="141" t="s">
        <v>191</v>
      </c>
      <c r="C213" s="134">
        <v>1776750</v>
      </c>
      <c r="D213" s="134">
        <v>1535674</v>
      </c>
      <c r="E213" s="100">
        <f>C213/D213*100-100</f>
        <v>15.698383901791658</v>
      </c>
      <c r="F213" s="134">
        <v>719639</v>
      </c>
      <c r="G213" s="134">
        <v>686015</v>
      </c>
      <c r="H213" s="100">
        <f>F213/G213*100-100</f>
        <v>4.9013505535593112</v>
      </c>
      <c r="I213" s="134">
        <v>1776750</v>
      </c>
      <c r="J213" s="134">
        <v>1535674</v>
      </c>
      <c r="K213" s="100">
        <f>I213/J213*100-100</f>
        <v>15.698383901791658</v>
      </c>
      <c r="L213" s="134">
        <v>719639</v>
      </c>
      <c r="M213" s="134">
        <v>686015</v>
      </c>
      <c r="N213" s="43">
        <f>L213/M213*100-100</f>
        <v>4.9013505535593112</v>
      </c>
      <c r="O213" s="100">
        <v>116</v>
      </c>
      <c r="P213" s="142">
        <v>165</v>
      </c>
      <c r="Q213" s="100">
        <v>123</v>
      </c>
      <c r="R213" s="44">
        <f t="shared" si="82"/>
        <v>19140</v>
      </c>
    </row>
    <row r="214" spans="1:18" x14ac:dyDescent="0.25">
      <c r="A214" s="140">
        <v>4</v>
      </c>
      <c r="B214" s="141" t="s">
        <v>192</v>
      </c>
      <c r="C214" s="134">
        <v>78268</v>
      </c>
      <c r="D214" s="134">
        <v>253149</v>
      </c>
      <c r="E214" s="43">
        <f>C214/D214*100-100</f>
        <v>-69.082240103654371</v>
      </c>
      <c r="F214" s="134">
        <v>21657</v>
      </c>
      <c r="G214" s="134">
        <v>163353</v>
      </c>
      <c r="H214" s="43">
        <f>F214/G214*100-100</f>
        <v>-86.742208591210442</v>
      </c>
      <c r="I214" s="134">
        <v>141582</v>
      </c>
      <c r="J214" s="134">
        <v>176638</v>
      </c>
      <c r="K214" s="43">
        <f>I214/J214*100-100</f>
        <v>-19.846239201077907</v>
      </c>
      <c r="L214" s="134">
        <v>141582</v>
      </c>
      <c r="M214" s="134">
        <v>207199</v>
      </c>
      <c r="N214" s="43">
        <f>L214/M214*100-100</f>
        <v>-31.66858913411744</v>
      </c>
      <c r="O214" s="100">
        <v>42</v>
      </c>
      <c r="P214" s="100">
        <v>36</v>
      </c>
      <c r="Q214" s="100">
        <v>42</v>
      </c>
      <c r="R214" s="44">
        <f t="shared" si="82"/>
        <v>1512</v>
      </c>
    </row>
    <row r="215" spans="1:18" x14ac:dyDescent="0.25">
      <c r="A215" s="140">
        <v>5</v>
      </c>
      <c r="B215" s="141" t="s">
        <v>193</v>
      </c>
      <c r="C215" s="134">
        <v>1282091</v>
      </c>
      <c r="D215" s="134">
        <v>925436</v>
      </c>
      <c r="E215" s="43">
        <f>C215/D215*100-100</f>
        <v>38.539131825431468</v>
      </c>
      <c r="F215" s="134">
        <v>810008</v>
      </c>
      <c r="G215" s="134">
        <v>554282</v>
      </c>
      <c r="H215" s="43">
        <f>F215/G215*100-100</f>
        <v>46.136443182351229</v>
      </c>
      <c r="I215" s="134">
        <v>1180107</v>
      </c>
      <c r="J215" s="134">
        <v>736053</v>
      </c>
      <c r="K215" s="43">
        <f>I215/J215*100-100</f>
        <v>60.329079563564051</v>
      </c>
      <c r="L215" s="134">
        <v>1180107</v>
      </c>
      <c r="M215" s="134">
        <v>736053</v>
      </c>
      <c r="N215" s="43">
        <f>L215/M215*100-100</f>
        <v>60.329079563564051</v>
      </c>
      <c r="O215" s="100">
        <v>49</v>
      </c>
      <c r="P215" s="100">
        <v>128</v>
      </c>
      <c r="Q215" s="100">
        <v>43</v>
      </c>
      <c r="R215" s="44">
        <f t="shared" si="82"/>
        <v>6272</v>
      </c>
    </row>
    <row r="216" spans="1:18" x14ac:dyDescent="0.25">
      <c r="A216" s="140">
        <v>6</v>
      </c>
      <c r="B216" s="141" t="s">
        <v>194</v>
      </c>
      <c r="C216" s="134">
        <v>0</v>
      </c>
      <c r="D216" s="134">
        <v>16737</v>
      </c>
      <c r="E216" s="100">
        <v>0</v>
      </c>
      <c r="F216" s="134">
        <v>0</v>
      </c>
      <c r="G216" s="134">
        <v>16737</v>
      </c>
      <c r="H216" s="100">
        <v>0</v>
      </c>
      <c r="I216" s="134">
        <v>0</v>
      </c>
      <c r="J216" s="134">
        <v>0</v>
      </c>
      <c r="K216" s="100">
        <v>0</v>
      </c>
      <c r="L216" s="134">
        <v>0</v>
      </c>
      <c r="M216" s="134">
        <v>0</v>
      </c>
      <c r="N216" s="100">
        <v>0</v>
      </c>
      <c r="O216" s="100">
        <v>3</v>
      </c>
      <c r="P216" s="100">
        <v>143</v>
      </c>
      <c r="Q216" s="100">
        <v>3</v>
      </c>
      <c r="R216" s="44">
        <f t="shared" si="82"/>
        <v>429</v>
      </c>
    </row>
    <row r="217" spans="1:18" x14ac:dyDescent="0.25">
      <c r="A217" s="140">
        <v>7</v>
      </c>
      <c r="B217" s="141" t="s">
        <v>195</v>
      </c>
      <c r="C217" s="134">
        <v>0</v>
      </c>
      <c r="D217" s="134">
        <v>0</v>
      </c>
      <c r="E217" s="43">
        <v>0</v>
      </c>
      <c r="F217" s="134">
        <v>0</v>
      </c>
      <c r="G217" s="134">
        <v>0</v>
      </c>
      <c r="H217" s="43">
        <v>0</v>
      </c>
      <c r="I217" s="134">
        <v>0</v>
      </c>
      <c r="J217" s="134">
        <v>0</v>
      </c>
      <c r="K217" s="43">
        <v>0</v>
      </c>
      <c r="L217" s="134">
        <v>0</v>
      </c>
      <c r="M217" s="134">
        <v>0</v>
      </c>
      <c r="N217" s="43">
        <v>0</v>
      </c>
      <c r="O217" s="100"/>
      <c r="P217" s="100">
        <v>0</v>
      </c>
      <c r="Q217" s="100"/>
      <c r="R217" s="44">
        <f t="shared" si="82"/>
        <v>0</v>
      </c>
    </row>
    <row r="218" spans="1:18" x14ac:dyDescent="0.25">
      <c r="A218" s="893" t="s">
        <v>196</v>
      </c>
      <c r="B218" s="894" t="s">
        <v>155</v>
      </c>
      <c r="C218" s="87">
        <f>SUM(C211:C217)</f>
        <v>3403584</v>
      </c>
      <c r="D218" s="87">
        <f>SUM(D211:D217)</f>
        <v>3137921</v>
      </c>
      <c r="E218" s="57">
        <f t="shared" ref="E218" si="83">C218/D218*100-100</f>
        <v>8.4662105897503466</v>
      </c>
      <c r="F218" s="87">
        <f>SUM(F211:F217)</f>
        <v>1595906</v>
      </c>
      <c r="G218" s="87">
        <f>SUM(G211:G217)</f>
        <v>1766791</v>
      </c>
      <c r="H218" s="57">
        <f t="shared" ref="H218" si="84">F218/G218*100-100</f>
        <v>-9.6720551553635943</v>
      </c>
      <c r="I218" s="87">
        <f>SUM(I211:I217)</f>
        <v>3364914</v>
      </c>
      <c r="J218" s="87">
        <f>SUM(J211:J217)</f>
        <v>3023470</v>
      </c>
      <c r="K218" s="57">
        <f t="shared" ref="K218" si="85">I218/J218*100-100</f>
        <v>11.293116849183221</v>
      </c>
      <c r="L218" s="87">
        <f>SUM(L211:L217)</f>
        <v>2307803</v>
      </c>
      <c r="M218" s="56">
        <f>SUM(M211:M217)</f>
        <v>2206372</v>
      </c>
      <c r="N218" s="57">
        <f t="shared" ref="N218" si="86">L218/M218*100-100</f>
        <v>4.5971848808813718</v>
      </c>
      <c r="O218" s="87">
        <f>SUM(O211:O217)</f>
        <v>345</v>
      </c>
      <c r="P218" s="58">
        <f>R218/O218</f>
        <v>138.76231884057972</v>
      </c>
      <c r="Q218" s="87">
        <f>SUM(Q211:Q217)</f>
        <v>353</v>
      </c>
      <c r="R218" s="70">
        <f>SUM(R211:R217)</f>
        <v>47873</v>
      </c>
    </row>
    <row r="219" spans="1:18" x14ac:dyDescent="0.2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R219" s="44"/>
    </row>
    <row r="220" spans="1:18" x14ac:dyDescent="0.25">
      <c r="A220" s="957" t="s">
        <v>197</v>
      </c>
      <c r="B220" s="958"/>
      <c r="C220" s="100"/>
      <c r="D220" s="100"/>
      <c r="E220" s="43"/>
      <c r="F220" s="100"/>
      <c r="G220" s="100"/>
      <c r="H220" s="43"/>
      <c r="I220" s="100"/>
      <c r="J220" s="100"/>
      <c r="K220" s="43"/>
      <c r="L220" s="100"/>
      <c r="M220" s="100"/>
      <c r="N220" s="43"/>
      <c r="O220" s="100"/>
      <c r="P220" s="100"/>
      <c r="Q220" s="100"/>
    </row>
    <row r="221" spans="1:18" x14ac:dyDescent="0.25">
      <c r="A221" s="116">
        <v>1</v>
      </c>
      <c r="B221" s="187" t="s">
        <v>198</v>
      </c>
      <c r="C221" s="134">
        <v>631604</v>
      </c>
      <c r="D221" s="134">
        <v>445317</v>
      </c>
      <c r="E221" s="43">
        <f t="shared" ref="E221:E222" si="87">C221/D221*100-100</f>
        <v>41.832447447548589</v>
      </c>
      <c r="F221" s="134">
        <v>265368</v>
      </c>
      <c r="G221" s="134">
        <v>187886</v>
      </c>
      <c r="H221" s="43">
        <f t="shared" ref="H221:H224" si="88">F221/G221*100-100</f>
        <v>41.238836315638196</v>
      </c>
      <c r="I221" s="134">
        <v>488163</v>
      </c>
      <c r="J221" s="134">
        <v>401815</v>
      </c>
      <c r="K221" s="43">
        <f t="shared" ref="K221" si="89">I221/J221*100-100</f>
        <v>21.489491432624462</v>
      </c>
      <c r="L221" s="134">
        <f>209711+204428</f>
        <v>414139</v>
      </c>
      <c r="M221" s="134">
        <f>53743+255994</f>
        <v>309737</v>
      </c>
      <c r="N221" s="100">
        <f t="shared" ref="N221:N226" si="90">L221/M221*100-100</f>
        <v>33.706660812237487</v>
      </c>
      <c r="O221" s="100">
        <v>139</v>
      </c>
      <c r="P221" s="100">
        <v>121</v>
      </c>
      <c r="Q221" s="100">
        <v>152</v>
      </c>
      <c r="R221" s="44">
        <f>O221*P221</f>
        <v>16819</v>
      </c>
    </row>
    <row r="222" spans="1:18" x14ac:dyDescent="0.25">
      <c r="A222" s="116">
        <v>2</v>
      </c>
      <c r="B222" s="141" t="s">
        <v>199</v>
      </c>
      <c r="C222" s="134">
        <v>1872</v>
      </c>
      <c r="D222" s="134">
        <v>807</v>
      </c>
      <c r="E222" s="43">
        <f t="shared" si="87"/>
        <v>131.97026022304831</v>
      </c>
      <c r="F222" s="134">
        <v>855</v>
      </c>
      <c r="G222" s="134">
        <v>372</v>
      </c>
      <c r="H222" s="43">
        <f t="shared" si="88"/>
        <v>129.83870967741936</v>
      </c>
      <c r="I222" s="134">
        <v>14537</v>
      </c>
      <c r="J222" s="134">
        <v>15157</v>
      </c>
      <c r="K222" s="43">
        <f>I222/J222*100-100</f>
        <v>-4.0905192320380053</v>
      </c>
      <c r="L222" s="134">
        <v>0</v>
      </c>
      <c r="M222" s="134">
        <v>0</v>
      </c>
      <c r="N222" s="100">
        <v>0</v>
      </c>
      <c r="O222" s="100">
        <v>72</v>
      </c>
      <c r="P222" s="100">
        <v>127</v>
      </c>
      <c r="Q222" s="100">
        <v>72</v>
      </c>
      <c r="R222" s="44">
        <f>O222*P222</f>
        <v>9144</v>
      </c>
    </row>
    <row r="223" spans="1:18" x14ac:dyDescent="0.25">
      <c r="A223" s="147">
        <v>3</v>
      </c>
      <c r="B223" s="141" t="s">
        <v>200</v>
      </c>
      <c r="C223" s="134">
        <v>0</v>
      </c>
      <c r="D223" s="134">
        <v>0</v>
      </c>
      <c r="E223" s="43">
        <v>0</v>
      </c>
      <c r="F223" s="134">
        <v>0</v>
      </c>
      <c r="G223" s="134">
        <v>0</v>
      </c>
      <c r="H223" s="43">
        <v>0</v>
      </c>
      <c r="I223" s="134">
        <v>0</v>
      </c>
      <c r="J223" s="134">
        <v>0</v>
      </c>
      <c r="K223" s="43">
        <v>0</v>
      </c>
      <c r="L223" s="134">
        <v>0</v>
      </c>
      <c r="M223" s="134">
        <v>0</v>
      </c>
      <c r="N223" s="100">
        <v>0</v>
      </c>
      <c r="O223" s="45"/>
      <c r="P223" s="46">
        <v>0</v>
      </c>
      <c r="Q223" s="45">
        <v>0</v>
      </c>
      <c r="R223" s="44">
        <f>O223*P223</f>
        <v>0</v>
      </c>
    </row>
    <row r="224" spans="1:18" x14ac:dyDescent="0.25">
      <c r="A224" s="147">
        <v>4</v>
      </c>
      <c r="B224" s="141" t="s">
        <v>201</v>
      </c>
      <c r="C224" s="134">
        <v>245769</v>
      </c>
      <c r="D224" s="134">
        <v>119899</v>
      </c>
      <c r="E224" s="54">
        <f t="shared" ref="E224:E226" si="91">C224/D224*100-100</f>
        <v>104.98002485425232</v>
      </c>
      <c r="F224" s="134">
        <v>0</v>
      </c>
      <c r="G224" s="134">
        <v>0</v>
      </c>
      <c r="H224" s="43" t="e">
        <f t="shared" si="88"/>
        <v>#DIV/0!</v>
      </c>
      <c r="I224" s="134">
        <v>245769</v>
      </c>
      <c r="J224" s="134">
        <v>119899</v>
      </c>
      <c r="K224" s="43">
        <f t="shared" ref="K224:K226" si="92">I224/J224*100-100</f>
        <v>104.98002485425232</v>
      </c>
      <c r="L224" s="134">
        <f>210500+35269</f>
        <v>245769</v>
      </c>
      <c r="M224" s="134">
        <v>119899</v>
      </c>
      <c r="N224" s="100">
        <f t="shared" si="90"/>
        <v>104.98002485425232</v>
      </c>
      <c r="O224" s="100">
        <v>30</v>
      </c>
      <c r="P224" s="100">
        <v>70</v>
      </c>
      <c r="Q224" s="100">
        <v>31</v>
      </c>
      <c r="R224" s="44">
        <f>O224*P224</f>
        <v>2100</v>
      </c>
    </row>
    <row r="225" spans="1:19" x14ac:dyDescent="0.25">
      <c r="A225" s="893" t="s">
        <v>202</v>
      </c>
      <c r="B225" s="894" t="s">
        <v>155</v>
      </c>
      <c r="C225" s="87">
        <f>SUM(C221:C224)</f>
        <v>879245</v>
      </c>
      <c r="D225" s="87">
        <f>SUM(D221:D224)</f>
        <v>566023</v>
      </c>
      <c r="E225" s="57">
        <f t="shared" si="91"/>
        <v>55.337327281753574</v>
      </c>
      <c r="F225" s="87">
        <f>SUM(F221:F224)</f>
        <v>266223</v>
      </c>
      <c r="G225" s="87">
        <f>SUM(G221:G224)</f>
        <v>188258</v>
      </c>
      <c r="H225" s="57">
        <v>0</v>
      </c>
      <c r="I225" s="87">
        <f>SUM(I221:I224)</f>
        <v>748469</v>
      </c>
      <c r="J225" s="87">
        <f>SUM(J221:J224)</f>
        <v>536871</v>
      </c>
      <c r="K225" s="57">
        <f t="shared" si="92"/>
        <v>39.41319236837154</v>
      </c>
      <c r="L225" s="87">
        <f>SUM(L221:L224)</f>
        <v>659908</v>
      </c>
      <c r="M225" s="87">
        <f>SUM(M221:M224)</f>
        <v>429636</v>
      </c>
      <c r="N225" s="57">
        <f t="shared" si="90"/>
        <v>53.596998389334232</v>
      </c>
      <c r="O225" s="87">
        <f>SUM(O221:O224)</f>
        <v>241</v>
      </c>
      <c r="P225" s="58">
        <f>R225/O225</f>
        <v>116.44398340248962</v>
      </c>
      <c r="Q225" s="87">
        <f>SUM(Q221:Q224)</f>
        <v>255</v>
      </c>
      <c r="R225" s="70">
        <f>SUM(R221:R224)</f>
        <v>28063</v>
      </c>
    </row>
    <row r="226" spans="1:19" x14ac:dyDescent="0.25">
      <c r="A226" s="135"/>
      <c r="B226" s="135" t="s">
        <v>203</v>
      </c>
      <c r="C226" s="106">
        <f>C218+C225</f>
        <v>4282829</v>
      </c>
      <c r="D226" s="106">
        <f>D218+D225</f>
        <v>3703944</v>
      </c>
      <c r="E226" s="16">
        <f t="shared" si="91"/>
        <v>15.628880998200827</v>
      </c>
      <c r="F226" s="106">
        <f>F218+F225</f>
        <v>1862129</v>
      </c>
      <c r="G226" s="106">
        <f>G218+G225</f>
        <v>1955049</v>
      </c>
      <c r="H226" s="16">
        <f t="shared" ref="H226" si="93">F226/G226*100-100</f>
        <v>-4.7528220520304103</v>
      </c>
      <c r="I226" s="106">
        <f>I218+I225</f>
        <v>4113383</v>
      </c>
      <c r="J226" s="106">
        <f>J218+J225</f>
        <v>3560341</v>
      </c>
      <c r="K226" s="16">
        <f t="shared" si="92"/>
        <v>15.533399750192473</v>
      </c>
      <c r="L226" s="106">
        <f>L218+L225</f>
        <v>2967711</v>
      </c>
      <c r="M226" s="106">
        <f>M218+M225</f>
        <v>2636008</v>
      </c>
      <c r="N226" s="16">
        <f t="shared" si="90"/>
        <v>12.583535406569339</v>
      </c>
      <c r="O226" s="106">
        <f>O218+O225</f>
        <v>586</v>
      </c>
      <c r="P226" s="107">
        <f>R226/O226</f>
        <v>129.58361774744029</v>
      </c>
      <c r="Q226" s="106">
        <f>Q218+Q225</f>
        <v>608</v>
      </c>
      <c r="R226" s="106">
        <f>R218+R225</f>
        <v>75936</v>
      </c>
      <c r="S226" s="197"/>
    </row>
    <row r="227" spans="1:19" x14ac:dyDescent="0.2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R227" s="31"/>
    </row>
    <row r="228" spans="1:19" x14ac:dyDescent="0.25">
      <c r="A228" s="955" t="s">
        <v>204</v>
      </c>
      <c r="B228" s="956"/>
      <c r="C228" s="37">
        <v>3</v>
      </c>
      <c r="D228" s="37">
        <v>4</v>
      </c>
      <c r="E228" s="38">
        <v>5</v>
      </c>
      <c r="F228" s="37">
        <v>6</v>
      </c>
      <c r="G228" s="37">
        <v>7</v>
      </c>
      <c r="H228" s="37">
        <v>8</v>
      </c>
      <c r="I228" s="37">
        <v>9</v>
      </c>
      <c r="J228" s="37">
        <v>10</v>
      </c>
      <c r="K228" s="37">
        <v>11</v>
      </c>
      <c r="L228" s="37">
        <v>12</v>
      </c>
      <c r="M228" s="37">
        <v>13</v>
      </c>
      <c r="N228" s="37">
        <v>14</v>
      </c>
      <c r="O228" s="37">
        <v>15</v>
      </c>
      <c r="P228" s="38">
        <v>16</v>
      </c>
      <c r="Q228" s="37">
        <v>17</v>
      </c>
    </row>
    <row r="229" spans="1:19" x14ac:dyDescent="0.25">
      <c r="A229" s="152">
        <v>1</v>
      </c>
      <c r="B229" s="154" t="s">
        <v>205</v>
      </c>
      <c r="C229" s="134">
        <v>207321.9</v>
      </c>
      <c r="D229" s="134">
        <v>154811.1</v>
      </c>
      <c r="E229" s="151">
        <f t="shared" ref="E229:E238" si="94">C229/D229*100-100</f>
        <v>33.919273230407896</v>
      </c>
      <c r="F229" s="134">
        <v>96890.7</v>
      </c>
      <c r="G229" s="134">
        <v>52566.3</v>
      </c>
      <c r="H229" s="151">
        <f t="shared" ref="H229:H238" si="95">F229/G229*100-100</f>
        <v>84.320943265932726</v>
      </c>
      <c r="I229" s="134">
        <v>145759.1</v>
      </c>
      <c r="J229" s="134">
        <v>63329</v>
      </c>
      <c r="K229" s="151">
        <f t="shared" ref="K229:K238" si="96">I229/J229*100-100</f>
        <v>130.16169527388718</v>
      </c>
      <c r="L229" s="134">
        <v>0</v>
      </c>
      <c r="M229" s="134">
        <v>0</v>
      </c>
      <c r="N229" s="100">
        <v>0</v>
      </c>
      <c r="O229" s="45">
        <v>270</v>
      </c>
      <c r="P229" s="75">
        <v>261.3</v>
      </c>
      <c r="Q229" s="45">
        <v>270</v>
      </c>
      <c r="R229" s="157">
        <f t="shared" ref="R229:R237" si="97">O229*P229</f>
        <v>70551</v>
      </c>
    </row>
    <row r="230" spans="1:19" x14ac:dyDescent="0.25">
      <c r="A230" s="152">
        <v>2</v>
      </c>
      <c r="B230" s="154" t="s">
        <v>206</v>
      </c>
      <c r="C230" s="134">
        <v>9161</v>
      </c>
      <c r="D230" s="134">
        <v>1213</v>
      </c>
      <c r="E230" s="151">
        <f t="shared" si="94"/>
        <v>655.234954657873</v>
      </c>
      <c r="F230" s="134">
        <v>1121</v>
      </c>
      <c r="G230" s="134">
        <v>1213</v>
      </c>
      <c r="H230" s="151">
        <f t="shared" si="95"/>
        <v>-7.5845012366034581</v>
      </c>
      <c r="I230" s="134">
        <v>9161</v>
      </c>
      <c r="J230" s="134">
        <v>1213</v>
      </c>
      <c r="K230" s="151">
        <v>0</v>
      </c>
      <c r="L230" s="134">
        <v>9161</v>
      </c>
      <c r="M230" s="134">
        <v>1213</v>
      </c>
      <c r="N230" s="100">
        <v>0</v>
      </c>
      <c r="O230" s="45">
        <v>8</v>
      </c>
      <c r="P230" s="75">
        <v>71.2</v>
      </c>
      <c r="Q230" s="45">
        <v>88</v>
      </c>
      <c r="R230" s="157">
        <f t="shared" si="97"/>
        <v>569.6</v>
      </c>
    </row>
    <row r="231" spans="1:19" ht="24" x14ac:dyDescent="0.25">
      <c r="A231" s="158">
        <v>3</v>
      </c>
      <c r="B231" s="159" t="s">
        <v>207</v>
      </c>
      <c r="C231" s="134">
        <v>25546</v>
      </c>
      <c r="D231" s="134">
        <v>28628</v>
      </c>
      <c r="E231" s="189">
        <f t="shared" si="94"/>
        <v>-10.765683945787345</v>
      </c>
      <c r="F231" s="134">
        <v>16542</v>
      </c>
      <c r="G231" s="134">
        <v>18008</v>
      </c>
      <c r="H231" s="189">
        <v>0</v>
      </c>
      <c r="I231" s="134">
        <v>0</v>
      </c>
      <c r="J231" s="134">
        <v>0</v>
      </c>
      <c r="K231" s="189">
        <v>0</v>
      </c>
      <c r="L231" s="134">
        <v>0</v>
      </c>
      <c r="M231" s="134">
        <v>0</v>
      </c>
      <c r="N231" s="48">
        <v>0</v>
      </c>
      <c r="O231" s="42">
        <v>88</v>
      </c>
      <c r="P231" s="62">
        <v>97</v>
      </c>
      <c r="Q231" s="42">
        <v>5</v>
      </c>
      <c r="R231" s="160">
        <f t="shared" si="97"/>
        <v>8536</v>
      </c>
    </row>
    <row r="232" spans="1:19" x14ac:dyDescent="0.25">
      <c r="A232" s="152">
        <v>4</v>
      </c>
      <c r="B232" s="161" t="s">
        <v>208</v>
      </c>
      <c r="C232" s="134">
        <v>0</v>
      </c>
      <c r="D232" s="134">
        <v>307</v>
      </c>
      <c r="E232" s="151">
        <v>0</v>
      </c>
      <c r="F232" s="134">
        <v>0</v>
      </c>
      <c r="G232" s="134">
        <v>182</v>
      </c>
      <c r="H232" s="151">
        <v>0</v>
      </c>
      <c r="I232" s="134">
        <v>0</v>
      </c>
      <c r="J232" s="134">
        <v>307</v>
      </c>
      <c r="K232" s="151">
        <v>0</v>
      </c>
      <c r="L232" s="134">
        <v>0</v>
      </c>
      <c r="M232" s="134">
        <v>0</v>
      </c>
      <c r="N232" s="100">
        <v>0</v>
      </c>
      <c r="O232" s="45">
        <v>5</v>
      </c>
      <c r="P232" s="100">
        <v>55.7</v>
      </c>
      <c r="Q232" s="45">
        <v>16</v>
      </c>
      <c r="R232" s="162">
        <f t="shared" si="97"/>
        <v>278.5</v>
      </c>
    </row>
    <row r="233" spans="1:19" x14ac:dyDescent="0.25">
      <c r="A233" s="152">
        <v>5</v>
      </c>
      <c r="B233" s="163" t="s">
        <v>209</v>
      </c>
      <c r="C233" s="134">
        <v>0</v>
      </c>
      <c r="D233" s="134">
        <v>0</v>
      </c>
      <c r="E233" s="151" t="e">
        <f t="shared" si="94"/>
        <v>#DIV/0!</v>
      </c>
      <c r="F233" s="134">
        <v>0</v>
      </c>
      <c r="G233" s="134">
        <v>0</v>
      </c>
      <c r="H233" s="151" t="e">
        <f t="shared" si="95"/>
        <v>#DIV/0!</v>
      </c>
      <c r="I233" s="134">
        <v>0</v>
      </c>
      <c r="J233" s="134">
        <v>0</v>
      </c>
      <c r="K233" s="151">
        <v>0</v>
      </c>
      <c r="L233" s="134">
        <v>0</v>
      </c>
      <c r="M233" s="134">
        <v>0</v>
      </c>
      <c r="N233" s="100">
        <v>0</v>
      </c>
      <c r="O233" s="45">
        <v>16</v>
      </c>
      <c r="P233" s="75">
        <v>59</v>
      </c>
      <c r="Q233" s="45">
        <v>11</v>
      </c>
      <c r="R233" s="162">
        <f t="shared" si="97"/>
        <v>944</v>
      </c>
    </row>
    <row r="234" spans="1:19" x14ac:dyDescent="0.25">
      <c r="A234" s="152">
        <v>6</v>
      </c>
      <c r="B234" s="154" t="s">
        <v>210</v>
      </c>
      <c r="C234" s="134">
        <v>2951</v>
      </c>
      <c r="D234" s="134">
        <v>3120</v>
      </c>
      <c r="E234" s="151">
        <f t="shared" si="94"/>
        <v>-5.4166666666666714</v>
      </c>
      <c r="F234" s="134">
        <v>1016</v>
      </c>
      <c r="G234" s="134">
        <v>905</v>
      </c>
      <c r="H234" s="151">
        <f t="shared" si="95"/>
        <v>12.265193370165733</v>
      </c>
      <c r="I234" s="134">
        <v>0</v>
      </c>
      <c r="J234" s="134">
        <v>0</v>
      </c>
      <c r="K234" s="151">
        <v>0</v>
      </c>
      <c r="L234" s="134">
        <v>0</v>
      </c>
      <c r="M234" s="134">
        <v>0</v>
      </c>
      <c r="N234" s="100">
        <v>0</v>
      </c>
      <c r="O234" s="45">
        <v>11</v>
      </c>
      <c r="P234" s="75">
        <v>79.400000000000006</v>
      </c>
      <c r="Q234" s="45">
        <v>23</v>
      </c>
      <c r="R234" s="162">
        <f t="shared" si="97"/>
        <v>873.40000000000009</v>
      </c>
    </row>
    <row r="235" spans="1:19" x14ac:dyDescent="0.25">
      <c r="A235" s="152">
        <v>7</v>
      </c>
      <c r="B235" s="154" t="s">
        <v>211</v>
      </c>
      <c r="C235" s="134">
        <v>15800</v>
      </c>
      <c r="D235" s="134">
        <v>11235</v>
      </c>
      <c r="E235" s="151">
        <f t="shared" si="94"/>
        <v>40.63195371606588</v>
      </c>
      <c r="F235" s="134">
        <v>5000</v>
      </c>
      <c r="G235" s="134">
        <v>2435</v>
      </c>
      <c r="H235" s="151">
        <f t="shared" si="95"/>
        <v>105.33880903490757</v>
      </c>
      <c r="I235" s="134">
        <v>991</v>
      </c>
      <c r="J235" s="134">
        <v>984</v>
      </c>
      <c r="K235" s="151">
        <f t="shared" si="96"/>
        <v>0.7113821138211307</v>
      </c>
      <c r="L235" s="134">
        <v>0</v>
      </c>
      <c r="M235" s="134">
        <v>0</v>
      </c>
      <c r="N235" s="100">
        <v>0</v>
      </c>
      <c r="O235" s="45">
        <v>21</v>
      </c>
      <c r="P235" s="75">
        <v>177.4</v>
      </c>
      <c r="Q235" s="45">
        <v>8</v>
      </c>
      <c r="R235" s="162">
        <f t="shared" si="97"/>
        <v>3725.4</v>
      </c>
    </row>
    <row r="236" spans="1:19" x14ac:dyDescent="0.25">
      <c r="A236" s="152">
        <v>8</v>
      </c>
      <c r="B236" s="154" t="s">
        <v>212</v>
      </c>
      <c r="C236" s="134">
        <v>3578</v>
      </c>
      <c r="D236" s="134">
        <v>4284</v>
      </c>
      <c r="E236" s="151">
        <f t="shared" si="94"/>
        <v>-16.479925303454706</v>
      </c>
      <c r="F236" s="134">
        <v>1198</v>
      </c>
      <c r="G236" s="134">
        <v>1048</v>
      </c>
      <c r="H236" s="151">
        <f t="shared" si="95"/>
        <v>14.312977099236647</v>
      </c>
      <c r="I236" s="134">
        <v>3578</v>
      </c>
      <c r="J236" s="134">
        <v>4284</v>
      </c>
      <c r="K236" s="151">
        <f t="shared" si="96"/>
        <v>-16.479925303454706</v>
      </c>
      <c r="L236" s="134">
        <v>0</v>
      </c>
      <c r="M236" s="134">
        <v>0</v>
      </c>
      <c r="N236" s="100">
        <v>0</v>
      </c>
      <c r="O236" s="45">
        <v>9</v>
      </c>
      <c r="P236" s="75">
        <v>76.900000000000006</v>
      </c>
      <c r="Q236" s="45">
        <v>23</v>
      </c>
      <c r="R236" s="157">
        <f t="shared" si="97"/>
        <v>692.1</v>
      </c>
    </row>
    <row r="237" spans="1:19" x14ac:dyDescent="0.25">
      <c r="A237" s="152">
        <v>9</v>
      </c>
      <c r="B237" s="164" t="s">
        <v>213</v>
      </c>
      <c r="C237" s="134">
        <v>85</v>
      </c>
      <c r="D237" s="134">
        <v>335</v>
      </c>
      <c r="E237" s="151">
        <f t="shared" si="94"/>
        <v>-74.626865671641795</v>
      </c>
      <c r="F237" s="42">
        <v>85</v>
      </c>
      <c r="G237" s="134">
        <v>335</v>
      </c>
      <c r="H237" s="151">
        <f t="shared" si="95"/>
        <v>-74.626865671641795</v>
      </c>
      <c r="I237" s="42">
        <v>992</v>
      </c>
      <c r="J237" s="134">
        <v>1142</v>
      </c>
      <c r="K237" s="151">
        <f t="shared" si="96"/>
        <v>-13.134851138353767</v>
      </c>
      <c r="L237" s="134">
        <v>0</v>
      </c>
      <c r="M237" s="134">
        <v>0</v>
      </c>
      <c r="N237" s="100">
        <v>0</v>
      </c>
      <c r="O237" s="45">
        <v>23</v>
      </c>
      <c r="P237" s="100">
        <v>59.7</v>
      </c>
      <c r="Q237" s="45">
        <v>8</v>
      </c>
      <c r="R237" s="162">
        <f t="shared" si="97"/>
        <v>1373.1000000000001</v>
      </c>
    </row>
    <row r="238" spans="1:19" x14ac:dyDescent="0.25">
      <c r="A238" s="56"/>
      <c r="B238" s="56" t="s">
        <v>214</v>
      </c>
      <c r="C238" s="87">
        <f>SUM(C229:C237)</f>
        <v>264442.90000000002</v>
      </c>
      <c r="D238" s="87">
        <f>SUM(D229:D237)</f>
        <v>203933.1</v>
      </c>
      <c r="E238" s="58">
        <f t="shared" si="94"/>
        <v>29.671397139552141</v>
      </c>
      <c r="F238" s="206">
        <f>SUM(F229:F237)</f>
        <v>121852.7</v>
      </c>
      <c r="G238" s="87">
        <f>SUM(G229:G237)</f>
        <v>76692.3</v>
      </c>
      <c r="H238" s="56">
        <f t="shared" si="95"/>
        <v>58.88518143281658</v>
      </c>
      <c r="I238" s="87">
        <f>SUM(I229:I237)</f>
        <v>160481.1</v>
      </c>
      <c r="J238" s="56">
        <f>SUM(J229:J237)</f>
        <v>71259</v>
      </c>
      <c r="K238" s="56">
        <f t="shared" si="96"/>
        <v>125.20818422936051</v>
      </c>
      <c r="L238" s="56">
        <f>SUM(L229:L237)</f>
        <v>9161</v>
      </c>
      <c r="M238" s="56">
        <f>SUM(M229:M237)</f>
        <v>1213</v>
      </c>
      <c r="N238" s="56">
        <f t="shared" ref="N238" si="98">L238/M238*100-100</f>
        <v>655.234954657873</v>
      </c>
      <c r="O238" s="56">
        <f>SUM(O229:O237)</f>
        <v>451</v>
      </c>
      <c r="P238" s="87">
        <f>R238/O238</f>
        <v>194.1088691796009</v>
      </c>
      <c r="Q238" s="56">
        <f>SUM(Q229:Q237)</f>
        <v>452</v>
      </c>
      <c r="R238" s="188">
        <f>SUM(R229:R237)</f>
        <v>87543.1</v>
      </c>
    </row>
    <row r="239" spans="1:19" x14ac:dyDescent="0.2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R239" s="24"/>
    </row>
    <row r="240" spans="1:19" x14ac:dyDescent="0.25">
      <c r="A240" s="909" t="s">
        <v>215</v>
      </c>
      <c r="B240" s="910"/>
      <c r="C240" s="37">
        <v>3</v>
      </c>
      <c r="D240" s="37">
        <v>4</v>
      </c>
      <c r="E240" s="38">
        <v>5</v>
      </c>
      <c r="F240" s="37">
        <v>6</v>
      </c>
      <c r="G240" s="37">
        <v>7</v>
      </c>
      <c r="H240" s="37">
        <v>8</v>
      </c>
      <c r="I240" s="37">
        <v>9</v>
      </c>
      <c r="J240" s="37">
        <v>10</v>
      </c>
      <c r="K240" s="37">
        <v>11</v>
      </c>
      <c r="L240" s="37">
        <v>12</v>
      </c>
      <c r="M240" s="37">
        <v>13</v>
      </c>
      <c r="N240" s="37">
        <v>14</v>
      </c>
      <c r="O240" s="37">
        <v>15</v>
      </c>
      <c r="P240" s="38">
        <v>16</v>
      </c>
      <c r="Q240" s="37">
        <v>15</v>
      </c>
    </row>
    <row r="241" spans="1:18" x14ac:dyDescent="0.25">
      <c r="A241" s="100">
        <v>1</v>
      </c>
      <c r="B241" s="167" t="s">
        <v>216</v>
      </c>
      <c r="C241" s="134">
        <v>16271</v>
      </c>
      <c r="D241" s="134">
        <v>37843</v>
      </c>
      <c r="E241" s="151">
        <f t="shared" ref="E241:E243" si="99">C241/D241*100-100</f>
        <v>-57.003937319979919</v>
      </c>
      <c r="F241" s="134">
        <v>13828</v>
      </c>
      <c r="G241" s="134">
        <v>5644</v>
      </c>
      <c r="H241" s="151">
        <f t="shared" ref="H241:H242" si="100">F241/G241*100-100</f>
        <v>145.00354358610915</v>
      </c>
      <c r="I241" s="134">
        <v>16271</v>
      </c>
      <c r="J241" s="134">
        <v>37843</v>
      </c>
      <c r="K241" s="151">
        <f t="shared" ref="K241:K242" si="101">I241/J241*100-100</f>
        <v>-57.003937319979919</v>
      </c>
      <c r="L241" s="134">
        <v>16271</v>
      </c>
      <c r="M241" s="134">
        <f>19229+18614</f>
        <v>37843</v>
      </c>
      <c r="N241" s="151">
        <f t="shared" ref="N241:N242" si="102">L241/M241*100-100</f>
        <v>-57.003937319979919</v>
      </c>
      <c r="O241" s="34">
        <v>48</v>
      </c>
      <c r="P241" s="100">
        <v>63</v>
      </c>
      <c r="Q241" s="34">
        <v>48</v>
      </c>
      <c r="R241" s="72">
        <f>O241*P241</f>
        <v>3024</v>
      </c>
    </row>
    <row r="242" spans="1:18" x14ac:dyDescent="0.25">
      <c r="A242" s="100">
        <v>2</v>
      </c>
      <c r="B242" s="167" t="s">
        <v>217</v>
      </c>
      <c r="C242" s="134">
        <v>0</v>
      </c>
      <c r="D242" s="134">
        <v>17509</v>
      </c>
      <c r="E242" s="43">
        <f t="shared" si="99"/>
        <v>-100</v>
      </c>
      <c r="F242" s="134">
        <v>0</v>
      </c>
      <c r="G242" s="134">
        <v>12141</v>
      </c>
      <c r="H242" s="151">
        <f t="shared" si="100"/>
        <v>-100</v>
      </c>
      <c r="I242" s="134">
        <v>2754</v>
      </c>
      <c r="J242" s="134">
        <v>17540</v>
      </c>
      <c r="K242" s="151">
        <f t="shared" si="101"/>
        <v>-84.298745724059287</v>
      </c>
      <c r="L242" s="134">
        <v>2754</v>
      </c>
      <c r="M242" s="134">
        <v>8018</v>
      </c>
      <c r="N242" s="151">
        <f t="shared" si="102"/>
        <v>-65.652282364679479</v>
      </c>
      <c r="O242" s="34">
        <v>164</v>
      </c>
      <c r="P242" s="100">
        <v>82</v>
      </c>
      <c r="Q242" s="34">
        <v>164</v>
      </c>
      <c r="R242" s="72">
        <f>O242*P242</f>
        <v>13448</v>
      </c>
    </row>
    <row r="243" spans="1:18" x14ac:dyDescent="0.25">
      <c r="A243" s="893" t="s">
        <v>202</v>
      </c>
      <c r="B243" s="894" t="s">
        <v>155</v>
      </c>
      <c r="C243" s="206">
        <f>SUM(C241:C242)</f>
        <v>16271</v>
      </c>
      <c r="D243" s="206">
        <f>SUM(D241:D242)</f>
        <v>55352</v>
      </c>
      <c r="E243" s="57">
        <f t="shared" si="99"/>
        <v>-70.604494869200749</v>
      </c>
      <c r="F243" s="206">
        <f>SUM(F241:F242)</f>
        <v>13828</v>
      </c>
      <c r="G243" s="206">
        <f>SUM(G241:G242)</f>
        <v>17785</v>
      </c>
      <c r="H243" s="57">
        <f t="shared" ref="H243" si="103">F243/G243*100-100</f>
        <v>-22.249086308687097</v>
      </c>
      <c r="I243" s="58">
        <f>SUM(I241:I242)</f>
        <v>19025</v>
      </c>
      <c r="J243" s="206">
        <f>SUM(J241:J242)</f>
        <v>55383</v>
      </c>
      <c r="K243" s="57">
        <f t="shared" ref="K243" si="104">I243/J243*100-100</f>
        <v>-65.648303631078136</v>
      </c>
      <c r="L243" s="87">
        <f>SUM(L241:L242)</f>
        <v>19025</v>
      </c>
      <c r="M243" s="206">
        <f>SUM(M241:M242)</f>
        <v>45861</v>
      </c>
      <c r="N243" s="168">
        <f t="shared" ref="N243" si="105">L243/M243*100-100</f>
        <v>-58.515950371775581</v>
      </c>
      <c r="O243" s="87">
        <f>SUM(O241:O242)</f>
        <v>212</v>
      </c>
      <c r="P243" s="87">
        <f>R243/O243</f>
        <v>63.433962264150942</v>
      </c>
      <c r="Q243" s="87">
        <f>SUM(Q241:Q242)</f>
        <v>212</v>
      </c>
      <c r="R243" s="188">
        <f>SUM(R242:R242)</f>
        <v>13448</v>
      </c>
    </row>
  </sheetData>
  <mergeCells count="60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29:Q31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Q32:Q33"/>
    <mergeCell ref="P32:P33"/>
    <mergeCell ref="A78:B78"/>
    <mergeCell ref="A80:B80"/>
    <mergeCell ref="A94:B94"/>
    <mergeCell ref="A68:B68"/>
    <mergeCell ref="A35:B35"/>
    <mergeCell ref="A54:B54"/>
    <mergeCell ref="A56:B56"/>
    <mergeCell ref="A66:B66"/>
    <mergeCell ref="O32:O33"/>
    <mergeCell ref="A32:A33"/>
    <mergeCell ref="B32:B33"/>
    <mergeCell ref="C32:G32"/>
    <mergeCell ref="H32:K32"/>
    <mergeCell ref="A124:B124"/>
    <mergeCell ref="A133:B133"/>
    <mergeCell ref="A206:B206"/>
    <mergeCell ref="A141:B141"/>
    <mergeCell ref="A150:B150"/>
    <mergeCell ref="A151:B151"/>
    <mergeCell ref="A153:B153"/>
    <mergeCell ref="A160:B160"/>
    <mergeCell ref="A162:C162"/>
    <mergeCell ref="A163:B163"/>
    <mergeCell ref="A182:B182"/>
    <mergeCell ref="A184:B184"/>
    <mergeCell ref="A188:B188"/>
    <mergeCell ref="A190:B190"/>
    <mergeCell ref="A139:B139"/>
    <mergeCell ref="A240:B240"/>
    <mergeCell ref="A243:B243"/>
    <mergeCell ref="A209:C209"/>
    <mergeCell ref="A210:B210"/>
    <mergeCell ref="A218:B218"/>
    <mergeCell ref="A220:B220"/>
    <mergeCell ref="A225:B225"/>
    <mergeCell ref="A228:B228"/>
  </mergeCells>
  <pageMargins left="0.45" right="0.45" top="0.5" bottom="0.5" header="0.3" footer="0.3"/>
  <pageSetup paperSize="9"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40" zoomScaleNormal="100" workbookViewId="0">
      <selection activeCell="D61" sqref="D61"/>
    </sheetView>
  </sheetViews>
  <sheetFormatPr defaultRowHeight="15" x14ac:dyDescent="0.25"/>
  <cols>
    <col min="1" max="1" width="3.7109375" customWidth="1"/>
    <col min="2" max="2" width="25.5703125" customWidth="1"/>
    <col min="3" max="3" width="12.85546875" style="197" customWidth="1"/>
    <col min="4" max="4" width="12.5703125" style="197" customWidth="1"/>
    <col min="5" max="5" width="7.42578125" style="197" customWidth="1"/>
    <col min="6" max="6" width="12.28515625" style="197" customWidth="1"/>
    <col min="7" max="7" width="12.140625" style="197" customWidth="1"/>
    <col min="8" max="8" width="7.28515625" style="197" customWidth="1"/>
    <col min="9" max="9" width="11.7109375" style="197" customWidth="1"/>
    <col min="10" max="10" width="12.140625" style="197" customWidth="1"/>
    <col min="11" max="11" width="7.28515625" style="197" customWidth="1"/>
    <col min="12" max="12" width="11.5703125" style="197" customWidth="1"/>
    <col min="13" max="13" width="11.85546875" style="197" customWidth="1"/>
    <col min="14" max="14" width="7" style="197" customWidth="1"/>
    <col min="15" max="15" width="10.7109375" style="197" customWidth="1"/>
    <col min="16" max="16" width="10.42578125" style="197" customWidth="1"/>
    <col min="17" max="17" width="10.7109375" style="197" customWidth="1"/>
    <col min="19" max="19" width="9.5703125" bestFit="1" customWidth="1"/>
  </cols>
  <sheetData>
    <row r="1" spans="1:18" ht="20.25" customHeight="1" x14ac:dyDescent="0.25">
      <c r="A1" s="941" t="s">
        <v>263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19"/>
      <c r="N1" s="919"/>
      <c r="O1" s="919"/>
      <c r="P1" s="919"/>
      <c r="Q1" s="919"/>
    </row>
    <row r="2" spans="1:18" x14ac:dyDescent="0.25">
      <c r="A2" s="920"/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1"/>
    </row>
    <row r="3" spans="1:18" x14ac:dyDescent="0.25">
      <c r="A3" s="932" t="s">
        <v>1</v>
      </c>
      <c r="B3" s="898" t="s">
        <v>2</v>
      </c>
      <c r="C3" s="968" t="s">
        <v>3</v>
      </c>
      <c r="D3" s="969"/>
      <c r="E3" s="969"/>
      <c r="F3" s="969"/>
      <c r="G3" s="969"/>
      <c r="H3" s="970"/>
      <c r="I3" s="971" t="s">
        <v>4</v>
      </c>
      <c r="J3" s="972"/>
      <c r="K3" s="973"/>
      <c r="L3" s="968" t="s">
        <v>5</v>
      </c>
      <c r="M3" s="969"/>
      <c r="N3" s="970"/>
      <c r="O3" s="935" t="s">
        <v>271</v>
      </c>
      <c r="P3" s="935" t="s">
        <v>273</v>
      </c>
      <c r="Q3" s="935" t="s">
        <v>272</v>
      </c>
      <c r="R3" s="2"/>
    </row>
    <row r="4" spans="1:18" x14ac:dyDescent="0.25">
      <c r="A4" s="933"/>
      <c r="B4" s="899"/>
      <c r="C4" s="935" t="s">
        <v>265</v>
      </c>
      <c r="D4" s="935" t="s">
        <v>266</v>
      </c>
      <c r="E4" s="935" t="s">
        <v>11</v>
      </c>
      <c r="F4" s="935" t="s">
        <v>267</v>
      </c>
      <c r="G4" s="935" t="s">
        <v>268</v>
      </c>
      <c r="H4" s="935" t="s">
        <v>11</v>
      </c>
      <c r="I4" s="935" t="s">
        <v>265</v>
      </c>
      <c r="J4" s="935" t="s">
        <v>269</v>
      </c>
      <c r="K4" s="935" t="s">
        <v>11</v>
      </c>
      <c r="L4" s="935" t="s">
        <v>265</v>
      </c>
      <c r="M4" s="935" t="s">
        <v>270</v>
      </c>
      <c r="N4" s="935" t="s">
        <v>11</v>
      </c>
      <c r="O4" s="936"/>
      <c r="P4" s="936"/>
      <c r="Q4" s="936"/>
      <c r="R4" s="2"/>
    </row>
    <row r="5" spans="1:18" x14ac:dyDescent="0.25">
      <c r="A5" s="933"/>
      <c r="B5" s="899"/>
      <c r="C5" s="936"/>
      <c r="D5" s="936"/>
      <c r="E5" s="936"/>
      <c r="F5" s="936"/>
      <c r="G5" s="936"/>
      <c r="H5" s="936"/>
      <c r="I5" s="936"/>
      <c r="J5" s="936"/>
      <c r="K5" s="936"/>
      <c r="L5" s="936"/>
      <c r="M5" s="936"/>
      <c r="N5" s="936"/>
      <c r="O5" s="936"/>
      <c r="P5" s="936"/>
      <c r="Q5" s="936"/>
      <c r="R5" s="2"/>
    </row>
    <row r="6" spans="1:18" x14ac:dyDescent="0.25">
      <c r="A6" s="933"/>
      <c r="B6" s="899"/>
      <c r="C6" s="936"/>
      <c r="D6" s="936"/>
      <c r="E6" s="936"/>
      <c r="F6" s="936"/>
      <c r="G6" s="936"/>
      <c r="H6" s="936"/>
      <c r="I6" s="936"/>
      <c r="J6" s="936"/>
      <c r="K6" s="936"/>
      <c r="L6" s="936"/>
      <c r="M6" s="936"/>
      <c r="N6" s="936"/>
      <c r="O6" s="936"/>
      <c r="P6" s="936"/>
      <c r="Q6" s="936"/>
      <c r="R6" s="2"/>
    </row>
    <row r="7" spans="1:18" x14ac:dyDescent="0.25">
      <c r="A7" s="933"/>
      <c r="B7" s="899"/>
      <c r="C7" s="936"/>
      <c r="D7" s="936"/>
      <c r="E7" s="936"/>
      <c r="F7" s="936"/>
      <c r="G7" s="936"/>
      <c r="H7" s="936"/>
      <c r="I7" s="936"/>
      <c r="J7" s="936"/>
      <c r="K7" s="936"/>
      <c r="L7" s="936"/>
      <c r="M7" s="936"/>
      <c r="N7" s="936"/>
      <c r="O7" s="936"/>
      <c r="P7" s="936"/>
      <c r="Q7" s="936"/>
      <c r="R7" s="2"/>
    </row>
    <row r="8" spans="1:18" x14ac:dyDescent="0.25">
      <c r="A8" s="934"/>
      <c r="B8" s="900"/>
      <c r="C8" s="937"/>
      <c r="D8" s="937"/>
      <c r="E8" s="937"/>
      <c r="F8" s="937"/>
      <c r="G8" s="937"/>
      <c r="H8" s="937"/>
      <c r="I8" s="937"/>
      <c r="J8" s="937"/>
      <c r="K8" s="937"/>
      <c r="L8" s="937"/>
      <c r="M8" s="937"/>
      <c r="N8" s="937"/>
      <c r="O8" s="937"/>
      <c r="P8" s="937"/>
      <c r="Q8" s="937"/>
      <c r="R8" s="2"/>
    </row>
    <row r="9" spans="1:18" x14ac:dyDescent="0.25">
      <c r="A9" s="222">
        <v>1</v>
      </c>
      <c r="B9" s="222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11</v>
      </c>
      <c r="J9" s="5">
        <v>12</v>
      </c>
      <c r="K9" s="5">
        <v>13</v>
      </c>
      <c r="L9" s="5">
        <v>17</v>
      </c>
      <c r="M9" s="5">
        <v>18</v>
      </c>
      <c r="N9" s="5">
        <v>19</v>
      </c>
      <c r="O9" s="5">
        <v>20</v>
      </c>
      <c r="P9" s="5">
        <v>21</v>
      </c>
      <c r="Q9" s="5">
        <v>22</v>
      </c>
      <c r="R9" s="6"/>
    </row>
    <row r="10" spans="1:18" ht="31.5" customHeight="1" x14ac:dyDescent="0.25">
      <c r="A10" s="7">
        <v>1</v>
      </c>
      <c r="B10" s="8" t="s">
        <v>14</v>
      </c>
      <c r="C10" s="5">
        <f>C139/1000</f>
        <v>40.625017999999997</v>
      </c>
      <c r="D10" s="5">
        <f>D139/1000</f>
        <v>43.597183000000001</v>
      </c>
      <c r="E10" s="5">
        <f t="shared" ref="E10:O10" si="0">E139</f>
        <v>-6.8173326703241486</v>
      </c>
      <c r="F10" s="5">
        <f>F139/1000</f>
        <v>14.461112000000002</v>
      </c>
      <c r="G10" s="5">
        <f>G139/1000</f>
        <v>13.747704000000001</v>
      </c>
      <c r="H10" s="10">
        <f t="shared" si="0"/>
        <v>5.1892883349830612</v>
      </c>
      <c r="I10" s="5">
        <f>I139/1000</f>
        <v>40.194048000000002</v>
      </c>
      <c r="J10" s="5">
        <f>J139/1000</f>
        <v>41.852659000000003</v>
      </c>
      <c r="K10" s="10">
        <f t="shared" si="0"/>
        <v>-3.9629764025267775</v>
      </c>
      <c r="L10" s="5">
        <f>L139/1000</f>
        <v>28.243389000000001</v>
      </c>
      <c r="M10" s="5">
        <f>M139/1000</f>
        <v>27.291451000000002</v>
      </c>
      <c r="N10" s="5">
        <f t="shared" si="0"/>
        <v>3.4880446627773694</v>
      </c>
      <c r="O10" s="5">
        <f t="shared" si="0"/>
        <v>4670</v>
      </c>
      <c r="P10" s="5">
        <f>P139</f>
        <v>184.96680942184153</v>
      </c>
      <c r="Q10" s="5">
        <f>Q139</f>
        <v>5997</v>
      </c>
      <c r="R10" s="12">
        <f>R139</f>
        <v>863795</v>
      </c>
    </row>
    <row r="11" spans="1:18" ht="31.5" customHeight="1" x14ac:dyDescent="0.25">
      <c r="A11" s="7">
        <v>2</v>
      </c>
      <c r="B11" s="8" t="s">
        <v>15</v>
      </c>
      <c r="C11" s="5">
        <f>C150/1000</f>
        <v>36.812521000000004</v>
      </c>
      <c r="D11" s="5">
        <f>D150/1000</f>
        <v>42.462015000000001</v>
      </c>
      <c r="E11" s="5">
        <f t="shared" ref="E11:Q11" si="1">E150</f>
        <v>-13.30481843595976</v>
      </c>
      <c r="F11" s="5">
        <f>F150/1000</f>
        <v>12.500996000000002</v>
      </c>
      <c r="G11" s="5">
        <f>G150/1000</f>
        <v>14.036</v>
      </c>
      <c r="H11" s="5">
        <f t="shared" si="1"/>
        <v>-10.936192647477895</v>
      </c>
      <c r="I11" s="5">
        <f>I150/1000</f>
        <v>37.616028</v>
      </c>
      <c r="J11" s="5">
        <f>J150/1000</f>
        <v>42.037991999999996</v>
      </c>
      <c r="K11" s="5">
        <f t="shared" si="1"/>
        <v>-10.518970554064524</v>
      </c>
      <c r="L11" s="5">
        <f>L150/1000</f>
        <v>35.330369999999995</v>
      </c>
      <c r="M11" s="5">
        <f>M150/1000</f>
        <v>40.212214000000003</v>
      </c>
      <c r="N11" s="5">
        <f t="shared" si="1"/>
        <v>-12.140201979428454</v>
      </c>
      <c r="O11" s="5">
        <f t="shared" si="1"/>
        <v>3693</v>
      </c>
      <c r="P11" s="5">
        <f>P150</f>
        <v>127.5445437313837</v>
      </c>
      <c r="Q11" s="5">
        <f t="shared" si="1"/>
        <v>3774</v>
      </c>
      <c r="R11" s="12">
        <f t="shared" ref="R11:R22" si="2">O11*P11</f>
        <v>471022</v>
      </c>
    </row>
    <row r="12" spans="1:18" ht="31.5" customHeight="1" x14ac:dyDescent="0.25">
      <c r="A12" s="7">
        <v>3</v>
      </c>
      <c r="B12" s="8" t="s">
        <v>16</v>
      </c>
      <c r="C12" s="5">
        <f>C160/1000</f>
        <v>2.9425490000000001</v>
      </c>
      <c r="D12" s="5">
        <f>D160/1000</f>
        <v>3.1244860000000001</v>
      </c>
      <c r="E12" s="5">
        <f t="shared" ref="E12:O12" si="3">E160</f>
        <v>-5.8229417574602707</v>
      </c>
      <c r="F12" s="5">
        <f>F160/1000</f>
        <v>1.080295</v>
      </c>
      <c r="G12" s="5">
        <f>G160/1000</f>
        <v>1.0729919999999999</v>
      </c>
      <c r="H12" s="10">
        <f t="shared" si="3"/>
        <v>0.68062017237780026</v>
      </c>
      <c r="I12" s="5">
        <f>I160/1000</f>
        <v>3.0445649999999995</v>
      </c>
      <c r="J12" s="5">
        <f>J160/1000</f>
        <v>2.5054750000000001</v>
      </c>
      <c r="K12" s="10">
        <f t="shared" si="3"/>
        <v>21.516478911184493</v>
      </c>
      <c r="L12" s="5">
        <f>L160/1000</f>
        <v>1.543885</v>
      </c>
      <c r="M12" s="5">
        <f>M160/1000</f>
        <v>1.3385209999999998</v>
      </c>
      <c r="N12" s="5">
        <f t="shared" si="3"/>
        <v>15.342605756652318</v>
      </c>
      <c r="O12" s="5">
        <f t="shared" si="3"/>
        <v>1148</v>
      </c>
      <c r="P12" s="5">
        <f>P160</f>
        <v>99.229094076655059</v>
      </c>
      <c r="Q12" s="5">
        <f>SUM(Q154:Q159)</f>
        <v>1427</v>
      </c>
      <c r="R12" s="12">
        <f t="shared" si="2"/>
        <v>113915.00000000001</v>
      </c>
    </row>
    <row r="13" spans="1:18" ht="31.5" customHeight="1" x14ac:dyDescent="0.25">
      <c r="A13" s="7">
        <v>4</v>
      </c>
      <c r="B13" s="8" t="s">
        <v>17</v>
      </c>
      <c r="C13" s="5">
        <f>C226/1000</f>
        <v>4.2828289999999996</v>
      </c>
      <c r="D13" s="5">
        <f>D226/1000</f>
        <v>3.7039440000000003</v>
      </c>
      <c r="E13" s="5">
        <f t="shared" ref="E13:P13" si="4">E226</f>
        <v>15.628880998200813</v>
      </c>
      <c r="F13" s="5">
        <f>F226/1000</f>
        <v>1.8621289999999999</v>
      </c>
      <c r="G13" s="5">
        <f>G226/1000</f>
        <v>1.9550490000000003</v>
      </c>
      <c r="H13" s="5">
        <f t="shared" si="4"/>
        <v>-4.7528220520304245</v>
      </c>
      <c r="I13" s="5">
        <f>I226/1000</f>
        <v>4.1133829999999998</v>
      </c>
      <c r="J13" s="5">
        <f>J226/1000</f>
        <v>3.5603409999999998</v>
      </c>
      <c r="K13" s="5">
        <f t="shared" si="4"/>
        <v>15.533399750192459</v>
      </c>
      <c r="L13" s="5">
        <f>L226/1000</f>
        <v>2.967711</v>
      </c>
      <c r="M13" s="5">
        <f>M226/1000</f>
        <v>2.6360079999999999</v>
      </c>
      <c r="N13" s="5">
        <f t="shared" si="4"/>
        <v>12.583535406569339</v>
      </c>
      <c r="O13" s="5">
        <f t="shared" si="4"/>
        <v>586</v>
      </c>
      <c r="P13" s="5">
        <f t="shared" si="4"/>
        <v>129.58361774744029</v>
      </c>
      <c r="Q13" s="5">
        <f>Q226</f>
        <v>608</v>
      </c>
      <c r="R13" s="12">
        <f>R226</f>
        <v>75936</v>
      </c>
    </row>
    <row r="14" spans="1:18" ht="31.5" customHeight="1" x14ac:dyDescent="0.25">
      <c r="A14" s="7">
        <v>5</v>
      </c>
      <c r="B14" s="8" t="s">
        <v>18</v>
      </c>
      <c r="C14" s="5">
        <f>C54/1000</f>
        <v>0.45279399999999997</v>
      </c>
      <c r="D14" s="5">
        <f>D54/1000</f>
        <v>0.71716800000000003</v>
      </c>
      <c r="E14" s="10">
        <f t="shared" ref="E14:Q14" si="5">E54</f>
        <v>-36.863607969123002</v>
      </c>
      <c r="F14" s="5">
        <f>F54/1000</f>
        <v>0.21672299999999997</v>
      </c>
      <c r="G14" s="5">
        <f>G54/1000</f>
        <v>0.34260929999999995</v>
      </c>
      <c r="H14" s="10">
        <f t="shared" si="5"/>
        <v>-36.743398384106904</v>
      </c>
      <c r="I14" s="5">
        <f>I54/1000</f>
        <v>0.46505399999999997</v>
      </c>
      <c r="J14" s="5">
        <f>J54/1000</f>
        <v>0.69916899999999993</v>
      </c>
      <c r="K14" s="10">
        <f t="shared" si="5"/>
        <v>-33.484751183190326</v>
      </c>
      <c r="L14" s="5">
        <f>L54/1000</f>
        <v>0.205097</v>
      </c>
      <c r="M14" s="5">
        <f>M54/1000</f>
        <v>0.44566210000000001</v>
      </c>
      <c r="N14" s="10">
        <f t="shared" si="5"/>
        <v>-53.979259174159075</v>
      </c>
      <c r="O14" s="10">
        <f t="shared" si="5"/>
        <v>805</v>
      </c>
      <c r="P14" s="10">
        <f t="shared" si="5"/>
        <v>109.47329192546584</v>
      </c>
      <c r="Q14" s="5">
        <f t="shared" si="5"/>
        <v>711</v>
      </c>
      <c r="R14" s="12">
        <f t="shared" si="2"/>
        <v>88126</v>
      </c>
    </row>
    <row r="15" spans="1:18" ht="31.5" customHeight="1" x14ac:dyDescent="0.25">
      <c r="A15" s="7">
        <v>6</v>
      </c>
      <c r="B15" s="8" t="s">
        <v>19</v>
      </c>
      <c r="C15" s="5">
        <f>C66/1000</f>
        <v>0.25649699999999998</v>
      </c>
      <c r="D15" s="5">
        <f>D66/1000</f>
        <v>0.23057799999999998</v>
      </c>
      <c r="E15" s="10">
        <f t="shared" ref="E15:Q15" si="6">E66</f>
        <v>11.240881610561274</v>
      </c>
      <c r="F15" s="5">
        <f>F66/1000</f>
        <v>0.12727700000000003</v>
      </c>
      <c r="G15" s="5">
        <f>G66/1000</f>
        <v>0.106294</v>
      </c>
      <c r="H15" s="10">
        <f t="shared" si="6"/>
        <v>19.740530980111799</v>
      </c>
      <c r="I15" s="5">
        <f>I66/1000</f>
        <v>0.27270999999999995</v>
      </c>
      <c r="J15" s="5">
        <f>J66/1000</f>
        <v>0.23361099999999996</v>
      </c>
      <c r="K15" s="10">
        <f t="shared" si="6"/>
        <v>16.736797496693228</v>
      </c>
      <c r="L15" s="5">
        <f>L66/1000</f>
        <v>0.15468000000000001</v>
      </c>
      <c r="M15" s="5">
        <f>M66/1000</f>
        <v>0.10975300000000002</v>
      </c>
      <c r="N15" s="10">
        <f t="shared" si="6"/>
        <v>40.934644155512814</v>
      </c>
      <c r="O15" s="10">
        <f t="shared" si="6"/>
        <v>490</v>
      </c>
      <c r="P15" s="10">
        <f t="shared" si="6"/>
        <v>93.2265306122449</v>
      </c>
      <c r="Q15" s="5">
        <f t="shared" si="6"/>
        <v>550</v>
      </c>
      <c r="R15" s="12">
        <f t="shared" si="2"/>
        <v>45681</v>
      </c>
    </row>
    <row r="16" spans="1:18" ht="31.5" customHeight="1" x14ac:dyDescent="0.25">
      <c r="A16" s="7">
        <v>7</v>
      </c>
      <c r="B16" s="8" t="s">
        <v>20</v>
      </c>
      <c r="C16" s="5">
        <f>C77/1000</f>
        <v>0.20466399999999998</v>
      </c>
      <c r="D16" s="5">
        <f>D77/1000</f>
        <v>0.349962</v>
      </c>
      <c r="E16" s="10">
        <f t="shared" ref="E16:Q16" si="7">E77</f>
        <v>-41.518221978386229</v>
      </c>
      <c r="F16" s="5">
        <f>F77/1000</f>
        <v>7.1556999999999996E-2</v>
      </c>
      <c r="G16" s="5">
        <f>G77/1000</f>
        <v>0.13983400000000001</v>
      </c>
      <c r="H16" s="10">
        <f t="shared" si="7"/>
        <v>-48.82718080009154</v>
      </c>
      <c r="I16" s="5">
        <f>I77/1000</f>
        <v>0.21045499999999998</v>
      </c>
      <c r="J16" s="5">
        <f>J77/1000</f>
        <v>0.36658200000000002</v>
      </c>
      <c r="K16" s="10">
        <f t="shared" si="7"/>
        <v>-42.589925310026132</v>
      </c>
      <c r="L16" s="5">
        <f>L77/1000</f>
        <v>8.6920999999999998E-2</v>
      </c>
      <c r="M16" s="5">
        <f>M77/1000</f>
        <v>0.186083</v>
      </c>
      <c r="N16" s="10">
        <f t="shared" si="7"/>
        <v>-53.2891236706201</v>
      </c>
      <c r="O16" s="10">
        <f t="shared" si="7"/>
        <v>429</v>
      </c>
      <c r="P16" s="10">
        <f t="shared" si="7"/>
        <v>108.81585081585082</v>
      </c>
      <c r="Q16" s="5">
        <f t="shared" si="7"/>
        <v>461</v>
      </c>
      <c r="R16" s="12">
        <f t="shared" si="2"/>
        <v>46682</v>
      </c>
    </row>
    <row r="17" spans="1:18" ht="31.5" customHeight="1" x14ac:dyDescent="0.25">
      <c r="A17" s="7">
        <v>8</v>
      </c>
      <c r="B17" s="8" t="s">
        <v>21</v>
      </c>
      <c r="C17" s="5">
        <f>C92/1000</f>
        <v>1.2631180000000002</v>
      </c>
      <c r="D17" s="5">
        <f>D92/1000</f>
        <v>1.1715050000000002</v>
      </c>
      <c r="E17" s="10">
        <f t="shared" ref="E17:Q17" si="8">E92</f>
        <v>7.8201117366122759</v>
      </c>
      <c r="F17" s="5">
        <f>F92/1000</f>
        <v>0.539775</v>
      </c>
      <c r="G17" s="5">
        <f>G92/1000</f>
        <v>0.39683000000000002</v>
      </c>
      <c r="H17" s="10">
        <f t="shared" si="8"/>
        <v>36.021722148023059</v>
      </c>
      <c r="I17" s="5">
        <f>I92/1000</f>
        <v>1.7262139999999999</v>
      </c>
      <c r="J17" s="5">
        <f>J92/1000</f>
        <v>2.0414650000000001</v>
      </c>
      <c r="K17" s="10">
        <f t="shared" si="8"/>
        <v>-15.442390636136309</v>
      </c>
      <c r="L17" s="5">
        <f>L92/1000</f>
        <v>0.57913000000000003</v>
      </c>
      <c r="M17" s="5">
        <f>M92/1000</f>
        <v>0.73300900000000002</v>
      </c>
      <c r="N17" s="10">
        <f t="shared" si="8"/>
        <v>-20.99278453606982</v>
      </c>
      <c r="O17" s="10">
        <f t="shared" si="8"/>
        <v>3689</v>
      </c>
      <c r="P17" s="10">
        <f t="shared" si="8"/>
        <v>114.45866088370832</v>
      </c>
      <c r="Q17" s="5">
        <f t="shared" si="8"/>
        <v>1233</v>
      </c>
      <c r="R17" s="12">
        <f t="shared" si="2"/>
        <v>422238</v>
      </c>
    </row>
    <row r="18" spans="1:18" ht="31.5" customHeight="1" x14ac:dyDescent="0.25">
      <c r="A18" s="7">
        <v>9</v>
      </c>
      <c r="B18" s="8" t="s">
        <v>22</v>
      </c>
      <c r="C18" s="5">
        <f>C207/1000</f>
        <v>39.363324999999996</v>
      </c>
      <c r="D18" s="5">
        <f>D207/1000</f>
        <v>42.403926999999996</v>
      </c>
      <c r="E18" s="5">
        <f t="shared" ref="E18:P18" si="9">E207</f>
        <v>-7.170567009041406</v>
      </c>
      <c r="F18" s="5">
        <f>F207/1000</f>
        <v>14.951905999999999</v>
      </c>
      <c r="G18" s="5">
        <f>G207/1000</f>
        <v>15.903122</v>
      </c>
      <c r="H18" s="5">
        <f t="shared" si="9"/>
        <v>-5.9813161214508739</v>
      </c>
      <c r="I18" s="5">
        <f>I207/1000</f>
        <v>32.873908</v>
      </c>
      <c r="J18" s="5">
        <f>J207/1000</f>
        <v>31.215394999999997</v>
      </c>
      <c r="K18" s="5">
        <f t="shared" si="9"/>
        <v>5.3131251422575474</v>
      </c>
      <c r="L18" s="5">
        <f>L207/1000</f>
        <v>15.835659</v>
      </c>
      <c r="M18" s="5">
        <f>M207/1000</f>
        <v>14.857144999999999</v>
      </c>
      <c r="N18" s="5">
        <f t="shared" si="9"/>
        <v>6.5861509731513195</v>
      </c>
      <c r="O18" s="5">
        <f t="shared" si="9"/>
        <v>15132</v>
      </c>
      <c r="P18" s="5">
        <f t="shared" si="9"/>
        <v>27.249669574411843</v>
      </c>
      <c r="Q18" s="5">
        <f>Q182+Q188+Q206</f>
        <v>9028</v>
      </c>
      <c r="R18" s="12">
        <f t="shared" si="2"/>
        <v>412342</v>
      </c>
    </row>
    <row r="19" spans="1:18" ht="31.5" customHeight="1" x14ac:dyDescent="0.25">
      <c r="A19" s="7">
        <v>10</v>
      </c>
      <c r="B19" s="8" t="s">
        <v>23</v>
      </c>
      <c r="C19" s="5">
        <f>C122/1000</f>
        <v>1.015493</v>
      </c>
      <c r="D19" s="5">
        <f>D122/1000</f>
        <v>0.71894599999999997</v>
      </c>
      <c r="E19" s="10">
        <f t="shared" ref="E19:Q19" si="10">E122</f>
        <v>41.247465039098898</v>
      </c>
      <c r="F19" s="5">
        <f>F122/1000</f>
        <v>0.36787300000000006</v>
      </c>
      <c r="G19" s="5">
        <f>G122/1000</f>
        <v>0.31702600000000003</v>
      </c>
      <c r="H19" s="10">
        <f t="shared" si="10"/>
        <v>16.03874761060608</v>
      </c>
      <c r="I19" s="5">
        <f>I122/1000</f>
        <v>0.92647299999999999</v>
      </c>
      <c r="J19" s="5">
        <f>J122/1000</f>
        <v>0.64705999999999997</v>
      </c>
      <c r="K19" s="10">
        <f t="shared" si="10"/>
        <v>43.181930578308027</v>
      </c>
      <c r="L19" s="5">
        <f>L122/1000</f>
        <v>0.745811</v>
      </c>
      <c r="M19" s="5">
        <f>M122/1000</f>
        <v>0.24972700000000003</v>
      </c>
      <c r="N19" s="10">
        <f t="shared" si="10"/>
        <v>198.65052637480125</v>
      </c>
      <c r="O19" s="10">
        <f t="shared" si="10"/>
        <v>2288</v>
      </c>
      <c r="P19" s="10">
        <f>P122</f>
        <v>73.959790209790214</v>
      </c>
      <c r="Q19" s="5">
        <f t="shared" si="10"/>
        <v>2302</v>
      </c>
      <c r="R19" s="12">
        <f t="shared" si="2"/>
        <v>169220</v>
      </c>
    </row>
    <row r="20" spans="1:18" ht="31.5" customHeight="1" x14ac:dyDescent="0.25">
      <c r="A20" s="7">
        <v>11</v>
      </c>
      <c r="B20" s="8" t="s">
        <v>24</v>
      </c>
      <c r="C20" s="5">
        <f>C131/1000</f>
        <v>4.7513999999999994E-2</v>
      </c>
      <c r="D20" s="5">
        <f>D131/1000</f>
        <v>3.7194999999999999E-2</v>
      </c>
      <c r="E20" s="10">
        <f t="shared" ref="E20:Q20" si="11">E131</f>
        <v>27.742976206479369</v>
      </c>
      <c r="F20" s="5">
        <f>F131/1000</f>
        <v>1.8449999999999998E-2</v>
      </c>
      <c r="G20" s="5">
        <f>G131/1000</f>
        <v>2.2761E-2</v>
      </c>
      <c r="H20" s="10">
        <f>H131</f>
        <v>-18.940292605773038</v>
      </c>
      <c r="I20" s="5">
        <f>I131/1000</f>
        <v>3.7838999999999998E-2</v>
      </c>
      <c r="J20" s="5">
        <f>J131/1000</f>
        <v>2.5617999999999998E-2</v>
      </c>
      <c r="K20" s="10">
        <f t="shared" si="11"/>
        <v>47.704738855492252</v>
      </c>
      <c r="L20" s="5">
        <f>L131/1000</f>
        <v>1.0266000000000001E-2</v>
      </c>
      <c r="M20" s="5">
        <f>M131/1000</f>
        <v>0</v>
      </c>
      <c r="N20" s="10">
        <f t="shared" si="11"/>
        <v>0</v>
      </c>
      <c r="O20" s="10">
        <f t="shared" si="11"/>
        <v>100</v>
      </c>
      <c r="P20" s="10">
        <f>P131</f>
        <v>83</v>
      </c>
      <c r="Q20" s="5">
        <f t="shared" si="11"/>
        <v>104</v>
      </c>
      <c r="R20" s="12">
        <f t="shared" si="2"/>
        <v>8300</v>
      </c>
    </row>
    <row r="21" spans="1:18" ht="31.5" customHeight="1" x14ac:dyDescent="0.25">
      <c r="A21" s="7">
        <v>12</v>
      </c>
      <c r="B21" s="8" t="s">
        <v>25</v>
      </c>
      <c r="C21" s="5">
        <f>C238/1000</f>
        <v>0.26444289999999993</v>
      </c>
      <c r="D21" s="5">
        <f>D238/1000</f>
        <v>0.20393310000000001</v>
      </c>
      <c r="E21" s="10">
        <f t="shared" ref="E21:P21" si="12">E238</f>
        <v>29.671397139552113</v>
      </c>
      <c r="F21" s="5">
        <f>F238/1000</f>
        <v>0.12185269999999998</v>
      </c>
      <c r="G21" s="5">
        <f>G238/1000</f>
        <v>7.6692300000000005E-2</v>
      </c>
      <c r="H21" s="10">
        <f t="shared" si="12"/>
        <v>58.885181432816552</v>
      </c>
      <c r="I21" s="5">
        <f>I238/1000</f>
        <v>0.16048110000000002</v>
      </c>
      <c r="J21" s="5">
        <f>J238/1000</f>
        <v>7.1259000000000003E-2</v>
      </c>
      <c r="K21" s="10">
        <f t="shared" si="12"/>
        <v>125.20818422936054</v>
      </c>
      <c r="L21" s="5">
        <f>L238/1000</f>
        <v>9.160999999999999E-3</v>
      </c>
      <c r="M21" s="5">
        <f>M238/1000</f>
        <v>1.2130000000000001E-3</v>
      </c>
      <c r="N21" s="10">
        <f t="shared" si="12"/>
        <v>655.23495465787289</v>
      </c>
      <c r="O21" s="10">
        <f t="shared" si="12"/>
        <v>451</v>
      </c>
      <c r="P21" s="10">
        <f t="shared" si="12"/>
        <v>194.1088691796009</v>
      </c>
      <c r="Q21" s="5">
        <f>Q238</f>
        <v>452</v>
      </c>
      <c r="R21" s="12">
        <f t="shared" si="2"/>
        <v>87543.1</v>
      </c>
    </row>
    <row r="22" spans="1:18" ht="31.5" customHeight="1" x14ac:dyDescent="0.25">
      <c r="A22" s="7">
        <v>13</v>
      </c>
      <c r="B22" s="8" t="s">
        <v>26</v>
      </c>
      <c r="C22" s="5">
        <f>C243/1000</f>
        <v>1.6271000000000001E-2</v>
      </c>
      <c r="D22" s="5">
        <f>D243/1000</f>
        <v>5.5352000000000005E-2</v>
      </c>
      <c r="E22" s="10">
        <f t="shared" ref="E22:Q22" si="13">E243</f>
        <v>-70.604494869200749</v>
      </c>
      <c r="F22" s="5">
        <f>F243/1000</f>
        <v>1.3828E-2</v>
      </c>
      <c r="G22" s="5">
        <f>G243/1000</f>
        <v>1.7784999999999999E-2</v>
      </c>
      <c r="H22" s="10">
        <f t="shared" si="13"/>
        <v>-22.249086308687112</v>
      </c>
      <c r="I22" s="5">
        <f>I243/1000</f>
        <v>1.9025000000000004E-2</v>
      </c>
      <c r="J22" s="5">
        <f>J243/1000</f>
        <v>5.5383000000000002E-2</v>
      </c>
      <c r="K22" s="10">
        <f t="shared" si="13"/>
        <v>-65.648303631078136</v>
      </c>
      <c r="L22" s="5">
        <f>L243/1000</f>
        <v>1.9025000000000004E-2</v>
      </c>
      <c r="M22" s="5">
        <f>M243/1000</f>
        <v>4.5861000000000006E-2</v>
      </c>
      <c r="N22" s="10">
        <f t="shared" si="13"/>
        <v>-58.515950371775581</v>
      </c>
      <c r="O22" s="10">
        <f t="shared" si="13"/>
        <v>212</v>
      </c>
      <c r="P22" s="10">
        <f t="shared" si="13"/>
        <v>63.433962264150942</v>
      </c>
      <c r="Q22" s="5">
        <f t="shared" si="13"/>
        <v>212</v>
      </c>
      <c r="R22" s="12">
        <f t="shared" si="2"/>
        <v>13448</v>
      </c>
    </row>
    <row r="23" spans="1:18" x14ac:dyDescent="0.25">
      <c r="A23" s="213"/>
      <c r="B23" s="214" t="s">
        <v>27</v>
      </c>
      <c r="C23" s="226">
        <f>SUM(C10:C22)</f>
        <v>127.5470359</v>
      </c>
      <c r="D23" s="226">
        <f>SUM(D10:D22)</f>
        <v>138.7761941</v>
      </c>
      <c r="E23" s="229">
        <f>C23/D23*100-100</f>
        <v>-8.0915594153767074</v>
      </c>
      <c r="F23" s="226">
        <f>SUM(F10:F22)</f>
        <v>46.333773699999995</v>
      </c>
      <c r="G23" s="226">
        <f>SUM(G10:G22)</f>
        <v>48.1346986</v>
      </c>
      <c r="H23" s="229">
        <f>F23/G23*100-100</f>
        <v>-3.7414276029142997</v>
      </c>
      <c r="I23" s="226">
        <f>SUM(I10:I22)</f>
        <v>121.66018310000001</v>
      </c>
      <c r="J23" s="226">
        <f>SUM(J10:J22)</f>
        <v>125.31200899999997</v>
      </c>
      <c r="K23" s="229">
        <f>I23/J23*100-100</f>
        <v>-2.9141867001748949</v>
      </c>
      <c r="L23" s="226">
        <f>SUM(L10:L22)</f>
        <v>85.731105000000014</v>
      </c>
      <c r="M23" s="226">
        <f>SUM(M10:M22)</f>
        <v>88.106647100000032</v>
      </c>
      <c r="N23" s="229">
        <f>L23/M23*100-100</f>
        <v>-2.6962121226833347</v>
      </c>
      <c r="O23" s="215">
        <f>SUM(O10:O22)</f>
        <v>33693</v>
      </c>
      <c r="P23" s="215">
        <f>R23/O23</f>
        <v>83.644914373905564</v>
      </c>
      <c r="Q23" s="215">
        <f>SUM(Q10:Q22)</f>
        <v>26859</v>
      </c>
      <c r="R23" s="217">
        <f>SUM(R10:R22)</f>
        <v>2818248.1</v>
      </c>
    </row>
    <row r="24" spans="1:18" x14ac:dyDescent="0.25">
      <c r="A24" s="19"/>
      <c r="B24" s="2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1"/>
      <c r="Q24" s="231"/>
      <c r="R24" s="20"/>
    </row>
    <row r="25" spans="1:18" x14ac:dyDescent="0.25">
      <c r="A25" s="21"/>
      <c r="B25" s="2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2"/>
      <c r="Q25" s="232"/>
      <c r="R25" s="23"/>
    </row>
    <row r="26" spans="1:18" ht="137.25" customHeight="1" x14ac:dyDescent="0.25">
      <c r="A26" s="20"/>
      <c r="B26" s="2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0"/>
    </row>
    <row r="27" spans="1:18" x14ac:dyDescent="0.25">
      <c r="A27" s="20"/>
      <c r="B27" s="2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0"/>
    </row>
    <row r="28" spans="1:18" x14ac:dyDescent="0.25">
      <c r="A28" s="20"/>
      <c r="B28" s="2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0"/>
    </row>
    <row r="29" spans="1:18" x14ac:dyDescent="0.25">
      <c r="A29" s="943" t="s">
        <v>264</v>
      </c>
      <c r="B29" s="943"/>
      <c r="C29" s="943"/>
      <c r="D29" s="943"/>
      <c r="E29" s="943"/>
      <c r="F29" s="943"/>
      <c r="G29" s="943"/>
      <c r="H29" s="943"/>
      <c r="I29" s="943"/>
      <c r="J29" s="943"/>
      <c r="K29" s="943"/>
      <c r="L29" s="943"/>
      <c r="M29" s="943"/>
      <c r="N29" s="943"/>
      <c r="O29" s="943"/>
      <c r="P29" s="943"/>
      <c r="Q29" s="943"/>
      <c r="R29" s="24"/>
    </row>
    <row r="30" spans="1:18" x14ac:dyDescent="0.25">
      <c r="A30" s="943"/>
      <c r="B30" s="943"/>
      <c r="C30" s="943"/>
      <c r="D30" s="943"/>
      <c r="E30" s="943"/>
      <c r="F30" s="943"/>
      <c r="G30" s="943"/>
      <c r="H30" s="943"/>
      <c r="I30" s="943"/>
      <c r="J30" s="943"/>
      <c r="K30" s="943"/>
      <c r="L30" s="943"/>
      <c r="M30" s="943"/>
      <c r="N30" s="943"/>
      <c r="O30" s="943"/>
      <c r="P30" s="943"/>
      <c r="Q30" s="943"/>
      <c r="R30" s="24"/>
    </row>
    <row r="31" spans="1:18" ht="10.5" customHeight="1" x14ac:dyDescent="0.25">
      <c r="A31" s="944"/>
      <c r="B31" s="944"/>
      <c r="C31" s="944"/>
      <c r="D31" s="944"/>
      <c r="E31" s="944"/>
      <c r="F31" s="944"/>
      <c r="G31" s="944"/>
      <c r="H31" s="944"/>
      <c r="I31" s="944"/>
      <c r="J31" s="944"/>
      <c r="K31" s="944"/>
      <c r="L31" s="944"/>
      <c r="M31" s="944"/>
      <c r="N31" s="944"/>
      <c r="O31" s="944"/>
      <c r="P31" s="944"/>
      <c r="Q31" s="944"/>
      <c r="R31" s="25"/>
    </row>
    <row r="32" spans="1:18" x14ac:dyDescent="0.25">
      <c r="A32" s="954" t="s">
        <v>1</v>
      </c>
      <c r="B32" s="921" t="s">
        <v>29</v>
      </c>
      <c r="C32" s="965" t="s">
        <v>3</v>
      </c>
      <c r="D32" s="966"/>
      <c r="E32" s="966"/>
      <c r="F32" s="966"/>
      <c r="G32" s="967"/>
      <c r="H32" s="965" t="s">
        <v>4</v>
      </c>
      <c r="I32" s="966"/>
      <c r="J32" s="966"/>
      <c r="K32" s="967"/>
      <c r="L32" s="233"/>
      <c r="M32" s="233" t="s">
        <v>5</v>
      </c>
      <c r="N32" s="234"/>
      <c r="O32" s="945" t="s">
        <v>275</v>
      </c>
      <c r="P32" s="945" t="s">
        <v>277</v>
      </c>
      <c r="Q32" s="945" t="s">
        <v>276</v>
      </c>
      <c r="R32" s="28"/>
    </row>
    <row r="33" spans="1:18" ht="72" customHeight="1" x14ac:dyDescent="0.25">
      <c r="A33" s="926"/>
      <c r="B33" s="922"/>
      <c r="C33" s="228" t="s">
        <v>265</v>
      </c>
      <c r="D33" s="228" t="s">
        <v>274</v>
      </c>
      <c r="E33" s="228" t="s">
        <v>11</v>
      </c>
      <c r="F33" s="228" t="s">
        <v>267</v>
      </c>
      <c r="G33" s="228" t="s">
        <v>278</v>
      </c>
      <c r="H33" s="228" t="s">
        <v>11</v>
      </c>
      <c r="I33" s="228" t="s">
        <v>265</v>
      </c>
      <c r="J33" s="228" t="s">
        <v>270</v>
      </c>
      <c r="K33" s="228" t="s">
        <v>11</v>
      </c>
      <c r="L33" s="228" t="s">
        <v>265</v>
      </c>
      <c r="M33" s="228" t="s">
        <v>270</v>
      </c>
      <c r="N33" s="228" t="s">
        <v>11</v>
      </c>
      <c r="O33" s="923"/>
      <c r="P33" s="923"/>
      <c r="Q33" s="923"/>
      <c r="R33" s="31"/>
    </row>
    <row r="34" spans="1:18" x14ac:dyDescent="0.25">
      <c r="A34" s="32"/>
      <c r="B34" s="33" t="s">
        <v>35</v>
      </c>
      <c r="C34" s="35"/>
      <c r="D34" s="35"/>
      <c r="E34" s="35"/>
      <c r="F34" s="35"/>
      <c r="G34" s="35"/>
      <c r="H34" s="35"/>
      <c r="I34" s="35"/>
      <c r="J34" s="35"/>
      <c r="K34" s="34"/>
      <c r="L34" s="35"/>
      <c r="M34" s="35"/>
      <c r="N34" s="35"/>
      <c r="O34" s="35"/>
      <c r="P34" s="35"/>
      <c r="Q34" s="35"/>
      <c r="R34" s="36"/>
    </row>
    <row r="35" spans="1:18" x14ac:dyDescent="0.25">
      <c r="A35" s="891" t="s">
        <v>36</v>
      </c>
      <c r="B35" s="892"/>
      <c r="C35" s="38">
        <v>3</v>
      </c>
      <c r="D35" s="38">
        <v>4</v>
      </c>
      <c r="E35" s="38">
        <v>5</v>
      </c>
      <c r="F35" s="38">
        <v>6</v>
      </c>
      <c r="G35" s="38">
        <v>7</v>
      </c>
      <c r="H35" s="38">
        <v>8</v>
      </c>
      <c r="I35" s="38">
        <v>9</v>
      </c>
      <c r="J35" s="38">
        <v>10</v>
      </c>
      <c r="K35" s="38">
        <v>11</v>
      </c>
      <c r="L35" s="38">
        <v>12</v>
      </c>
      <c r="M35" s="38">
        <v>13</v>
      </c>
      <c r="N35" s="38">
        <v>14</v>
      </c>
      <c r="O35" s="38">
        <v>15</v>
      </c>
      <c r="P35" s="38">
        <v>16</v>
      </c>
      <c r="Q35" s="38">
        <v>17</v>
      </c>
      <c r="R35" s="39"/>
    </row>
    <row r="36" spans="1:18" x14ac:dyDescent="0.25">
      <c r="A36" s="40">
        <v>1</v>
      </c>
      <c r="B36" s="41" t="s">
        <v>37</v>
      </c>
      <c r="C36" s="54">
        <f>Sheet1!C36/1000</f>
        <v>118.571</v>
      </c>
      <c r="D36" s="54">
        <f>Sheet1!D36/1000</f>
        <v>29.408999999999999</v>
      </c>
      <c r="E36" s="54">
        <f>C36/D36*100-100</f>
        <v>303.17929885409234</v>
      </c>
      <c r="F36" s="54">
        <f>Sheet1!F36/1000</f>
        <v>6.4630000000000001</v>
      </c>
      <c r="G36" s="54">
        <f>Sheet1!G36/1000</f>
        <v>13.002000000000001</v>
      </c>
      <c r="H36" s="54">
        <f>F36/G36*100-100</f>
        <v>-50.292262728810954</v>
      </c>
      <c r="I36" s="54">
        <f>Sheet1!I36/1000</f>
        <v>11.988</v>
      </c>
      <c r="J36" s="54">
        <f>Sheet1!J36/1000</f>
        <v>29.408999999999999</v>
      </c>
      <c r="K36" s="54">
        <f>I36/J36*100-100</f>
        <v>-59.236968275017851</v>
      </c>
      <c r="L36" s="54">
        <f>Sheet1!L36/1000</f>
        <v>0</v>
      </c>
      <c r="M36" s="54">
        <f>Sheet1!M36/1000</f>
        <v>1.6719999999999999</v>
      </c>
      <c r="N36" s="54">
        <v>0</v>
      </c>
      <c r="O36" s="54">
        <v>72</v>
      </c>
      <c r="P36" s="54">
        <v>113</v>
      </c>
      <c r="Q36" s="54">
        <v>72</v>
      </c>
      <c r="R36" s="44">
        <f>O36*P36</f>
        <v>8136</v>
      </c>
    </row>
    <row r="37" spans="1:18" x14ac:dyDescent="0.25">
      <c r="A37" s="40">
        <v>2</v>
      </c>
      <c r="B37" s="41" t="s">
        <v>38</v>
      </c>
      <c r="C37" s="54">
        <f>Sheet1!C37/1000</f>
        <v>67.55</v>
      </c>
      <c r="D37" s="54">
        <f>Sheet1!D37/1000</f>
        <v>19.042999999999999</v>
      </c>
      <c r="E37" s="54">
        <f>C37/D37*100-100</f>
        <v>254.72352045371002</v>
      </c>
      <c r="F37" s="54">
        <f>Sheet1!F37/1000</f>
        <v>44.052999999999997</v>
      </c>
      <c r="G37" s="54">
        <f>Sheet1!G37/1000</f>
        <v>1.718</v>
      </c>
      <c r="H37" s="54">
        <f>F37/G37*100-100</f>
        <v>2464.2025611175786</v>
      </c>
      <c r="I37" s="54">
        <f>Sheet1!I37/1000</f>
        <v>67.55</v>
      </c>
      <c r="J37" s="54">
        <f>Sheet1!J37/1000</f>
        <v>19.042999999999999</v>
      </c>
      <c r="K37" s="54">
        <f>I37/J37*100-100</f>
        <v>254.72352045371002</v>
      </c>
      <c r="L37" s="54">
        <f>Sheet1!L37/1000</f>
        <v>20.292000000000002</v>
      </c>
      <c r="M37" s="54">
        <f>Sheet1!M37/1000</f>
        <v>8.1219999999999999</v>
      </c>
      <c r="N37" s="54">
        <f t="shared" ref="N37" si="14">L37/M37*100-100</f>
        <v>149.83994090125586</v>
      </c>
      <c r="O37" s="60">
        <v>74</v>
      </c>
      <c r="P37" s="47">
        <v>208</v>
      </c>
      <c r="Q37" s="60">
        <v>72</v>
      </c>
      <c r="R37" s="44">
        <f t="shared" ref="R37:R53" si="15">O37*P37</f>
        <v>15392</v>
      </c>
    </row>
    <row r="38" spans="1:18" x14ac:dyDescent="0.25">
      <c r="A38" s="40">
        <v>3</v>
      </c>
      <c r="B38" s="41" t="s">
        <v>39</v>
      </c>
      <c r="C38" s="54">
        <f>Sheet1!C38/1000</f>
        <v>5.194</v>
      </c>
      <c r="D38" s="54">
        <f>Sheet1!D38/1000</f>
        <v>18.856000000000002</v>
      </c>
      <c r="E38" s="54">
        <f t="shared" ref="E38:E53" si="16">C38/D38*100-100</f>
        <v>-72.454391175222739</v>
      </c>
      <c r="F38" s="54">
        <f>Sheet1!F38/1000</f>
        <v>5.194</v>
      </c>
      <c r="G38" s="54">
        <f>Sheet1!G38/1000</f>
        <v>1.756</v>
      </c>
      <c r="H38" s="54">
        <f t="shared" ref="H38:H54" si="17">F38/G38*100-100</f>
        <v>195.78587699316626</v>
      </c>
      <c r="I38" s="54">
        <f>Sheet1!I38/1000</f>
        <v>6.5780000000000003</v>
      </c>
      <c r="J38" s="54">
        <f>Sheet1!J38/1000</f>
        <v>21.73</v>
      </c>
      <c r="K38" s="54">
        <f t="shared" ref="K38:K54" si="18">I38/J38*100-100</f>
        <v>-69.72848596410492</v>
      </c>
      <c r="L38" s="54">
        <f>Sheet1!L38/1000</f>
        <v>0</v>
      </c>
      <c r="M38" s="54">
        <f>Sheet1!M38/1000</f>
        <v>0</v>
      </c>
      <c r="N38" s="54">
        <v>0</v>
      </c>
      <c r="O38" s="60">
        <v>23</v>
      </c>
      <c r="P38" s="47">
        <v>90</v>
      </c>
      <c r="Q38" s="60">
        <v>21</v>
      </c>
      <c r="R38" s="44">
        <f t="shared" si="15"/>
        <v>2070</v>
      </c>
    </row>
    <row r="39" spans="1:18" x14ac:dyDescent="0.25">
      <c r="A39" s="40">
        <v>4</v>
      </c>
      <c r="B39" s="41" t="s">
        <v>40</v>
      </c>
      <c r="C39" s="54">
        <f>Sheet1!C39/1000</f>
        <v>0</v>
      </c>
      <c r="D39" s="54">
        <f>Sheet1!D39/1000</f>
        <v>5.03</v>
      </c>
      <c r="E39" s="54">
        <f t="shared" si="16"/>
        <v>-100</v>
      </c>
      <c r="F39" s="54">
        <f>Sheet1!F39/1000</f>
        <v>0</v>
      </c>
      <c r="G39" s="54">
        <f>Sheet1!G39/1000</f>
        <v>0</v>
      </c>
      <c r="H39" s="54" t="e">
        <f t="shared" si="17"/>
        <v>#DIV/0!</v>
      </c>
      <c r="I39" s="54">
        <f>Sheet1!I39/1000</f>
        <v>0</v>
      </c>
      <c r="J39" s="54">
        <f>Sheet1!J39/1000</f>
        <v>5.3120000000000003</v>
      </c>
      <c r="K39" s="54">
        <f t="shared" si="18"/>
        <v>-100</v>
      </c>
      <c r="L39" s="54">
        <f>Sheet1!L39/1000</f>
        <v>0</v>
      </c>
      <c r="M39" s="54">
        <f>Sheet1!M39/1000</f>
        <v>5.3120000000000003</v>
      </c>
      <c r="N39" s="54">
        <v>0</v>
      </c>
      <c r="O39" s="60">
        <v>9</v>
      </c>
      <c r="P39" s="47">
        <v>60</v>
      </c>
      <c r="Q39" s="60">
        <v>19</v>
      </c>
      <c r="R39" s="44">
        <f t="shared" si="15"/>
        <v>540</v>
      </c>
    </row>
    <row r="40" spans="1:18" x14ac:dyDescent="0.25">
      <c r="A40" s="40">
        <v>5</v>
      </c>
      <c r="B40" s="41" t="s">
        <v>41</v>
      </c>
      <c r="C40" s="54">
        <f>Sheet1!C40/1000</f>
        <v>10.111000000000001</v>
      </c>
      <c r="D40" s="54">
        <f>Sheet1!D40/1000</f>
        <v>10.065</v>
      </c>
      <c r="E40" s="54">
        <f t="shared" si="16"/>
        <v>0.45702930948834819</v>
      </c>
      <c r="F40" s="54">
        <f>Sheet1!F40/1000</f>
        <v>5.9740000000000002</v>
      </c>
      <c r="G40" s="54">
        <f>Sheet1!G40/1000</f>
        <v>3.8860000000000001</v>
      </c>
      <c r="H40" s="54">
        <f t="shared" si="17"/>
        <v>53.731343283582078</v>
      </c>
      <c r="I40" s="54">
        <f>Sheet1!I40/1000</f>
        <v>11.738</v>
      </c>
      <c r="J40" s="54">
        <f>Sheet1!J40/1000</f>
        <v>17.285</v>
      </c>
      <c r="K40" s="54">
        <f t="shared" si="18"/>
        <v>-32.091408735898185</v>
      </c>
      <c r="L40" s="54">
        <f>Sheet1!L40/1000</f>
        <v>0</v>
      </c>
      <c r="M40" s="54">
        <f>Sheet1!M40/1000</f>
        <v>1.345</v>
      </c>
      <c r="N40" s="54">
        <f t="shared" ref="N40:N54" si="19">L40/M40*100-100</f>
        <v>-100</v>
      </c>
      <c r="O40" s="60">
        <v>55</v>
      </c>
      <c r="P40" s="47">
        <v>72</v>
      </c>
      <c r="Q40" s="60">
        <v>54</v>
      </c>
      <c r="R40" s="44">
        <f t="shared" si="15"/>
        <v>3960</v>
      </c>
    </row>
    <row r="41" spans="1:18" x14ac:dyDescent="0.25">
      <c r="A41" s="40">
        <v>6</v>
      </c>
      <c r="B41" s="41" t="s">
        <v>42</v>
      </c>
      <c r="C41" s="54">
        <f>Sheet1!C41/1000</f>
        <v>14.209</v>
      </c>
      <c r="D41" s="54">
        <f>Sheet1!D41/1000</f>
        <v>24.591000000000001</v>
      </c>
      <c r="E41" s="54">
        <f t="shared" si="16"/>
        <v>-42.21869789760482</v>
      </c>
      <c r="F41" s="54">
        <f>Sheet1!F41/1000</f>
        <v>5.5739999999999998</v>
      </c>
      <c r="G41" s="54">
        <f>Sheet1!G41/1000</f>
        <v>8.6859999999999999</v>
      </c>
      <c r="H41" s="54">
        <f t="shared" si="17"/>
        <v>-35.827768823393967</v>
      </c>
      <c r="I41" s="54">
        <f>Sheet1!I41/1000</f>
        <v>21.010999999999999</v>
      </c>
      <c r="J41" s="54">
        <f>Sheet1!J41/1000</f>
        <v>22.655999999999999</v>
      </c>
      <c r="K41" s="54">
        <f t="shared" si="18"/>
        <v>-7.260769774011294</v>
      </c>
      <c r="L41" s="54">
        <f>Sheet1!L41/1000</f>
        <v>0</v>
      </c>
      <c r="M41" s="54">
        <f>Sheet1!M41/1000</f>
        <v>0</v>
      </c>
      <c r="N41" s="54">
        <v>0</v>
      </c>
      <c r="O41" s="60">
        <v>65</v>
      </c>
      <c r="P41" s="47">
        <v>100</v>
      </c>
      <c r="Q41" s="60">
        <v>65</v>
      </c>
      <c r="R41" s="44">
        <f t="shared" si="15"/>
        <v>6500</v>
      </c>
    </row>
    <row r="42" spans="1:18" x14ac:dyDescent="0.25">
      <c r="A42" s="40">
        <v>7</v>
      </c>
      <c r="B42" s="41" t="s">
        <v>43</v>
      </c>
      <c r="C42" s="54">
        <f>Sheet1!C42/1000</f>
        <v>0</v>
      </c>
      <c r="D42" s="54">
        <f>Sheet1!D42/1000</f>
        <v>0</v>
      </c>
      <c r="E42" s="54">
        <v>0</v>
      </c>
      <c r="F42" s="54">
        <f>Sheet1!F42/1000</f>
        <v>0</v>
      </c>
      <c r="G42" s="54">
        <f>Sheet1!G42/1000</f>
        <v>0</v>
      </c>
      <c r="H42" s="54">
        <v>0</v>
      </c>
      <c r="I42" s="54">
        <f>Sheet1!I42/1000</f>
        <v>0</v>
      </c>
      <c r="J42" s="54">
        <f>Sheet1!J42/1000</f>
        <v>0</v>
      </c>
      <c r="K42" s="54">
        <v>0</v>
      </c>
      <c r="L42" s="54">
        <f>Sheet1!L42/1000</f>
        <v>0</v>
      </c>
      <c r="M42" s="54">
        <f>Sheet1!M42/1000</f>
        <v>0</v>
      </c>
      <c r="N42" s="54">
        <v>0</v>
      </c>
      <c r="O42" s="60"/>
      <c r="P42" s="47">
        <v>0</v>
      </c>
      <c r="Q42" s="60">
        <v>0</v>
      </c>
      <c r="R42" s="44">
        <f t="shared" si="15"/>
        <v>0</v>
      </c>
    </row>
    <row r="43" spans="1:18" x14ac:dyDescent="0.25">
      <c r="A43" s="40">
        <v>8</v>
      </c>
      <c r="B43" s="41" t="s">
        <v>44</v>
      </c>
      <c r="C43" s="54">
        <f>Sheet1!C43/1000</f>
        <v>33.768999999999998</v>
      </c>
      <c r="D43" s="54">
        <f>Sheet1!D43/1000</f>
        <v>32.167999999999999</v>
      </c>
      <c r="E43" s="54">
        <f t="shared" si="16"/>
        <v>4.9769957721959628</v>
      </c>
      <c r="F43" s="54">
        <f>Sheet1!F43/1000</f>
        <v>11.128</v>
      </c>
      <c r="G43" s="54">
        <f>Sheet1!G43/1000</f>
        <v>11.066000000000001</v>
      </c>
      <c r="H43" s="54">
        <f t="shared" si="17"/>
        <v>0.56027471534430617</v>
      </c>
      <c r="I43" s="54">
        <f>Sheet1!I43/1000</f>
        <v>33.905000000000001</v>
      </c>
      <c r="J43" s="54">
        <f>Sheet1!J43/1000</f>
        <v>31.134</v>
      </c>
      <c r="K43" s="54">
        <f t="shared" si="18"/>
        <v>8.9002376822766109</v>
      </c>
      <c r="L43" s="54">
        <f>Sheet1!L43/1000</f>
        <v>0</v>
      </c>
      <c r="M43" s="54">
        <f>Sheet1!M43/1000</f>
        <v>0</v>
      </c>
      <c r="N43" s="54">
        <v>0</v>
      </c>
      <c r="O43" s="60">
        <v>43</v>
      </c>
      <c r="P43" s="47">
        <v>98</v>
      </c>
      <c r="Q43" s="60">
        <v>43</v>
      </c>
      <c r="R43" s="44">
        <f t="shared" si="15"/>
        <v>4214</v>
      </c>
    </row>
    <row r="44" spans="1:18" x14ac:dyDescent="0.25">
      <c r="A44" s="40">
        <v>9</v>
      </c>
      <c r="B44" s="41" t="s">
        <v>45</v>
      </c>
      <c r="C44" s="54">
        <f>Sheet1!C44/1000</f>
        <v>30.462</v>
      </c>
      <c r="D44" s="54">
        <f>Sheet1!D44/1000</f>
        <v>35.045999999999999</v>
      </c>
      <c r="E44" s="54">
        <f t="shared" si="16"/>
        <v>-13.079952063002906</v>
      </c>
      <c r="F44" s="54">
        <f>Sheet1!F44/1000</f>
        <v>10.741</v>
      </c>
      <c r="G44" s="54">
        <f>Sheet1!G44/1000</f>
        <v>17.645</v>
      </c>
      <c r="H44" s="54">
        <f t="shared" si="17"/>
        <v>-39.127231510342874</v>
      </c>
      <c r="I44" s="54">
        <f>Sheet1!I44/1000</f>
        <v>34.323999999999998</v>
      </c>
      <c r="J44" s="54">
        <f>Sheet1!J44/1000</f>
        <v>29.032</v>
      </c>
      <c r="K44" s="54">
        <f t="shared" si="18"/>
        <v>18.228162028106908</v>
      </c>
      <c r="L44" s="54">
        <f>Sheet1!L44/1000</f>
        <v>0</v>
      </c>
      <c r="M44" s="54">
        <f>Sheet1!M44/1000</f>
        <v>0</v>
      </c>
      <c r="N44" s="54">
        <v>0</v>
      </c>
      <c r="O44" s="60">
        <v>56</v>
      </c>
      <c r="P44" s="47">
        <v>141</v>
      </c>
      <c r="Q44" s="60">
        <v>58</v>
      </c>
      <c r="R44" s="44">
        <f t="shared" si="15"/>
        <v>7896</v>
      </c>
    </row>
    <row r="45" spans="1:18" x14ac:dyDescent="0.25">
      <c r="A45" s="50">
        <v>10</v>
      </c>
      <c r="B45" s="41" t="s">
        <v>46</v>
      </c>
      <c r="C45" s="54">
        <f>Sheet1!C45/1000</f>
        <v>94.915999999999997</v>
      </c>
      <c r="D45" s="54">
        <f>Sheet1!D45/1000</f>
        <v>196.83</v>
      </c>
      <c r="E45" s="54">
        <f t="shared" si="16"/>
        <v>-51.777676167250931</v>
      </c>
      <c r="F45" s="54">
        <f>Sheet1!F45/1000</f>
        <v>82.567999999999998</v>
      </c>
      <c r="G45" s="54">
        <f>Sheet1!G45/1000</f>
        <v>114.148</v>
      </c>
      <c r="H45" s="54">
        <f t="shared" si="17"/>
        <v>-27.665837333987454</v>
      </c>
      <c r="I45" s="54">
        <f>Sheet1!I45/1000</f>
        <v>89.451999999999998</v>
      </c>
      <c r="J45" s="54">
        <f>Sheet1!J45/1000</f>
        <v>198.136</v>
      </c>
      <c r="K45" s="54">
        <f t="shared" si="18"/>
        <v>-54.853232123389994</v>
      </c>
      <c r="L45" s="54">
        <f>Sheet1!L45/1000</f>
        <v>89.435000000000002</v>
      </c>
      <c r="M45" s="54">
        <f>Sheet1!M45/1000</f>
        <v>195.93</v>
      </c>
      <c r="N45" s="54">
        <f t="shared" si="19"/>
        <v>-54.353595671923649</v>
      </c>
      <c r="O45" s="60">
        <v>127</v>
      </c>
      <c r="P45" s="47">
        <v>84</v>
      </c>
      <c r="Q45" s="60">
        <v>23</v>
      </c>
      <c r="R45" s="44">
        <f t="shared" si="15"/>
        <v>10668</v>
      </c>
    </row>
    <row r="46" spans="1:18" x14ac:dyDescent="0.25">
      <c r="A46" s="40">
        <v>11</v>
      </c>
      <c r="B46" s="41" t="s">
        <v>47</v>
      </c>
      <c r="C46" s="54">
        <f>Sheet1!C46/1000</f>
        <v>0</v>
      </c>
      <c r="D46" s="54">
        <f>Sheet1!D46/1000</f>
        <v>0</v>
      </c>
      <c r="E46" s="54">
        <v>0</v>
      </c>
      <c r="F46" s="54">
        <f>Sheet1!F46/1000</f>
        <v>0</v>
      </c>
      <c r="G46" s="54">
        <f>Sheet1!G46/1000</f>
        <v>0</v>
      </c>
      <c r="H46" s="54">
        <v>0</v>
      </c>
      <c r="I46" s="54">
        <f>Sheet1!I46/1000</f>
        <v>5.7690000000000001</v>
      </c>
      <c r="J46" s="54">
        <f>Sheet1!J46/1000</f>
        <v>0</v>
      </c>
      <c r="K46" s="54">
        <v>0</v>
      </c>
      <c r="L46" s="54">
        <f>Sheet1!L46/1000</f>
        <v>5.7690000000000001</v>
      </c>
      <c r="M46" s="54">
        <f>Sheet1!M46/1000</f>
        <v>0</v>
      </c>
      <c r="N46" s="54">
        <v>0</v>
      </c>
      <c r="O46" s="60">
        <v>21</v>
      </c>
      <c r="P46" s="47">
        <v>80</v>
      </c>
      <c r="Q46" s="60">
        <v>23</v>
      </c>
      <c r="R46" s="44">
        <f t="shared" si="15"/>
        <v>1680</v>
      </c>
    </row>
    <row r="47" spans="1:18" x14ac:dyDescent="0.25">
      <c r="A47" s="40">
        <v>12</v>
      </c>
      <c r="B47" s="41" t="s">
        <v>48</v>
      </c>
      <c r="C47" s="54">
        <f>Sheet1!C47/1000</f>
        <v>4.8129999999999997</v>
      </c>
      <c r="D47" s="54">
        <f>Sheet1!D47/1000</f>
        <v>25.321000000000002</v>
      </c>
      <c r="E47" s="54">
        <f t="shared" si="16"/>
        <v>-80.992061924884482</v>
      </c>
      <c r="F47" s="54">
        <f>Sheet1!F47/1000</f>
        <v>2.2629999999999999</v>
      </c>
      <c r="G47" s="54">
        <f>Sheet1!G47/1000</f>
        <v>9.8019999999999996</v>
      </c>
      <c r="H47" s="54">
        <f t="shared" ref="H47" si="20">F47/G47*100-100</f>
        <v>-76.912874923485006</v>
      </c>
      <c r="I47" s="54">
        <f>Sheet1!I47/1000</f>
        <v>4.8129999999999997</v>
      </c>
      <c r="J47" s="54">
        <f>Sheet1!J47/1000</f>
        <v>24.963000000000001</v>
      </c>
      <c r="K47" s="54">
        <f t="shared" ref="K47" si="21">I47/J47*100-100</f>
        <v>-80.719464807915713</v>
      </c>
      <c r="L47" s="54">
        <f>Sheet1!L47/1000</f>
        <v>2.1989999999999998</v>
      </c>
      <c r="M47" s="54">
        <f>Sheet1!M47/1000</f>
        <v>22.027999999999999</v>
      </c>
      <c r="N47" s="54">
        <f t="shared" ref="N47" si="22">L47/M47*100-100</f>
        <v>-90.017250771745054</v>
      </c>
      <c r="O47" s="60">
        <v>21</v>
      </c>
      <c r="P47" s="47">
        <v>145</v>
      </c>
      <c r="Q47" s="60">
        <v>23</v>
      </c>
      <c r="R47" s="44">
        <f t="shared" si="15"/>
        <v>3045</v>
      </c>
    </row>
    <row r="48" spans="1:18" x14ac:dyDescent="0.25">
      <c r="A48" s="40">
        <v>13</v>
      </c>
      <c r="B48" s="41" t="s">
        <v>49</v>
      </c>
      <c r="C48" s="54">
        <f>Sheet1!C48/1000</f>
        <v>35.588000000000001</v>
      </c>
      <c r="D48" s="54">
        <f>Sheet1!D48/1000</f>
        <v>97.73</v>
      </c>
      <c r="E48" s="54">
        <f t="shared" si="16"/>
        <v>-63.585388314744705</v>
      </c>
      <c r="F48" s="54">
        <f>Sheet1!F48/1000</f>
        <v>8.8079999999999998</v>
      </c>
      <c r="G48" s="54">
        <f>Sheet1!G48/1000</f>
        <v>32.082000000000001</v>
      </c>
      <c r="H48" s="54">
        <f t="shared" si="17"/>
        <v>-72.545352534131297</v>
      </c>
      <c r="I48" s="54">
        <f>Sheet1!I48/1000</f>
        <v>39.537999999999997</v>
      </c>
      <c r="J48" s="54">
        <f>Sheet1!J48/1000</f>
        <v>78.947000000000003</v>
      </c>
      <c r="K48" s="54">
        <f t="shared" si="18"/>
        <v>-49.918299618731567</v>
      </c>
      <c r="L48" s="54">
        <f>Sheet1!L48/1000</f>
        <v>0</v>
      </c>
      <c r="M48" s="54">
        <f>Sheet1!M48/1000</f>
        <v>0</v>
      </c>
      <c r="N48" s="54">
        <v>0</v>
      </c>
      <c r="O48" s="60">
        <v>65</v>
      </c>
      <c r="P48" s="47">
        <v>100</v>
      </c>
      <c r="Q48" s="60">
        <v>33</v>
      </c>
      <c r="R48" s="44">
        <f t="shared" si="15"/>
        <v>6500</v>
      </c>
    </row>
    <row r="49" spans="1:18" x14ac:dyDescent="0.25">
      <c r="A49" s="40">
        <v>14</v>
      </c>
      <c r="B49" s="41" t="s">
        <v>50</v>
      </c>
      <c r="C49" s="54">
        <f>Sheet1!C49/1000</f>
        <v>5.6710000000000003</v>
      </c>
      <c r="D49" s="54">
        <f>Sheet1!D49/1000</f>
        <v>6.3079999999999998</v>
      </c>
      <c r="E49" s="54">
        <f t="shared" si="16"/>
        <v>-10.098287888395689</v>
      </c>
      <c r="F49" s="54">
        <f>Sheet1!F49/1000</f>
        <v>2.0169999999999999</v>
      </c>
      <c r="G49" s="54">
        <f>Sheet1!G49/1000</f>
        <v>1.3819999999999999</v>
      </c>
      <c r="H49" s="54">
        <f t="shared" si="17"/>
        <v>45.9479015918958</v>
      </c>
      <c r="I49" s="54">
        <f>Sheet1!I49/1000</f>
        <v>3.544</v>
      </c>
      <c r="J49" s="54">
        <f>Sheet1!J49/1000</f>
        <v>4.7510000000000003</v>
      </c>
      <c r="K49" s="54">
        <f t="shared" si="18"/>
        <v>-25.405177857293211</v>
      </c>
      <c r="L49" s="54">
        <f>Sheet1!L49/1000</f>
        <v>0</v>
      </c>
      <c r="M49" s="54">
        <f>Sheet1!M49/1000</f>
        <v>1.5760000000000001</v>
      </c>
      <c r="N49" s="54">
        <v>0</v>
      </c>
      <c r="O49" s="60">
        <v>14</v>
      </c>
      <c r="P49" s="47">
        <v>80</v>
      </c>
      <c r="Q49" s="60">
        <v>14</v>
      </c>
      <c r="R49" s="44">
        <f t="shared" si="15"/>
        <v>1120</v>
      </c>
    </row>
    <row r="50" spans="1:18" x14ac:dyDescent="0.25">
      <c r="A50" s="40">
        <v>15</v>
      </c>
      <c r="B50" s="41" t="s">
        <v>51</v>
      </c>
      <c r="C50" s="54">
        <f>Sheet1!C50/1000</f>
        <v>31.94</v>
      </c>
      <c r="D50" s="54">
        <f>Sheet1!D50/1000</f>
        <v>0</v>
      </c>
      <c r="E50" s="60">
        <v>0</v>
      </c>
      <c r="F50" s="54">
        <f>Sheet1!F50/1000</f>
        <v>31.94</v>
      </c>
      <c r="G50" s="54">
        <f>Sheet1!G50/1000</f>
        <v>0</v>
      </c>
      <c r="H50" s="54">
        <v>0</v>
      </c>
      <c r="I50" s="54">
        <f>Sheet1!I50/1000</f>
        <v>99.259</v>
      </c>
      <c r="J50" s="54">
        <f>Sheet1!J50/1000</f>
        <v>0</v>
      </c>
      <c r="K50" s="54">
        <v>0</v>
      </c>
      <c r="L50" s="54">
        <f>Sheet1!L50/1000</f>
        <v>87.402000000000001</v>
      </c>
      <c r="M50" s="54">
        <f>Sheet1!M50/1000</f>
        <v>0</v>
      </c>
      <c r="N50" s="54">
        <v>0</v>
      </c>
      <c r="O50" s="60">
        <v>55</v>
      </c>
      <c r="P50" s="47">
        <v>136</v>
      </c>
      <c r="Q50" s="60">
        <v>60</v>
      </c>
      <c r="R50" s="44">
        <f t="shared" si="15"/>
        <v>7480</v>
      </c>
    </row>
    <row r="51" spans="1:18" x14ac:dyDescent="0.25">
      <c r="A51" s="40">
        <v>16</v>
      </c>
      <c r="B51" s="41" t="s">
        <v>52</v>
      </c>
      <c r="C51" s="54">
        <f>Sheet1!C51/1000</f>
        <v>0</v>
      </c>
      <c r="D51" s="54">
        <f>Sheet1!D51/1000</f>
        <v>0</v>
      </c>
      <c r="E51" s="54">
        <v>0</v>
      </c>
      <c r="F51" s="54">
        <f>Sheet1!F51/1000</f>
        <v>0</v>
      </c>
      <c r="G51" s="54">
        <f>Sheet1!G51/1000</f>
        <v>0</v>
      </c>
      <c r="H51" s="54">
        <v>0</v>
      </c>
      <c r="I51" s="54">
        <f>Sheet1!I51/1000</f>
        <v>0</v>
      </c>
      <c r="J51" s="54">
        <f>Sheet1!J51/1000</f>
        <v>0</v>
      </c>
      <c r="K51" s="54">
        <v>0</v>
      </c>
      <c r="L51" s="54">
        <f>Sheet1!L51/1000</f>
        <v>0</v>
      </c>
      <c r="M51" s="54">
        <f>Sheet1!M51/1000</f>
        <v>0</v>
      </c>
      <c r="N51" s="54">
        <v>0</v>
      </c>
      <c r="O51" s="60"/>
      <c r="P51" s="47">
        <v>45</v>
      </c>
      <c r="Q51" s="60">
        <v>17</v>
      </c>
      <c r="R51" s="44">
        <f t="shared" si="15"/>
        <v>0</v>
      </c>
    </row>
    <row r="52" spans="1:18" x14ac:dyDescent="0.25">
      <c r="A52" s="40">
        <v>17</v>
      </c>
      <c r="B52" s="41" t="s">
        <v>53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60"/>
      <c r="P52" s="47">
        <v>63</v>
      </c>
      <c r="Q52" s="60">
        <v>2</v>
      </c>
      <c r="R52" s="44">
        <f t="shared" si="15"/>
        <v>0</v>
      </c>
    </row>
    <row r="53" spans="1:18" x14ac:dyDescent="0.25">
      <c r="A53" s="40">
        <v>18</v>
      </c>
      <c r="B53" s="55" t="s">
        <v>54</v>
      </c>
      <c r="C53" s="54">
        <f>Sheet1!C53/1000</f>
        <v>0</v>
      </c>
      <c r="D53" s="54">
        <f>Sheet1!D53/1000</f>
        <v>216.77099999999999</v>
      </c>
      <c r="E53" s="54">
        <f t="shared" si="16"/>
        <v>-100</v>
      </c>
      <c r="F53" s="54">
        <f>Sheet1!F53/1000</f>
        <v>0</v>
      </c>
      <c r="G53" s="54">
        <f>Sheet1!G53/1000</f>
        <v>127.4363</v>
      </c>
      <c r="H53" s="54">
        <v>0</v>
      </c>
      <c r="I53" s="54">
        <f>Sheet1!I53/1000</f>
        <v>35.585000000000001</v>
      </c>
      <c r="J53" s="54">
        <f>Sheet1!J53/1000</f>
        <v>216.77099999999999</v>
      </c>
      <c r="K53" s="54">
        <v>0</v>
      </c>
      <c r="L53" s="54">
        <f>Sheet1!L53/1000</f>
        <v>0</v>
      </c>
      <c r="M53" s="54">
        <f>Sheet1!M53/1000</f>
        <v>209.6771</v>
      </c>
      <c r="N53" s="54">
        <v>0</v>
      </c>
      <c r="O53" s="60">
        <v>105</v>
      </c>
      <c r="P53" s="47">
        <v>85</v>
      </c>
      <c r="Q53" s="60">
        <v>112</v>
      </c>
      <c r="R53" s="44">
        <f t="shared" si="15"/>
        <v>8925</v>
      </c>
    </row>
    <row r="54" spans="1:18" x14ac:dyDescent="0.25">
      <c r="A54" s="893" t="s">
        <v>55</v>
      </c>
      <c r="B54" s="894"/>
      <c r="C54" s="87">
        <f>SUM(C36:C53)</f>
        <v>452.79399999999998</v>
      </c>
      <c r="D54" s="87">
        <f>SUM(D36:D53)</f>
        <v>717.16800000000001</v>
      </c>
      <c r="E54" s="168">
        <f>C54/D54*100-100</f>
        <v>-36.863607969123002</v>
      </c>
      <c r="F54" s="87">
        <f>SUM(F36:F53)</f>
        <v>216.72299999999998</v>
      </c>
      <c r="G54" s="87">
        <f>SUM(G36:G53)</f>
        <v>342.60929999999996</v>
      </c>
      <c r="H54" s="168">
        <f t="shared" si="17"/>
        <v>-36.743398384106904</v>
      </c>
      <c r="I54" s="87">
        <f>SUM(I36:I53)</f>
        <v>465.05399999999997</v>
      </c>
      <c r="J54" s="87">
        <f>SUM(J36:J53)</f>
        <v>699.16899999999998</v>
      </c>
      <c r="K54" s="168">
        <f t="shared" si="18"/>
        <v>-33.484751183190326</v>
      </c>
      <c r="L54" s="87">
        <f>SUM(L36:L53)</f>
        <v>205.09700000000001</v>
      </c>
      <c r="M54" s="87">
        <f>SUM(M36:M53)</f>
        <v>445.66210000000001</v>
      </c>
      <c r="N54" s="168">
        <f t="shared" si="19"/>
        <v>-53.979259174159075</v>
      </c>
      <c r="O54" s="87">
        <f>SUM(O36:O53)</f>
        <v>805</v>
      </c>
      <c r="P54" s="87">
        <f>R54/O54</f>
        <v>109.47329192546584</v>
      </c>
      <c r="Q54" s="87">
        <f>SUM(Q36:Q53)</f>
        <v>711</v>
      </c>
      <c r="R54" s="56">
        <f>SUM(R36:R53)</f>
        <v>88126</v>
      </c>
    </row>
    <row r="55" spans="1:18" x14ac:dyDescent="0.25">
      <c r="A55" s="71"/>
      <c r="B55" s="71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60"/>
      <c r="R55" s="71"/>
    </row>
    <row r="56" spans="1:18" x14ac:dyDescent="0.25">
      <c r="A56" s="891" t="s">
        <v>56</v>
      </c>
      <c r="B56" s="892"/>
      <c r="C56" s="38">
        <v>3</v>
      </c>
      <c r="D56" s="38">
        <v>4</v>
      </c>
      <c r="E56" s="38">
        <v>5</v>
      </c>
      <c r="F56" s="38">
        <v>6</v>
      </c>
      <c r="G56" s="38">
        <v>7</v>
      </c>
      <c r="H56" s="38">
        <v>8</v>
      </c>
      <c r="I56" s="38">
        <v>9</v>
      </c>
      <c r="J56" s="38">
        <v>10</v>
      </c>
      <c r="K56" s="38">
        <v>11</v>
      </c>
      <c r="L56" s="38">
        <v>12</v>
      </c>
      <c r="M56" s="38">
        <v>13</v>
      </c>
      <c r="N56" s="38">
        <v>14</v>
      </c>
      <c r="O56" s="38">
        <v>15</v>
      </c>
      <c r="P56" s="38">
        <v>16</v>
      </c>
      <c r="Q56" s="38">
        <v>15</v>
      </c>
      <c r="R56" s="39"/>
    </row>
    <row r="57" spans="1:18" x14ac:dyDescent="0.25">
      <c r="A57" s="46">
        <v>1</v>
      </c>
      <c r="B57" s="55" t="s">
        <v>57</v>
      </c>
      <c r="C57" s="54">
        <f>Sheet1!C57/1000</f>
        <v>59.384999999999998</v>
      </c>
      <c r="D57" s="54">
        <f>Sheet1!D57/1000</f>
        <v>85.798000000000002</v>
      </c>
      <c r="E57" s="54">
        <f t="shared" ref="E57:E66" si="23">C57/D57*100-100</f>
        <v>-30.785099885778223</v>
      </c>
      <c r="F57" s="54">
        <f>Sheet1!F57/1000</f>
        <v>31.792999999999999</v>
      </c>
      <c r="G57" s="54">
        <f>Sheet1!G57/1000</f>
        <v>42.981000000000002</v>
      </c>
      <c r="H57" s="54">
        <f t="shared" ref="H57:H66" si="24">F57/G57*100-100</f>
        <v>-26.030106326051055</v>
      </c>
      <c r="I57" s="54">
        <f>Sheet1!I57/1000</f>
        <v>70.043999999999997</v>
      </c>
      <c r="J57" s="54">
        <f>Sheet1!J57/1000</f>
        <v>73.662000000000006</v>
      </c>
      <c r="K57" s="54">
        <f t="shared" ref="K57:K66" si="25">I57/J57*100-100</f>
        <v>-4.9116233607558968</v>
      </c>
      <c r="L57" s="54">
        <f>Sheet1!L57/1000</f>
        <v>69.658000000000001</v>
      </c>
      <c r="M57" s="54">
        <f>Sheet1!M57/1000</f>
        <v>73.234999999999999</v>
      </c>
      <c r="N57" s="54">
        <f t="shared" ref="N57:N66" si="26">L57/M57*100-100</f>
        <v>-4.8842766436812894</v>
      </c>
      <c r="O57" s="54">
        <v>146</v>
      </c>
      <c r="P57" s="62">
        <v>86</v>
      </c>
      <c r="Q57" s="54">
        <v>146</v>
      </c>
      <c r="R57" s="44">
        <f>O57*P57</f>
        <v>12556</v>
      </c>
    </row>
    <row r="58" spans="1:18" x14ac:dyDescent="0.25">
      <c r="A58" s="63">
        <v>2</v>
      </c>
      <c r="B58" s="55" t="s">
        <v>58</v>
      </c>
      <c r="C58" s="54">
        <f>Sheet1!C58/1000</f>
        <v>12.648999999999999</v>
      </c>
      <c r="D58" s="54">
        <f>Sheet1!D58/1000</f>
        <v>20.283999999999999</v>
      </c>
      <c r="E58" s="54">
        <f t="shared" si="23"/>
        <v>-37.640504831394203</v>
      </c>
      <c r="F58" s="54">
        <f>Sheet1!F58/1000</f>
        <v>1.8560000000000001</v>
      </c>
      <c r="G58" s="54">
        <f>Sheet1!G58/1000</f>
        <v>19.672999999999998</v>
      </c>
      <c r="H58" s="54">
        <f t="shared" si="24"/>
        <v>-90.565750012707767</v>
      </c>
      <c r="I58" s="54">
        <f>Sheet1!I58/1000</f>
        <v>16.771000000000001</v>
      </c>
      <c r="J58" s="54">
        <f>Sheet1!J58/1000</f>
        <v>20.045999999999999</v>
      </c>
      <c r="K58" s="54">
        <f t="shared" si="25"/>
        <v>-16.337423924972555</v>
      </c>
      <c r="L58" s="54">
        <f>Sheet1!L58/1000</f>
        <v>0</v>
      </c>
      <c r="M58" s="54">
        <f>Sheet1!M58/1000</f>
        <v>0</v>
      </c>
      <c r="N58" s="54">
        <v>0</v>
      </c>
      <c r="O58" s="54">
        <v>105</v>
      </c>
      <c r="P58" s="54">
        <v>105</v>
      </c>
      <c r="Q58" s="54">
        <v>101</v>
      </c>
      <c r="R58" s="44">
        <f t="shared" ref="R58:R65" si="27">O58*P58</f>
        <v>11025</v>
      </c>
    </row>
    <row r="59" spans="1:18" x14ac:dyDescent="0.25">
      <c r="A59" s="63">
        <v>3</v>
      </c>
      <c r="B59" s="55" t="s">
        <v>59</v>
      </c>
      <c r="C59" s="54">
        <f>Sheet1!C59/1000</f>
        <v>47.982999999999997</v>
      </c>
      <c r="D59" s="54">
        <f>Sheet1!D59/1000</f>
        <v>51.439</v>
      </c>
      <c r="E59" s="54">
        <f t="shared" si="23"/>
        <v>-6.7186376095958309</v>
      </c>
      <c r="F59" s="54">
        <f>Sheet1!F59/1000</f>
        <v>16.48</v>
      </c>
      <c r="G59" s="54">
        <f>Sheet1!G59/1000</f>
        <v>23.992000000000001</v>
      </c>
      <c r="H59" s="54">
        <f t="shared" si="24"/>
        <v>-31.310436812270765</v>
      </c>
      <c r="I59" s="54">
        <f>Sheet1!I59/1000</f>
        <v>47.982999999999997</v>
      </c>
      <c r="J59" s="54">
        <f>Sheet1!J59/1000</f>
        <v>51.439</v>
      </c>
      <c r="K59" s="54">
        <f t="shared" si="25"/>
        <v>-6.7186376095958309</v>
      </c>
      <c r="L59" s="54">
        <f>Sheet1!L59/1000</f>
        <v>0</v>
      </c>
      <c r="M59" s="54">
        <f>Sheet1!M59/1000</f>
        <v>0</v>
      </c>
      <c r="N59" s="54">
        <v>0</v>
      </c>
      <c r="O59" s="54">
        <v>108</v>
      </c>
      <c r="P59" s="54">
        <v>88</v>
      </c>
      <c r="Q59" s="54">
        <v>108</v>
      </c>
      <c r="R59" s="44">
        <f t="shared" si="27"/>
        <v>9504</v>
      </c>
    </row>
    <row r="60" spans="1:18" x14ac:dyDescent="0.25">
      <c r="A60" s="46">
        <v>4</v>
      </c>
      <c r="B60" s="55" t="s">
        <v>60</v>
      </c>
      <c r="C60" s="54">
        <f>Sheet1!C60/1000</f>
        <v>100.17100000000001</v>
      </c>
      <c r="D60" s="54">
        <f>Sheet1!D60/1000</f>
        <v>51.927</v>
      </c>
      <c r="E60" s="54">
        <f t="shared" si="23"/>
        <v>92.907350703872737</v>
      </c>
      <c r="F60" s="54">
        <f>Sheet1!F60/1000</f>
        <v>69.944000000000003</v>
      </c>
      <c r="G60" s="54">
        <f>Sheet1!G60/1000</f>
        <v>12.891999999999999</v>
      </c>
      <c r="H60" s="54">
        <f t="shared" si="24"/>
        <v>442.53800806701827</v>
      </c>
      <c r="I60" s="54">
        <f>Sheet1!I60/1000</f>
        <v>99.462999999999994</v>
      </c>
      <c r="J60" s="54">
        <f>Sheet1!J60/1000</f>
        <v>51.930999999999997</v>
      </c>
      <c r="K60" s="54">
        <f t="shared" si="25"/>
        <v>91.529144441662993</v>
      </c>
      <c r="L60" s="54">
        <f>Sheet1!L60/1000</f>
        <v>46.68</v>
      </c>
      <c r="M60" s="54">
        <f>Sheet1!M60/1000</f>
        <v>0</v>
      </c>
      <c r="N60" s="54">
        <v>0</v>
      </c>
      <c r="O60" s="54">
        <v>67</v>
      </c>
      <c r="P60" s="54">
        <v>124</v>
      </c>
      <c r="Q60" s="54">
        <v>67</v>
      </c>
      <c r="R60" s="44">
        <f t="shared" si="27"/>
        <v>8308</v>
      </c>
    </row>
    <row r="61" spans="1:18" x14ac:dyDescent="0.25">
      <c r="A61" s="63">
        <v>5</v>
      </c>
      <c r="B61" s="55" t="s">
        <v>61</v>
      </c>
      <c r="C61" s="54">
        <f>Sheet1!C61/1000</f>
        <v>0</v>
      </c>
      <c r="D61" s="54">
        <f>Sheet1!D61/1000</f>
        <v>0</v>
      </c>
      <c r="E61" s="54">
        <v>0</v>
      </c>
      <c r="F61" s="54">
        <f>Sheet1!F61/1000</f>
        <v>0</v>
      </c>
      <c r="G61" s="54">
        <f>Sheet1!G61/1000</f>
        <v>0</v>
      </c>
      <c r="H61" s="54">
        <v>0</v>
      </c>
      <c r="I61" s="54">
        <f>Sheet1!I61/1000</f>
        <v>0</v>
      </c>
      <c r="J61" s="54">
        <f>Sheet1!J61/1000</f>
        <v>0</v>
      </c>
      <c r="K61" s="54">
        <v>0</v>
      </c>
      <c r="L61" s="54">
        <f>Sheet1!L61/1000</f>
        <v>0</v>
      </c>
      <c r="M61" s="54">
        <f>Sheet1!M61/1000</f>
        <v>0</v>
      </c>
      <c r="N61" s="54">
        <v>0</v>
      </c>
      <c r="O61" s="60"/>
      <c r="P61" s="47">
        <v>0</v>
      </c>
      <c r="Q61" s="60">
        <v>35</v>
      </c>
      <c r="R61" s="44">
        <f t="shared" si="27"/>
        <v>0</v>
      </c>
    </row>
    <row r="62" spans="1:18" x14ac:dyDescent="0.25">
      <c r="A62" s="63">
        <v>6</v>
      </c>
      <c r="B62" s="55" t="s">
        <v>62</v>
      </c>
      <c r="C62" s="54">
        <f>Sheet1!C62/1000</f>
        <v>12.45</v>
      </c>
      <c r="D62" s="54">
        <f>Sheet1!D62/1000</f>
        <v>14.823</v>
      </c>
      <c r="E62" s="54">
        <f t="shared" si="23"/>
        <v>-16.008905079943332</v>
      </c>
      <c r="F62" s="54">
        <f>Sheet1!F62/1000</f>
        <v>6.1020000000000003</v>
      </c>
      <c r="G62" s="54">
        <f>Sheet1!G62/1000</f>
        <v>5.1870000000000003</v>
      </c>
      <c r="H62" s="54">
        <f t="shared" si="24"/>
        <v>17.640254482359751</v>
      </c>
      <c r="I62" s="54">
        <f>Sheet1!I62/1000</f>
        <v>10.95</v>
      </c>
      <c r="J62" s="54">
        <f>Sheet1!J62/1000</f>
        <v>17.600000000000001</v>
      </c>
      <c r="K62" s="54">
        <f t="shared" si="25"/>
        <v>-37.784090909090921</v>
      </c>
      <c r="L62" s="54">
        <f>Sheet1!L62/1000</f>
        <v>10.95</v>
      </c>
      <c r="M62" s="54">
        <f>Sheet1!M62/1000</f>
        <v>17.600000000000001</v>
      </c>
      <c r="N62" s="54">
        <f t="shared" si="26"/>
        <v>-37.784090909090921</v>
      </c>
      <c r="O62" s="54">
        <v>31</v>
      </c>
      <c r="P62" s="54">
        <v>67</v>
      </c>
      <c r="Q62" s="54">
        <v>31</v>
      </c>
      <c r="R62" s="44">
        <f t="shared" si="27"/>
        <v>2077</v>
      </c>
    </row>
    <row r="63" spans="1:18" x14ac:dyDescent="0.25">
      <c r="A63" s="46">
        <v>7</v>
      </c>
      <c r="B63" s="55" t="s">
        <v>63</v>
      </c>
      <c r="C63" s="54">
        <f>Sheet1!C63/1000</f>
        <v>23.859000000000002</v>
      </c>
      <c r="D63" s="54">
        <f>Sheet1!D63/1000</f>
        <v>6.3070000000000004</v>
      </c>
      <c r="E63" s="54">
        <f t="shared" si="23"/>
        <v>278.29395909307118</v>
      </c>
      <c r="F63" s="54">
        <f>Sheet1!F63/1000</f>
        <v>1.1020000000000001</v>
      </c>
      <c r="G63" s="54">
        <f>Sheet1!G63/1000</f>
        <v>1.569</v>
      </c>
      <c r="H63" s="54">
        <f t="shared" si="24"/>
        <v>-29.764181007010819</v>
      </c>
      <c r="I63" s="54">
        <f>Sheet1!I63/1000</f>
        <v>27.498999999999999</v>
      </c>
      <c r="J63" s="54">
        <f>Sheet1!J63/1000</f>
        <v>18.933</v>
      </c>
      <c r="K63" s="54">
        <f t="shared" si="25"/>
        <v>45.243754291448766</v>
      </c>
      <c r="L63" s="54">
        <f>Sheet1!L63/1000</f>
        <v>27.391999999999999</v>
      </c>
      <c r="M63" s="54">
        <f>Sheet1!M63/1000</f>
        <v>18.917999999999999</v>
      </c>
      <c r="N63" s="54">
        <f t="shared" si="26"/>
        <v>44.793318532614421</v>
      </c>
      <c r="O63" s="54">
        <v>33</v>
      </c>
      <c r="P63" s="54">
        <v>67</v>
      </c>
      <c r="Q63" s="54">
        <v>34</v>
      </c>
      <c r="R63" s="44">
        <f t="shared" si="27"/>
        <v>2211</v>
      </c>
    </row>
    <row r="64" spans="1:18" x14ac:dyDescent="0.25">
      <c r="A64" s="63">
        <v>8</v>
      </c>
      <c r="B64" s="55" t="s">
        <v>64</v>
      </c>
      <c r="C64" s="54">
        <f>Sheet1!C64/1000</f>
        <v>0</v>
      </c>
      <c r="D64" s="54">
        <f>Sheet1!D64/1000</f>
        <v>0</v>
      </c>
      <c r="E64" s="54">
        <v>0</v>
      </c>
      <c r="F64" s="54">
        <f>Sheet1!F64/1000</f>
        <v>0</v>
      </c>
      <c r="G64" s="54">
        <f>Sheet1!G64/1000</f>
        <v>0</v>
      </c>
      <c r="H64" s="54">
        <v>0</v>
      </c>
      <c r="I64" s="54">
        <f>Sheet1!I64/1000</f>
        <v>0</v>
      </c>
      <c r="J64" s="54">
        <f>Sheet1!J64/1000</f>
        <v>0</v>
      </c>
      <c r="K64" s="54">
        <v>0</v>
      </c>
      <c r="L64" s="54">
        <f>Sheet1!L64/1000</f>
        <v>0</v>
      </c>
      <c r="M64" s="54">
        <f>Sheet1!M64/1000</f>
        <v>0</v>
      </c>
      <c r="N64" s="54">
        <v>0</v>
      </c>
      <c r="O64" s="54"/>
      <c r="P64" s="62">
        <v>85</v>
      </c>
      <c r="Q64" s="54">
        <v>28</v>
      </c>
      <c r="R64" s="44">
        <f t="shared" si="27"/>
        <v>0</v>
      </c>
    </row>
    <row r="65" spans="1:18" x14ac:dyDescent="0.25">
      <c r="A65" s="63">
        <v>9</v>
      </c>
      <c r="B65" s="55" t="s">
        <v>65</v>
      </c>
      <c r="C65" s="54">
        <f>Sheet1!C65/1000</f>
        <v>0</v>
      </c>
      <c r="D65" s="54">
        <f>Sheet1!D65/1000</f>
        <v>0</v>
      </c>
      <c r="E65" s="54">
        <v>0</v>
      </c>
      <c r="F65" s="54">
        <f>Sheet1!F65/1000</f>
        <v>0</v>
      </c>
      <c r="G65" s="54">
        <f>Sheet1!G65/1000</f>
        <v>0</v>
      </c>
      <c r="H65" s="54">
        <v>0</v>
      </c>
      <c r="I65" s="54">
        <f>Sheet1!I65/1000</f>
        <v>0</v>
      </c>
      <c r="J65" s="54">
        <f>Sheet1!J65/1000</f>
        <v>0</v>
      </c>
      <c r="K65" s="54">
        <v>0</v>
      </c>
      <c r="L65" s="54">
        <f>Sheet1!L65/1000</f>
        <v>0</v>
      </c>
      <c r="M65" s="54">
        <f>Sheet1!M65/1000</f>
        <v>0</v>
      </c>
      <c r="N65" s="54">
        <v>0</v>
      </c>
      <c r="O65" s="60">
        <v>0</v>
      </c>
      <c r="P65" s="47">
        <v>0</v>
      </c>
      <c r="Q65" s="60">
        <v>0</v>
      </c>
      <c r="R65" s="44">
        <f t="shared" si="27"/>
        <v>0</v>
      </c>
    </row>
    <row r="66" spans="1:18" x14ac:dyDescent="0.25">
      <c r="A66" s="907" t="s">
        <v>66</v>
      </c>
      <c r="B66" s="908"/>
      <c r="C66" s="68">
        <f>SUM(C57:C65)</f>
        <v>256.49699999999996</v>
      </c>
      <c r="D66" s="68">
        <f>SUM(D57:D65)</f>
        <v>230.57799999999997</v>
      </c>
      <c r="E66" s="168">
        <f t="shared" si="23"/>
        <v>11.240881610561274</v>
      </c>
      <c r="F66" s="68">
        <f>SUM(F57:F65)</f>
        <v>127.27700000000002</v>
      </c>
      <c r="G66" s="68">
        <f>SUM(G57:G65)</f>
        <v>106.294</v>
      </c>
      <c r="H66" s="168">
        <f t="shared" si="24"/>
        <v>19.740530980111799</v>
      </c>
      <c r="I66" s="68">
        <f>SUM(I57:I65)</f>
        <v>272.70999999999998</v>
      </c>
      <c r="J66" s="68">
        <f>SUM(J57:J65)</f>
        <v>233.61099999999996</v>
      </c>
      <c r="K66" s="168">
        <f t="shared" si="25"/>
        <v>16.736797496693228</v>
      </c>
      <c r="L66" s="68">
        <f>SUM(L57:L65)</f>
        <v>154.68</v>
      </c>
      <c r="M66" s="68">
        <f>SUM(M57:M65)</f>
        <v>109.75300000000001</v>
      </c>
      <c r="N66" s="168">
        <f t="shared" si="26"/>
        <v>40.934644155512814</v>
      </c>
      <c r="O66" s="68">
        <f>SUM(O57:O65)</f>
        <v>490</v>
      </c>
      <c r="P66" s="68">
        <f>R66/O66</f>
        <v>93.2265306122449</v>
      </c>
      <c r="Q66" s="68">
        <f>SUM(Q57:Q65)</f>
        <v>550</v>
      </c>
      <c r="R66" s="70">
        <f>SUM(R57:R65)</f>
        <v>45681</v>
      </c>
    </row>
    <row r="67" spans="1:18" x14ac:dyDescent="0.25">
      <c r="A67" s="39"/>
      <c r="B67" s="71"/>
      <c r="C67" s="73"/>
      <c r="D67" s="73"/>
      <c r="E67" s="73"/>
      <c r="F67" s="73"/>
      <c r="G67" s="73"/>
      <c r="H67" s="73"/>
      <c r="I67" s="73"/>
      <c r="J67" s="73"/>
      <c r="K67" s="72"/>
      <c r="L67" s="73"/>
      <c r="M67" s="73"/>
      <c r="N67" s="73"/>
      <c r="O67" s="73"/>
      <c r="P67" s="73"/>
      <c r="Q67" s="73"/>
      <c r="R67" s="39"/>
    </row>
    <row r="68" spans="1:18" x14ac:dyDescent="0.25">
      <c r="A68" s="891" t="s">
        <v>67</v>
      </c>
      <c r="B68" s="892"/>
      <c r="C68" s="38">
        <v>3</v>
      </c>
      <c r="D68" s="38">
        <v>4</v>
      </c>
      <c r="E68" s="38">
        <v>5</v>
      </c>
      <c r="F68" s="38">
        <v>6</v>
      </c>
      <c r="G68" s="38">
        <v>7</v>
      </c>
      <c r="H68" s="38">
        <v>8</v>
      </c>
      <c r="I68" s="38">
        <v>9</v>
      </c>
      <c r="J68" s="38">
        <v>10</v>
      </c>
      <c r="K68" s="38">
        <v>11</v>
      </c>
      <c r="L68" s="38">
        <v>12</v>
      </c>
      <c r="M68" s="38">
        <v>13</v>
      </c>
      <c r="N68" s="38">
        <v>14</v>
      </c>
      <c r="O68" s="38">
        <v>15</v>
      </c>
      <c r="P68" s="38">
        <v>16</v>
      </c>
      <c r="Q68" s="38">
        <v>15</v>
      </c>
      <c r="R68" s="39"/>
    </row>
    <row r="69" spans="1:18" x14ac:dyDescent="0.25">
      <c r="A69" s="40">
        <v>1</v>
      </c>
      <c r="B69" s="41" t="s">
        <v>68</v>
      </c>
      <c r="C69" s="54">
        <f>Sheet1!C69/1000</f>
        <v>0.55400000000000005</v>
      </c>
      <c r="D69" s="54">
        <f>Sheet1!D69/1000</f>
        <v>0.9</v>
      </c>
      <c r="E69" s="54">
        <f t="shared" ref="E69:E78" si="28">C69/D69*100-100</f>
        <v>-38.444444444444436</v>
      </c>
      <c r="F69" s="54">
        <f>Sheet1!F69/1000</f>
        <v>0.375</v>
      </c>
      <c r="G69" s="54">
        <f>Sheet1!G69/1000</f>
        <v>8.2000000000000003E-2</v>
      </c>
      <c r="H69" s="54">
        <f t="shared" ref="H69:H78" si="29">F69/G69*100-100</f>
        <v>357.3170731707317</v>
      </c>
      <c r="I69" s="54">
        <f>Sheet1!I69/1000</f>
        <v>0.55400000000000005</v>
      </c>
      <c r="J69" s="54">
        <f>Sheet1!J69/1000</f>
        <v>0.9</v>
      </c>
      <c r="K69" s="34">
        <f>I69/J69*100</f>
        <v>61.555555555555564</v>
      </c>
      <c r="L69" s="54">
        <f>Sheet1!L69/1000</f>
        <v>0</v>
      </c>
      <c r="M69" s="54">
        <f>Sheet1!M69/1000</f>
        <v>0</v>
      </c>
      <c r="N69" s="54">
        <v>0</v>
      </c>
      <c r="O69" s="60">
        <v>142</v>
      </c>
      <c r="P69" s="60">
        <v>55</v>
      </c>
      <c r="Q69" s="60">
        <v>138</v>
      </c>
      <c r="R69" s="44">
        <f t="shared" ref="R69:R76" si="30">O69*P69</f>
        <v>7810</v>
      </c>
    </row>
    <row r="70" spans="1:18" x14ac:dyDescent="0.25">
      <c r="A70" s="40">
        <v>2</v>
      </c>
      <c r="B70" s="41" t="s">
        <v>69</v>
      </c>
      <c r="C70" s="54">
        <f>Sheet1!C70/1000</f>
        <v>40.591000000000001</v>
      </c>
      <c r="D70" s="54">
        <f>Sheet1!D70/1000</f>
        <v>169.357</v>
      </c>
      <c r="E70" s="54">
        <f t="shared" si="28"/>
        <v>-76.032286826053834</v>
      </c>
      <c r="F70" s="54">
        <f>Sheet1!F70/1000</f>
        <v>6.9619999999999997</v>
      </c>
      <c r="G70" s="54">
        <f>Sheet1!G70/1000</f>
        <v>74.39</v>
      </c>
      <c r="H70" s="54">
        <f t="shared" si="29"/>
        <v>-90.641215217099074</v>
      </c>
      <c r="I70" s="54">
        <f>Sheet1!I70/1000</f>
        <v>40.686999999999998</v>
      </c>
      <c r="J70" s="54">
        <f>Sheet1!J70/1000</f>
        <v>136.96899999999999</v>
      </c>
      <c r="K70" s="54">
        <f t="shared" ref="K70:K78" si="31">I70/J70*100-100</f>
        <v>-70.294738225437868</v>
      </c>
      <c r="L70" s="54">
        <f>Sheet1!L70/1000</f>
        <v>40.686999999999998</v>
      </c>
      <c r="M70" s="54">
        <f>Sheet1!M70/1000</f>
        <v>136.96899999999999</v>
      </c>
      <c r="N70" s="54">
        <f t="shared" ref="N70:N78" si="32">L70/M70*100-100</f>
        <v>-70.294738225437868</v>
      </c>
      <c r="O70" s="60">
        <v>13</v>
      </c>
      <c r="P70" s="47">
        <v>55</v>
      </c>
      <c r="Q70" s="60">
        <v>13</v>
      </c>
      <c r="R70" s="44">
        <f t="shared" si="30"/>
        <v>715</v>
      </c>
    </row>
    <row r="71" spans="1:18" x14ac:dyDescent="0.25">
      <c r="A71" s="40">
        <v>3</v>
      </c>
      <c r="B71" s="41" t="s">
        <v>70</v>
      </c>
      <c r="C71" s="54">
        <f>Sheet1!C71/1000</f>
        <v>0</v>
      </c>
      <c r="D71" s="54">
        <f>Sheet1!D71/1000</f>
        <v>0</v>
      </c>
      <c r="E71" s="54">
        <v>0</v>
      </c>
      <c r="F71" s="54">
        <f>Sheet1!F71/1000</f>
        <v>0</v>
      </c>
      <c r="G71" s="54">
        <f>Sheet1!G71/1000</f>
        <v>0</v>
      </c>
      <c r="H71" s="54">
        <v>0</v>
      </c>
      <c r="I71" s="54">
        <f>Sheet1!I71/1000</f>
        <v>0</v>
      </c>
      <c r="J71" s="54">
        <f>Sheet1!J71/1000</f>
        <v>0</v>
      </c>
      <c r="K71" s="54">
        <v>0</v>
      </c>
      <c r="L71" s="54">
        <f>Sheet1!L71/1000</f>
        <v>0</v>
      </c>
      <c r="M71" s="54">
        <f>Sheet1!M71/1000</f>
        <v>0</v>
      </c>
      <c r="N71" s="54">
        <v>0</v>
      </c>
      <c r="O71" s="60"/>
      <c r="P71" s="60">
        <v>71</v>
      </c>
      <c r="Q71" s="60">
        <v>37</v>
      </c>
      <c r="R71" s="44">
        <f t="shared" si="30"/>
        <v>0</v>
      </c>
    </row>
    <row r="72" spans="1:18" x14ac:dyDescent="0.25">
      <c r="A72" s="40">
        <v>4</v>
      </c>
      <c r="B72" s="41" t="s">
        <v>71</v>
      </c>
      <c r="C72" s="54">
        <f>Sheet1!C72/1000</f>
        <v>3.556</v>
      </c>
      <c r="D72" s="54">
        <f>Sheet1!D72/1000</f>
        <v>16.178999999999998</v>
      </c>
      <c r="E72" s="54">
        <f t="shared" si="28"/>
        <v>-78.020891278818226</v>
      </c>
      <c r="F72" s="54">
        <f>Sheet1!F72/1000</f>
        <v>0.5</v>
      </c>
      <c r="G72" s="54">
        <f>Sheet1!G72/1000</f>
        <v>0.52700000000000002</v>
      </c>
      <c r="H72" s="54">
        <f t="shared" si="29"/>
        <v>-5.1233396584440243</v>
      </c>
      <c r="I72" s="54">
        <f>Sheet1!I72/1000</f>
        <v>0.60099999999999998</v>
      </c>
      <c r="J72" s="54">
        <f>Sheet1!J72/1000</f>
        <v>25.52</v>
      </c>
      <c r="K72" s="54">
        <f t="shared" si="31"/>
        <v>-97.644984326018815</v>
      </c>
      <c r="L72" s="54">
        <f>Sheet1!L72/1000</f>
        <v>0</v>
      </c>
      <c r="M72" s="54">
        <f>Sheet1!M72/1000</f>
        <v>22.158000000000001</v>
      </c>
      <c r="N72" s="54">
        <v>0</v>
      </c>
      <c r="O72" s="60">
        <v>43</v>
      </c>
      <c r="P72" s="75">
        <v>50</v>
      </c>
      <c r="Q72" s="60">
        <v>41</v>
      </c>
      <c r="R72" s="44">
        <f t="shared" si="30"/>
        <v>2150</v>
      </c>
    </row>
    <row r="73" spans="1:18" x14ac:dyDescent="0.25">
      <c r="A73" s="40">
        <v>5</v>
      </c>
      <c r="B73" s="41" t="s">
        <v>72</v>
      </c>
      <c r="C73" s="54">
        <f>Sheet1!C73/1000</f>
        <v>0.625</v>
      </c>
      <c r="D73" s="54">
        <f>Sheet1!D73/1000</f>
        <v>0.32500000000000001</v>
      </c>
      <c r="E73" s="54">
        <f t="shared" si="28"/>
        <v>92.307692307692292</v>
      </c>
      <c r="F73" s="54">
        <f>Sheet1!F73/1000</f>
        <v>0.20899999999999999</v>
      </c>
      <c r="G73" s="54">
        <f>Sheet1!G73/1000</f>
        <v>0.125</v>
      </c>
      <c r="H73" s="54">
        <f t="shared" si="29"/>
        <v>67.199999999999989</v>
      </c>
      <c r="I73" s="54">
        <f>Sheet1!I73/1000</f>
        <v>0.625</v>
      </c>
      <c r="J73" s="54">
        <f>Sheet1!J73/1000</f>
        <v>0.32500000000000001</v>
      </c>
      <c r="K73" s="54">
        <f t="shared" si="31"/>
        <v>92.307692307692292</v>
      </c>
      <c r="L73" s="54">
        <f>Sheet1!L73/1000</f>
        <v>0</v>
      </c>
      <c r="M73" s="54">
        <f>Sheet1!M73/1000</f>
        <v>0</v>
      </c>
      <c r="N73" s="54">
        <v>0</v>
      </c>
      <c r="O73" s="60">
        <v>63</v>
      </c>
      <c r="P73" s="60">
        <v>125</v>
      </c>
      <c r="Q73" s="60">
        <v>66</v>
      </c>
      <c r="R73" s="44">
        <f t="shared" si="30"/>
        <v>7875</v>
      </c>
    </row>
    <row r="74" spans="1:18" x14ac:dyDescent="0.25">
      <c r="A74" s="50">
        <v>6</v>
      </c>
      <c r="B74" s="41" t="s">
        <v>73</v>
      </c>
      <c r="C74" s="54">
        <f>Sheet1!C74/1000</f>
        <v>0</v>
      </c>
      <c r="D74" s="54">
        <f>Sheet1!D74/1000</f>
        <v>2.1749999999999998</v>
      </c>
      <c r="E74" s="54">
        <f t="shared" si="28"/>
        <v>-100</v>
      </c>
      <c r="F74" s="54">
        <f>Sheet1!F74/1000</f>
        <v>0</v>
      </c>
      <c r="G74" s="54">
        <f>Sheet1!G74/1000</f>
        <v>0.125</v>
      </c>
      <c r="H74" s="54">
        <v>0</v>
      </c>
      <c r="I74" s="54">
        <f>Sheet1!I74/1000</f>
        <v>0.17499999999999999</v>
      </c>
      <c r="J74" s="54">
        <f>Sheet1!J74/1000</f>
        <v>20.75</v>
      </c>
      <c r="K74" s="54">
        <f t="shared" si="31"/>
        <v>-99.156626506024097</v>
      </c>
      <c r="L74" s="54">
        <f>Sheet1!L74/1000</f>
        <v>0</v>
      </c>
      <c r="M74" s="54">
        <f>Sheet1!M74/1000</f>
        <v>2.8000000000000001E-2</v>
      </c>
      <c r="N74" s="54">
        <f t="shared" si="32"/>
        <v>-100</v>
      </c>
      <c r="O74" s="60">
        <v>6</v>
      </c>
      <c r="P74" s="60">
        <v>62</v>
      </c>
      <c r="Q74" s="60">
        <v>6</v>
      </c>
      <c r="R74" s="44">
        <f t="shared" si="30"/>
        <v>372</v>
      </c>
    </row>
    <row r="75" spans="1:18" x14ac:dyDescent="0.25">
      <c r="A75" s="40">
        <v>7</v>
      </c>
      <c r="B75" s="41" t="s">
        <v>74</v>
      </c>
      <c r="C75" s="54">
        <f>Sheet1!C75/1000</f>
        <v>127.49</v>
      </c>
      <c r="D75" s="54">
        <f>Sheet1!D75/1000</f>
        <v>134.75700000000001</v>
      </c>
      <c r="E75" s="54">
        <f t="shared" si="28"/>
        <v>-5.3926697685463552</v>
      </c>
      <c r="F75" s="54">
        <f>Sheet1!F75/1000</f>
        <v>51.319000000000003</v>
      </c>
      <c r="G75" s="54">
        <f>Sheet1!G75/1000</f>
        <v>53.7</v>
      </c>
      <c r="H75" s="54">
        <f t="shared" si="29"/>
        <v>-4.4338919925512101</v>
      </c>
      <c r="I75" s="54">
        <f>Sheet1!I75/1000</f>
        <v>135.965</v>
      </c>
      <c r="J75" s="54">
        <f>Sheet1!J75/1000</f>
        <v>155.84899999999999</v>
      </c>
      <c r="K75" s="54">
        <f t="shared" si="31"/>
        <v>-12.758503423185246</v>
      </c>
      <c r="L75" s="54">
        <f>Sheet1!L75/1000</f>
        <v>46.234000000000002</v>
      </c>
      <c r="M75" s="54">
        <f>Sheet1!M75/1000</f>
        <v>25.673999999999999</v>
      </c>
      <c r="N75" s="54">
        <f t="shared" si="32"/>
        <v>80.08101581366364</v>
      </c>
      <c r="O75" s="60">
        <v>133</v>
      </c>
      <c r="P75" s="47">
        <v>200</v>
      </c>
      <c r="Q75" s="60">
        <v>131</v>
      </c>
      <c r="R75" s="44">
        <f t="shared" si="30"/>
        <v>26600</v>
      </c>
    </row>
    <row r="76" spans="1:18" x14ac:dyDescent="0.25">
      <c r="A76" s="40">
        <v>8</v>
      </c>
      <c r="B76" s="41" t="s">
        <v>75</v>
      </c>
      <c r="C76" s="54">
        <f>Sheet1!C76/1000</f>
        <v>31.847999999999999</v>
      </c>
      <c r="D76" s="54">
        <f>Sheet1!D76/1000</f>
        <v>26.268999999999998</v>
      </c>
      <c r="E76" s="54">
        <f t="shared" si="28"/>
        <v>21.237961094826602</v>
      </c>
      <c r="F76" s="54">
        <f>Sheet1!F76/1000</f>
        <v>12.192</v>
      </c>
      <c r="G76" s="54">
        <f>Sheet1!G76/1000</f>
        <v>10.885</v>
      </c>
      <c r="H76" s="54">
        <f t="shared" si="29"/>
        <v>12.00734956361967</v>
      </c>
      <c r="I76" s="54">
        <f>Sheet1!I76/1000</f>
        <v>31.847999999999999</v>
      </c>
      <c r="J76" s="54">
        <f>Sheet1!J76/1000</f>
        <v>26.268999999999998</v>
      </c>
      <c r="K76" s="54">
        <f t="shared" si="31"/>
        <v>21.237961094826602</v>
      </c>
      <c r="L76" s="54">
        <f>Sheet1!L76/1000</f>
        <v>0</v>
      </c>
      <c r="M76" s="54">
        <f>Sheet1!M76/1000</f>
        <v>1.254</v>
      </c>
      <c r="N76" s="54">
        <v>0</v>
      </c>
      <c r="O76" s="60">
        <v>29</v>
      </c>
      <c r="P76" s="60">
        <v>40</v>
      </c>
      <c r="Q76" s="60">
        <v>29</v>
      </c>
      <c r="R76" s="44">
        <f t="shared" si="30"/>
        <v>1160</v>
      </c>
    </row>
    <row r="77" spans="1:18" x14ac:dyDescent="0.25">
      <c r="A77" s="224"/>
      <c r="B77" s="225" t="s">
        <v>77</v>
      </c>
      <c r="C77" s="87">
        <f>SUM(C69:C76)</f>
        <v>204.66399999999999</v>
      </c>
      <c r="D77" s="87">
        <f>SUM(D69:D76)</f>
        <v>349.96199999999999</v>
      </c>
      <c r="E77" s="168">
        <f t="shared" si="28"/>
        <v>-41.518221978386229</v>
      </c>
      <c r="F77" s="87">
        <f>SUM(F69:F76)</f>
        <v>71.557000000000002</v>
      </c>
      <c r="G77" s="87">
        <f>SUM(G69:G76)</f>
        <v>139.834</v>
      </c>
      <c r="H77" s="168">
        <f t="shared" si="29"/>
        <v>-48.82718080009154</v>
      </c>
      <c r="I77" s="87">
        <f>SUM(I69:I76)</f>
        <v>210.45499999999998</v>
      </c>
      <c r="J77" s="87">
        <f>SUM(J69:J76)</f>
        <v>366.58199999999999</v>
      </c>
      <c r="K77" s="168">
        <f t="shared" si="31"/>
        <v>-42.589925310026132</v>
      </c>
      <c r="L77" s="87">
        <f>SUM(L69:L76)</f>
        <v>86.920999999999992</v>
      </c>
      <c r="M77" s="87">
        <f>SUM(M69:M76)</f>
        <v>186.083</v>
      </c>
      <c r="N77" s="168">
        <f t="shared" si="32"/>
        <v>-53.2891236706201</v>
      </c>
      <c r="O77" s="87">
        <f>SUM(O69:O76)</f>
        <v>429</v>
      </c>
      <c r="P77" s="87">
        <f>R77/O77</f>
        <v>108.81585081585082</v>
      </c>
      <c r="Q77" s="87">
        <f>SUM(Q69:Q76)</f>
        <v>461</v>
      </c>
      <c r="R77" s="70">
        <f>SUM(R69:R76)</f>
        <v>46682</v>
      </c>
    </row>
    <row r="78" spans="1:18" x14ac:dyDescent="0.25">
      <c r="A78" s="905" t="s">
        <v>78</v>
      </c>
      <c r="B78" s="906" t="s">
        <v>78</v>
      </c>
      <c r="C78" s="227">
        <f>C54+C66+C77</f>
        <v>913.95499999999993</v>
      </c>
      <c r="D78" s="227">
        <f>D54+D66+D77</f>
        <v>1297.7080000000001</v>
      </c>
      <c r="E78" s="235">
        <f t="shared" si="28"/>
        <v>-29.571598541428429</v>
      </c>
      <c r="F78" s="227">
        <f>F54+F66+F77</f>
        <v>415.55700000000002</v>
      </c>
      <c r="G78" s="227">
        <f>G54+G66+G77</f>
        <v>588.7373</v>
      </c>
      <c r="H78" s="235">
        <f t="shared" si="29"/>
        <v>-29.415547477627115</v>
      </c>
      <c r="I78" s="227">
        <f>I54+I66+I77</f>
        <v>948.21899999999982</v>
      </c>
      <c r="J78" s="227">
        <f>J54+J66+J77</f>
        <v>1299.3620000000001</v>
      </c>
      <c r="K78" s="235">
        <f t="shared" si="31"/>
        <v>-27.024262676605929</v>
      </c>
      <c r="L78" s="227">
        <f>L54+L66+L77</f>
        <v>446.69800000000004</v>
      </c>
      <c r="M78" s="227">
        <f>M54+M66+M77</f>
        <v>741.49810000000002</v>
      </c>
      <c r="N78" s="235">
        <f t="shared" si="32"/>
        <v>-39.757364179355278</v>
      </c>
      <c r="O78" s="227">
        <f>O54+O66+O77</f>
        <v>1724</v>
      </c>
      <c r="P78" s="227">
        <f>R78/O78</f>
        <v>104.69199535962878</v>
      </c>
      <c r="Q78" s="227">
        <f>Q54+Q66+Q77</f>
        <v>1722</v>
      </c>
      <c r="R78" s="79">
        <f>R54+R66+R77</f>
        <v>180489</v>
      </c>
    </row>
    <row r="79" spans="1:18" x14ac:dyDescent="0.25">
      <c r="A79" s="71"/>
      <c r="B79" s="71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60"/>
      <c r="R79" s="71"/>
    </row>
    <row r="80" spans="1:18" x14ac:dyDescent="0.25">
      <c r="A80" s="903" t="s">
        <v>79</v>
      </c>
      <c r="B80" s="904"/>
      <c r="C80" s="38">
        <v>3</v>
      </c>
      <c r="D80" s="38">
        <v>4</v>
      </c>
      <c r="E80" s="38">
        <v>5</v>
      </c>
      <c r="F80" s="38">
        <v>6</v>
      </c>
      <c r="G80" s="38">
        <v>7</v>
      </c>
      <c r="H80" s="38">
        <v>8</v>
      </c>
      <c r="I80" s="38">
        <v>9</v>
      </c>
      <c r="J80" s="38">
        <v>10</v>
      </c>
      <c r="K80" s="38">
        <v>11</v>
      </c>
      <c r="L80" s="38">
        <v>12</v>
      </c>
      <c r="M80" s="38">
        <v>13</v>
      </c>
      <c r="N80" s="38">
        <v>14</v>
      </c>
      <c r="O80" s="38">
        <v>15</v>
      </c>
      <c r="P80" s="38">
        <v>16</v>
      </c>
      <c r="Q80" s="38">
        <v>15</v>
      </c>
      <c r="R80" s="39"/>
    </row>
    <row r="81" spans="1:18" x14ac:dyDescent="0.25">
      <c r="A81" s="80">
        <v>1</v>
      </c>
      <c r="B81" s="81" t="s">
        <v>80</v>
      </c>
      <c r="C81" s="54">
        <f>Sheet1!C81/1000</f>
        <v>3.4430000000000001</v>
      </c>
      <c r="D81" s="54">
        <f>Sheet1!D81/1000</f>
        <v>12.564</v>
      </c>
      <c r="E81" s="54">
        <f t="shared" ref="E81:E92" si="33">C81/D81*100-100</f>
        <v>-72.596306908627824</v>
      </c>
      <c r="F81" s="54">
        <f>Sheet1!F81/1000</f>
        <v>3.4430000000000001</v>
      </c>
      <c r="G81" s="54">
        <f>Sheet1!G81/1000</f>
        <v>0</v>
      </c>
      <c r="H81" s="54">
        <v>0</v>
      </c>
      <c r="I81" s="54">
        <f>Sheet1!I81/1000</f>
        <v>3.4430000000000001</v>
      </c>
      <c r="J81" s="54">
        <f>Sheet1!J81/1000</f>
        <v>9.9909999999999997</v>
      </c>
      <c r="K81" s="54">
        <v>0</v>
      </c>
      <c r="L81" s="54">
        <f>Sheet1!L81/1000</f>
        <v>0</v>
      </c>
      <c r="M81" s="54">
        <f>Sheet1!M81/1000</f>
        <v>0</v>
      </c>
      <c r="N81" s="54">
        <v>0</v>
      </c>
      <c r="O81" s="60">
        <v>2501</v>
      </c>
      <c r="P81" s="49">
        <v>113</v>
      </c>
      <c r="Q81" s="60"/>
      <c r="R81" s="44">
        <f t="shared" ref="R81:R91" si="34">O81*P81</f>
        <v>282613</v>
      </c>
    </row>
    <row r="82" spans="1:18" x14ac:dyDescent="0.25">
      <c r="A82" s="82">
        <v>2</v>
      </c>
      <c r="B82" s="81" t="s">
        <v>81</v>
      </c>
      <c r="C82" s="54">
        <f>Sheet1!C82/1000</f>
        <v>0</v>
      </c>
      <c r="D82" s="54">
        <f>Sheet1!D82/1000</f>
        <v>197.32499999999999</v>
      </c>
      <c r="E82" s="54">
        <f t="shared" si="33"/>
        <v>-100</v>
      </c>
      <c r="F82" s="54">
        <f>Sheet1!F82/1000</f>
        <v>0</v>
      </c>
      <c r="G82" s="54">
        <f>Sheet1!G82/1000</f>
        <v>53.408000000000001</v>
      </c>
      <c r="H82" s="54">
        <f t="shared" ref="H82:H92" si="35">F82/G82*100-100</f>
        <v>-100</v>
      </c>
      <c r="I82" s="54">
        <f>Sheet1!I82/1000</f>
        <v>0.44</v>
      </c>
      <c r="J82" s="54">
        <f>Sheet1!J82/1000</f>
        <v>232.32</v>
      </c>
      <c r="K82" s="54">
        <f t="shared" ref="K82:K92" si="36">I82/J82*100-100</f>
        <v>-99.810606060606062</v>
      </c>
      <c r="L82" s="54">
        <f>Sheet1!L82/1000</f>
        <v>0</v>
      </c>
      <c r="M82" s="54">
        <f>Sheet1!M82/1000</f>
        <v>229.12200000000001</v>
      </c>
      <c r="N82" s="54">
        <f t="shared" ref="N82:N92" si="37">L82/M82*100-100</f>
        <v>-100</v>
      </c>
      <c r="O82" s="60">
        <v>688</v>
      </c>
      <c r="P82" s="49">
        <v>115</v>
      </c>
      <c r="Q82" s="60">
        <v>693</v>
      </c>
      <c r="R82" s="44">
        <f t="shared" si="34"/>
        <v>79120</v>
      </c>
    </row>
    <row r="83" spans="1:18" x14ac:dyDescent="0.25">
      <c r="A83" s="80">
        <v>3</v>
      </c>
      <c r="B83" s="81" t="s">
        <v>82</v>
      </c>
      <c r="C83" s="54">
        <f>Sheet1!C83/1000</f>
        <v>369.22</v>
      </c>
      <c r="D83" s="54">
        <f>Sheet1!D83/1000</f>
        <v>205.74100000000001</v>
      </c>
      <c r="E83" s="54">
        <f t="shared" si="33"/>
        <v>79.458639746088522</v>
      </c>
      <c r="F83" s="54">
        <f>Sheet1!F83/1000</f>
        <v>101.166</v>
      </c>
      <c r="G83" s="54">
        <f>Sheet1!G83/1000</f>
        <v>27.1</v>
      </c>
      <c r="H83" s="54">
        <f t="shared" si="35"/>
        <v>273.30627306273061</v>
      </c>
      <c r="I83" s="54">
        <f>Sheet1!I83/1000</f>
        <v>287.01900000000001</v>
      </c>
      <c r="J83" s="54">
        <f>Sheet1!J83/1000</f>
        <v>286.39</v>
      </c>
      <c r="K83" s="54">
        <f t="shared" si="36"/>
        <v>0.21963057369322314</v>
      </c>
      <c r="L83" s="54">
        <f>Sheet1!L83/1000</f>
        <v>72.278999999999996</v>
      </c>
      <c r="M83" s="54">
        <f>Sheet1!M83/1000</f>
        <v>82.796999999999997</v>
      </c>
      <c r="N83" s="54">
        <f t="shared" si="37"/>
        <v>-12.703358817348459</v>
      </c>
      <c r="O83" s="60">
        <v>33</v>
      </c>
      <c r="P83" s="49">
        <v>306</v>
      </c>
      <c r="Q83" s="60">
        <v>33</v>
      </c>
      <c r="R83" s="44">
        <f t="shared" si="34"/>
        <v>10098</v>
      </c>
    </row>
    <row r="84" spans="1:18" x14ac:dyDescent="0.25">
      <c r="A84" s="82">
        <v>4</v>
      </c>
      <c r="B84" s="81" t="s">
        <v>83</v>
      </c>
      <c r="C84" s="54">
        <f>Sheet1!C84/1000</f>
        <v>229.12899999999999</v>
      </c>
      <c r="D84" s="54">
        <f>Sheet1!D84/1000</f>
        <v>212.63800000000001</v>
      </c>
      <c r="E84" s="54">
        <f t="shared" si="33"/>
        <v>7.7554341180785968</v>
      </c>
      <c r="F84" s="54">
        <f>Sheet1!F84/1000</f>
        <v>99.82</v>
      </c>
      <c r="G84" s="54">
        <f>Sheet1!G84/1000</f>
        <v>85.646000000000001</v>
      </c>
      <c r="H84" s="54">
        <f t="shared" si="35"/>
        <v>16.549517782500047</v>
      </c>
      <c r="I84" s="54">
        <f>Sheet1!I84/1000</f>
        <v>227.572</v>
      </c>
      <c r="J84" s="54">
        <f>Sheet1!J84/1000</f>
        <v>198.369</v>
      </c>
      <c r="K84" s="54">
        <f t="shared" si="36"/>
        <v>14.721554275113547</v>
      </c>
      <c r="L84" s="54">
        <f>Sheet1!L84/1000</f>
        <v>155.55799999999999</v>
      </c>
      <c r="M84" s="54">
        <f>Sheet1!M84/1000</f>
        <v>119.301</v>
      </c>
      <c r="N84" s="54">
        <f t="shared" si="37"/>
        <v>30.391195379753725</v>
      </c>
      <c r="O84" s="60">
        <v>174</v>
      </c>
      <c r="P84" s="49">
        <v>40</v>
      </c>
      <c r="Q84" s="60">
        <v>181</v>
      </c>
      <c r="R84" s="44">
        <f t="shared" si="34"/>
        <v>6960</v>
      </c>
    </row>
    <row r="85" spans="1:18" x14ac:dyDescent="0.25">
      <c r="A85" s="80">
        <v>5</v>
      </c>
      <c r="B85" s="81" t="s">
        <v>84</v>
      </c>
      <c r="C85" s="54">
        <f>Sheet1!C85/1000</f>
        <v>75.316000000000003</v>
      </c>
      <c r="D85" s="54">
        <f>Sheet1!D85/1000</f>
        <v>90.406999999999996</v>
      </c>
      <c r="E85" s="54">
        <f t="shared" si="33"/>
        <v>-16.692291526098629</v>
      </c>
      <c r="F85" s="54">
        <f>Sheet1!F85/1000</f>
        <v>32.1</v>
      </c>
      <c r="G85" s="54">
        <f>Sheet1!G85/1000</f>
        <v>30.629000000000001</v>
      </c>
      <c r="H85" s="54">
        <f t="shared" si="35"/>
        <v>4.8026380227888694</v>
      </c>
      <c r="I85" s="54">
        <f>Sheet1!I85/1000</f>
        <v>64.900000000000006</v>
      </c>
      <c r="J85" s="54">
        <f>Sheet1!J85/1000</f>
        <v>90.524000000000001</v>
      </c>
      <c r="K85" s="54">
        <f t="shared" si="36"/>
        <v>-28.306305510140945</v>
      </c>
      <c r="L85" s="54">
        <f>Sheet1!L85/1000</f>
        <v>30.768999999999998</v>
      </c>
      <c r="M85" s="54">
        <f>Sheet1!M85/1000</f>
        <v>52.487000000000002</v>
      </c>
      <c r="N85" s="54">
        <f t="shared" si="37"/>
        <v>-41.377864995141657</v>
      </c>
      <c r="O85" s="60">
        <v>89</v>
      </c>
      <c r="P85" s="60">
        <v>70</v>
      </c>
      <c r="Q85" s="60">
        <v>89</v>
      </c>
      <c r="R85" s="44">
        <f t="shared" si="34"/>
        <v>6230</v>
      </c>
    </row>
    <row r="86" spans="1:18" x14ac:dyDescent="0.25">
      <c r="A86" s="82">
        <v>6</v>
      </c>
      <c r="B86" s="81" t="s">
        <v>85</v>
      </c>
      <c r="C86" s="54">
        <f>Sheet1!C86/1000</f>
        <v>0</v>
      </c>
      <c r="D86" s="54">
        <f>Sheet1!D86/1000</f>
        <v>0</v>
      </c>
      <c r="E86" s="54">
        <v>0</v>
      </c>
      <c r="F86" s="54">
        <f>Sheet1!F86/1000</f>
        <v>0</v>
      </c>
      <c r="G86" s="54">
        <f>Sheet1!G86/1000</f>
        <v>0</v>
      </c>
      <c r="H86" s="54">
        <v>0</v>
      </c>
      <c r="I86" s="54">
        <f>Sheet1!I86/1000</f>
        <v>0</v>
      </c>
      <c r="J86" s="54">
        <f>Sheet1!J86/1000</f>
        <v>0</v>
      </c>
      <c r="K86" s="54">
        <v>0</v>
      </c>
      <c r="L86" s="54">
        <f>Sheet1!L86/1000</f>
        <v>0</v>
      </c>
      <c r="M86" s="54">
        <f>Sheet1!M86/1000</f>
        <v>0</v>
      </c>
      <c r="N86" s="54">
        <v>0</v>
      </c>
      <c r="O86" s="60"/>
      <c r="P86" s="47">
        <v>0</v>
      </c>
      <c r="Q86" s="60">
        <v>0</v>
      </c>
      <c r="R86" s="44">
        <f t="shared" si="34"/>
        <v>0</v>
      </c>
    </row>
    <row r="87" spans="1:18" x14ac:dyDescent="0.25">
      <c r="A87" s="82">
        <v>7</v>
      </c>
      <c r="B87" s="83" t="s">
        <v>86</v>
      </c>
      <c r="C87" s="54">
        <f>Sheet1!C87/1000</f>
        <v>0</v>
      </c>
      <c r="D87" s="54">
        <f>Sheet1!D87/1000</f>
        <v>0</v>
      </c>
      <c r="E87" s="54">
        <v>0</v>
      </c>
      <c r="F87" s="54">
        <f>Sheet1!F87/1000</f>
        <v>0</v>
      </c>
      <c r="G87" s="54">
        <f>Sheet1!G87/1000</f>
        <v>0</v>
      </c>
      <c r="H87" s="54">
        <v>0</v>
      </c>
      <c r="I87" s="54">
        <f>Sheet1!I87/1000</f>
        <v>0</v>
      </c>
      <c r="J87" s="54">
        <f>Sheet1!J87/1000</f>
        <v>0</v>
      </c>
      <c r="K87" s="54">
        <v>0</v>
      </c>
      <c r="L87" s="54">
        <f>Sheet1!L87/1000</f>
        <v>0</v>
      </c>
      <c r="M87" s="54">
        <f>Sheet1!M87/1000</f>
        <v>0</v>
      </c>
      <c r="N87" s="54">
        <v>0</v>
      </c>
      <c r="O87" s="60"/>
      <c r="P87" s="49"/>
      <c r="Q87" s="60"/>
      <c r="R87" s="44">
        <f t="shared" si="34"/>
        <v>0</v>
      </c>
    </row>
    <row r="88" spans="1:18" x14ac:dyDescent="0.25">
      <c r="A88" s="80">
        <v>8</v>
      </c>
      <c r="B88" s="81" t="s">
        <v>87</v>
      </c>
      <c r="C88" s="54">
        <f>Sheet1!C88/1000</f>
        <v>460.91300000000001</v>
      </c>
      <c r="D88" s="54">
        <f>Sheet1!D88/1000</f>
        <v>322.13400000000001</v>
      </c>
      <c r="E88" s="54">
        <f t="shared" si="33"/>
        <v>43.081140146647044</v>
      </c>
      <c r="F88" s="54">
        <f>Sheet1!F88/1000</f>
        <v>258.108</v>
      </c>
      <c r="G88" s="54">
        <f>Sheet1!G88/1000</f>
        <v>151.41800000000001</v>
      </c>
      <c r="H88" s="54">
        <f t="shared" si="35"/>
        <v>70.460579323462184</v>
      </c>
      <c r="I88" s="54">
        <f>Sheet1!I88/1000</f>
        <v>455.85899999999998</v>
      </c>
      <c r="J88" s="54">
        <f>Sheet1!J88/1000</f>
        <v>320.13400000000001</v>
      </c>
      <c r="K88" s="54">
        <f t="shared" si="36"/>
        <v>42.396309045587145</v>
      </c>
      <c r="L88" s="54">
        <f>Sheet1!L88/1000</f>
        <v>282.81599999999997</v>
      </c>
      <c r="M88" s="54">
        <f>Sheet1!M88/1000</f>
        <v>176.06</v>
      </c>
      <c r="N88" s="54">
        <f t="shared" si="37"/>
        <v>60.636146768147228</v>
      </c>
      <c r="O88" s="60">
        <v>107</v>
      </c>
      <c r="P88" s="49">
        <v>231</v>
      </c>
      <c r="Q88" s="60">
        <v>105</v>
      </c>
      <c r="R88" s="44">
        <f t="shared" si="34"/>
        <v>24717</v>
      </c>
    </row>
    <row r="89" spans="1:18" x14ac:dyDescent="0.25">
      <c r="A89" s="80">
        <v>9</v>
      </c>
      <c r="B89" s="81" t="s">
        <v>88</v>
      </c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60"/>
      <c r="P89" s="49">
        <v>169</v>
      </c>
      <c r="Q89" s="60">
        <v>82</v>
      </c>
      <c r="R89" s="44">
        <f t="shared" si="34"/>
        <v>0</v>
      </c>
    </row>
    <row r="90" spans="1:18" x14ac:dyDescent="0.25">
      <c r="A90" s="80">
        <v>10</v>
      </c>
      <c r="B90" s="81" t="s">
        <v>89</v>
      </c>
      <c r="C90" s="54">
        <f>Sheet1!C90/1000</f>
        <v>31.751000000000001</v>
      </c>
      <c r="D90" s="54">
        <f>Sheet1!D90/1000</f>
        <v>40.286000000000001</v>
      </c>
      <c r="E90" s="54">
        <f t="shared" si="33"/>
        <v>-21.186019957305263</v>
      </c>
      <c r="F90" s="54">
        <f>Sheet1!F90/1000</f>
        <v>9.8510000000000009</v>
      </c>
      <c r="G90" s="54">
        <f>Sheet1!G90/1000</f>
        <v>13.824999999999999</v>
      </c>
      <c r="H90" s="54">
        <f t="shared" si="35"/>
        <v>-28.745027124773941</v>
      </c>
      <c r="I90" s="54">
        <f>Sheet1!I90/1000</f>
        <v>31.751000000000001</v>
      </c>
      <c r="J90" s="54">
        <f>Sheet1!J90/1000</f>
        <v>40.286000000000001</v>
      </c>
      <c r="K90" s="54">
        <f t="shared" si="36"/>
        <v>-21.186019957305263</v>
      </c>
      <c r="L90" s="54">
        <f>Sheet1!L90/1000</f>
        <v>13.025</v>
      </c>
      <c r="M90" s="54">
        <f>Sheet1!M90/1000</f>
        <v>16.341000000000001</v>
      </c>
      <c r="N90" s="54">
        <f t="shared" si="37"/>
        <v>-20.292515757909555</v>
      </c>
      <c r="O90" s="60">
        <v>47</v>
      </c>
      <c r="P90" s="49"/>
      <c r="Q90" s="60"/>
      <c r="R90" s="44">
        <f t="shared" si="34"/>
        <v>0</v>
      </c>
    </row>
    <row r="91" spans="1:18" x14ac:dyDescent="0.25">
      <c r="A91" s="82">
        <v>11</v>
      </c>
      <c r="B91" s="81" t="s">
        <v>90</v>
      </c>
      <c r="C91" s="54">
        <f>Sheet1!C91/1000</f>
        <v>93.346000000000004</v>
      </c>
      <c r="D91" s="54">
        <f>Sheet1!D91/1000</f>
        <v>90.41</v>
      </c>
      <c r="E91" s="54">
        <f t="shared" si="33"/>
        <v>3.247428381816178</v>
      </c>
      <c r="F91" s="54">
        <f>Sheet1!F91/1000</f>
        <v>35.286999999999999</v>
      </c>
      <c r="G91" s="54">
        <f>Sheet1!G91/1000</f>
        <v>34.804000000000002</v>
      </c>
      <c r="H91" s="54">
        <f t="shared" si="35"/>
        <v>1.3877715205148746</v>
      </c>
      <c r="I91" s="54">
        <f>Sheet1!I91/1000</f>
        <v>655.23</v>
      </c>
      <c r="J91" s="54">
        <f>Sheet1!J91/1000</f>
        <v>863.45100000000002</v>
      </c>
      <c r="K91" s="54">
        <f t="shared" si="36"/>
        <v>-24.11497583533982</v>
      </c>
      <c r="L91" s="54">
        <f>Sheet1!L91/1000</f>
        <v>24.683</v>
      </c>
      <c r="M91" s="54">
        <f>Sheet1!M91/1000</f>
        <v>56.901000000000003</v>
      </c>
      <c r="N91" s="54">
        <f t="shared" si="37"/>
        <v>-56.621149013198362</v>
      </c>
      <c r="O91" s="60">
        <v>50</v>
      </c>
      <c r="P91" s="49">
        <v>250</v>
      </c>
      <c r="Q91" s="60">
        <v>50</v>
      </c>
      <c r="R91" s="44">
        <f t="shared" si="34"/>
        <v>12500</v>
      </c>
    </row>
    <row r="92" spans="1:18" x14ac:dyDescent="0.25">
      <c r="A92" s="221"/>
      <c r="B92" s="221" t="s">
        <v>92</v>
      </c>
      <c r="C92" s="87">
        <f>SUM(C81:C91)</f>
        <v>1263.1180000000002</v>
      </c>
      <c r="D92" s="87">
        <f>SUM(D81:D91)</f>
        <v>1171.5050000000003</v>
      </c>
      <c r="E92" s="168">
        <f t="shared" si="33"/>
        <v>7.8201117366122759</v>
      </c>
      <c r="F92" s="87">
        <f>SUM(F81:F91)</f>
        <v>539.77499999999998</v>
      </c>
      <c r="G92" s="87">
        <f>SUM(G81:G91)</f>
        <v>396.83000000000004</v>
      </c>
      <c r="H92" s="168">
        <f t="shared" si="35"/>
        <v>36.021722148023059</v>
      </c>
      <c r="I92" s="87">
        <f>SUM(I81:I91)</f>
        <v>1726.2139999999999</v>
      </c>
      <c r="J92" s="87">
        <f>SUM(J81:J91)</f>
        <v>2041.4650000000001</v>
      </c>
      <c r="K92" s="168">
        <f t="shared" si="36"/>
        <v>-15.442390636136309</v>
      </c>
      <c r="L92" s="87">
        <f>SUM(L81:L91)</f>
        <v>579.13</v>
      </c>
      <c r="M92" s="87">
        <f>SUM(M81:M91)</f>
        <v>733.00900000000001</v>
      </c>
      <c r="N92" s="168">
        <f t="shared" si="37"/>
        <v>-20.99278453606982</v>
      </c>
      <c r="O92" s="87">
        <f>SUM(O81:O91)</f>
        <v>3689</v>
      </c>
      <c r="P92" s="87">
        <f>R92/O92</f>
        <v>114.45866088370832</v>
      </c>
      <c r="Q92" s="87">
        <f>SUM(Q81:Q91)</f>
        <v>1233</v>
      </c>
      <c r="R92" s="70">
        <f>SUM(R81:R91)</f>
        <v>422238</v>
      </c>
    </row>
    <row r="93" spans="1:18" x14ac:dyDescent="0.25">
      <c r="A93" s="71"/>
      <c r="B93" s="71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60"/>
      <c r="R93" s="71"/>
    </row>
    <row r="94" spans="1:18" x14ac:dyDescent="0.25">
      <c r="A94" s="903" t="s">
        <v>93</v>
      </c>
      <c r="B94" s="904"/>
      <c r="C94" s="38">
        <v>3</v>
      </c>
      <c r="D94" s="38">
        <v>4</v>
      </c>
      <c r="E94" s="38">
        <v>5</v>
      </c>
      <c r="F94" s="38">
        <v>6</v>
      </c>
      <c r="G94" s="38">
        <v>7</v>
      </c>
      <c r="H94" s="38">
        <v>8</v>
      </c>
      <c r="I94" s="38">
        <v>9</v>
      </c>
      <c r="J94" s="38">
        <v>10</v>
      </c>
      <c r="K94" s="38">
        <v>11</v>
      </c>
      <c r="L94" s="38">
        <v>12</v>
      </c>
      <c r="M94" s="38">
        <v>13</v>
      </c>
      <c r="N94" s="38">
        <v>14</v>
      </c>
      <c r="O94" s="38">
        <v>15</v>
      </c>
      <c r="P94" s="38">
        <v>16</v>
      </c>
      <c r="Q94" s="38">
        <v>15</v>
      </c>
      <c r="R94" s="39"/>
    </row>
    <row r="95" spans="1:18" x14ac:dyDescent="0.25">
      <c r="A95" s="88">
        <v>1</v>
      </c>
      <c r="B95" s="83" t="s">
        <v>94</v>
      </c>
      <c r="C95" s="54">
        <f>Sheet1!C95/1000</f>
        <v>108.95699999999999</v>
      </c>
      <c r="D95" s="54">
        <f>Sheet1!D95/1000</f>
        <v>26.76</v>
      </c>
      <c r="E95" s="54">
        <v>0</v>
      </c>
      <c r="F95" s="54">
        <f>Sheet1!F95/1000</f>
        <v>7.9260000000000002</v>
      </c>
      <c r="G95" s="54">
        <f>Sheet1!G95/1000</f>
        <v>26.76</v>
      </c>
      <c r="H95" s="54">
        <v>0</v>
      </c>
      <c r="I95" s="54">
        <f>Sheet1!I95/1000</f>
        <v>110.041</v>
      </c>
      <c r="J95" s="54">
        <f>Sheet1!J95/1000</f>
        <v>18.132999999999999</v>
      </c>
      <c r="K95" s="54">
        <f t="shared" ref="K95:K122" si="38">I95/J95*100-100</f>
        <v>506.85490542105549</v>
      </c>
      <c r="L95" s="54">
        <f>Sheet1!L95/1000</f>
        <v>102.11499999999999</v>
      </c>
      <c r="M95" s="54">
        <f>Sheet1!M95/1000</f>
        <v>18.113</v>
      </c>
      <c r="N95" s="54">
        <f t="shared" ref="N95:N122" si="39">L95/M95*100-100</f>
        <v>463.76635565615857</v>
      </c>
      <c r="O95" s="89">
        <v>315</v>
      </c>
      <c r="P95" s="89">
        <v>102</v>
      </c>
      <c r="Q95" s="89">
        <v>315</v>
      </c>
      <c r="R95" s="44">
        <f t="shared" ref="R95:R121" si="40">O95*P95</f>
        <v>32130</v>
      </c>
    </row>
    <row r="96" spans="1:18" x14ac:dyDescent="0.25">
      <c r="A96" s="88">
        <v>2</v>
      </c>
      <c r="B96" s="83" t="s">
        <v>95</v>
      </c>
      <c r="C96" s="54">
        <f>Sheet1!C96/1000</f>
        <v>0</v>
      </c>
      <c r="D96" s="54">
        <f>Sheet1!D96/1000</f>
        <v>0</v>
      </c>
      <c r="E96" s="54">
        <v>0</v>
      </c>
      <c r="F96" s="54">
        <f>Sheet1!F96/1000</f>
        <v>0</v>
      </c>
      <c r="G96" s="54">
        <f>Sheet1!G96/1000</f>
        <v>0</v>
      </c>
      <c r="H96" s="54">
        <v>0</v>
      </c>
      <c r="I96" s="54">
        <f>Sheet1!I96/1000</f>
        <v>0</v>
      </c>
      <c r="J96" s="54">
        <f>Sheet1!J96/1000</f>
        <v>0</v>
      </c>
      <c r="K96" s="54">
        <v>0</v>
      </c>
      <c r="L96" s="54">
        <f>Sheet1!L96/1000</f>
        <v>0</v>
      </c>
      <c r="M96" s="54">
        <f>Sheet1!M96/1000</f>
        <v>0</v>
      </c>
      <c r="N96" s="54">
        <v>0</v>
      </c>
      <c r="O96" s="89">
        <v>0</v>
      </c>
      <c r="P96" s="89">
        <v>0</v>
      </c>
      <c r="Q96" s="89">
        <v>0</v>
      </c>
      <c r="R96" s="44">
        <f t="shared" si="40"/>
        <v>0</v>
      </c>
    </row>
    <row r="97" spans="1:19" x14ac:dyDescent="0.25">
      <c r="A97" s="88">
        <v>3</v>
      </c>
      <c r="B97" s="81" t="s">
        <v>96</v>
      </c>
      <c r="C97" s="54">
        <f>Sheet1!C97/1000</f>
        <v>0</v>
      </c>
      <c r="D97" s="54">
        <f>Sheet1!D97/1000</f>
        <v>0</v>
      </c>
      <c r="E97" s="54">
        <v>0</v>
      </c>
      <c r="F97" s="54">
        <f>Sheet1!F97/1000</f>
        <v>0</v>
      </c>
      <c r="G97" s="54">
        <f>Sheet1!G97/1000</f>
        <v>0</v>
      </c>
      <c r="H97" s="54">
        <v>0</v>
      </c>
      <c r="I97" s="54">
        <f>Sheet1!I97/1000</f>
        <v>0</v>
      </c>
      <c r="J97" s="54">
        <f>Sheet1!J97/1000</f>
        <v>0</v>
      </c>
      <c r="K97" s="54">
        <v>0</v>
      </c>
      <c r="L97" s="54">
        <f>Sheet1!L97/1000</f>
        <v>0</v>
      </c>
      <c r="M97" s="54">
        <f>Sheet1!M97/1000</f>
        <v>0</v>
      </c>
      <c r="N97" s="54">
        <v>0</v>
      </c>
      <c r="O97" s="89">
        <v>0</v>
      </c>
      <c r="P97" s="89">
        <v>0</v>
      </c>
      <c r="Q97" s="89">
        <v>0</v>
      </c>
      <c r="R97" s="192">
        <v>0</v>
      </c>
      <c r="S97" s="191"/>
    </row>
    <row r="98" spans="1:19" x14ac:dyDescent="0.25">
      <c r="A98" s="88">
        <v>4</v>
      </c>
      <c r="B98" s="81" t="s">
        <v>97</v>
      </c>
      <c r="C98" s="54">
        <f>Sheet1!C98/1000</f>
        <v>12.952999999999999</v>
      </c>
      <c r="D98" s="54">
        <f>Sheet1!D98/1000</f>
        <v>0</v>
      </c>
      <c r="E98" s="54">
        <v>0</v>
      </c>
      <c r="F98" s="54">
        <f>Sheet1!F98/1000</f>
        <v>4.032</v>
      </c>
      <c r="G98" s="54">
        <f>Sheet1!G98/1000</f>
        <v>0</v>
      </c>
      <c r="H98" s="54">
        <v>0</v>
      </c>
      <c r="I98" s="54">
        <f>Sheet1!I98/1000</f>
        <v>0.47299999999999998</v>
      </c>
      <c r="J98" s="54">
        <f>Sheet1!J98/1000</f>
        <v>0</v>
      </c>
      <c r="K98" s="54">
        <v>0</v>
      </c>
      <c r="L98" s="54">
        <f>Sheet1!L98/1000</f>
        <v>0</v>
      </c>
      <c r="M98" s="54">
        <f>Sheet1!M98/1000</f>
        <v>0</v>
      </c>
      <c r="N98" s="54">
        <v>0</v>
      </c>
      <c r="O98" s="89">
        <v>29</v>
      </c>
      <c r="P98" s="89">
        <v>100</v>
      </c>
      <c r="Q98" s="89">
        <v>29</v>
      </c>
      <c r="R98" s="44">
        <f t="shared" si="40"/>
        <v>2900</v>
      </c>
    </row>
    <row r="99" spans="1:19" x14ac:dyDescent="0.25">
      <c r="A99" s="88">
        <v>5</v>
      </c>
      <c r="B99" s="83" t="s">
        <v>98</v>
      </c>
      <c r="C99" s="54">
        <f>Sheet1!C99/1000</f>
        <v>147.602</v>
      </c>
      <c r="D99" s="54">
        <f>Sheet1!D99/1000</f>
        <v>213.49799999999999</v>
      </c>
      <c r="E99" s="54">
        <f t="shared" ref="E99:E122" si="41">C99/D99*100-100</f>
        <v>-30.864926135139441</v>
      </c>
      <c r="F99" s="54">
        <f>Sheet1!F99/1000</f>
        <v>62.652999999999999</v>
      </c>
      <c r="G99" s="54">
        <f>Sheet1!G99/1000</f>
        <v>96.837999999999994</v>
      </c>
      <c r="H99" s="54">
        <f t="shared" ref="H99:H122" si="42">F99/G99*100-100</f>
        <v>-35.301224725830764</v>
      </c>
      <c r="I99" s="54">
        <f>Sheet1!I99/1000</f>
        <v>168.761</v>
      </c>
      <c r="J99" s="54">
        <f>Sheet1!J99/1000</f>
        <v>156.46</v>
      </c>
      <c r="K99" s="54">
        <f t="shared" si="38"/>
        <v>7.8620733733861528</v>
      </c>
      <c r="L99" s="54">
        <f>Sheet1!L99/1000</f>
        <v>168.761</v>
      </c>
      <c r="M99" s="54">
        <f>Sheet1!M99/1000</f>
        <v>156.46</v>
      </c>
      <c r="N99" s="54">
        <f t="shared" si="39"/>
        <v>7.8620733733861528</v>
      </c>
      <c r="O99" s="89">
        <v>357</v>
      </c>
      <c r="P99" s="89">
        <v>52</v>
      </c>
      <c r="Q99" s="89">
        <v>401</v>
      </c>
      <c r="R99" s="44">
        <f t="shared" si="40"/>
        <v>18564</v>
      </c>
    </row>
    <row r="100" spans="1:19" x14ac:dyDescent="0.25">
      <c r="A100" s="88">
        <v>6</v>
      </c>
      <c r="B100" s="83" t="s">
        <v>99</v>
      </c>
      <c r="C100" s="54">
        <f>Sheet1!C100/1000</f>
        <v>0</v>
      </c>
      <c r="D100" s="54">
        <f>Sheet1!D100/1000</f>
        <v>0</v>
      </c>
      <c r="E100" s="54">
        <v>0</v>
      </c>
      <c r="F100" s="54">
        <f>Sheet1!F100/1000</f>
        <v>0</v>
      </c>
      <c r="G100" s="54">
        <f>Sheet1!G100/1000</f>
        <v>0</v>
      </c>
      <c r="H100" s="54">
        <v>0</v>
      </c>
      <c r="I100" s="54">
        <f>Sheet1!I100/1000</f>
        <v>0</v>
      </c>
      <c r="J100" s="54">
        <f>Sheet1!J100/1000</f>
        <v>0</v>
      </c>
      <c r="K100" s="54">
        <v>0</v>
      </c>
      <c r="L100" s="54">
        <f>Sheet1!L100/1000</f>
        <v>0</v>
      </c>
      <c r="M100" s="54">
        <f>Sheet1!M100/1000</f>
        <v>0</v>
      </c>
      <c r="N100" s="54">
        <v>0</v>
      </c>
      <c r="O100" s="89">
        <v>0</v>
      </c>
      <c r="P100" s="89">
        <v>0</v>
      </c>
      <c r="Q100" s="89">
        <v>0</v>
      </c>
      <c r="R100" s="44">
        <f t="shared" si="40"/>
        <v>0</v>
      </c>
    </row>
    <row r="101" spans="1:19" x14ac:dyDescent="0.25">
      <c r="A101" s="88">
        <v>7</v>
      </c>
      <c r="B101" s="81" t="s">
        <v>100</v>
      </c>
      <c r="C101" s="54">
        <f>Sheet1!C101/1000</f>
        <v>0</v>
      </c>
      <c r="D101" s="54">
        <f>Sheet1!D101/1000</f>
        <v>0</v>
      </c>
      <c r="E101" s="54">
        <v>0</v>
      </c>
      <c r="F101" s="54">
        <f>Sheet1!F101/1000</f>
        <v>0</v>
      </c>
      <c r="G101" s="54">
        <f>Sheet1!G101/1000</f>
        <v>0</v>
      </c>
      <c r="H101" s="54">
        <v>0</v>
      </c>
      <c r="I101" s="54">
        <f>Sheet1!I101/1000</f>
        <v>0</v>
      </c>
      <c r="J101" s="54">
        <f>Sheet1!J101/1000</f>
        <v>0</v>
      </c>
      <c r="K101" s="54">
        <v>0</v>
      </c>
      <c r="L101" s="54">
        <f>Sheet1!L101/1000</f>
        <v>0</v>
      </c>
      <c r="M101" s="54">
        <f>Sheet1!M101/1000</f>
        <v>0</v>
      </c>
      <c r="N101" s="54">
        <v>0</v>
      </c>
      <c r="O101" s="89">
        <v>0</v>
      </c>
      <c r="P101" s="89">
        <v>0</v>
      </c>
      <c r="Q101" s="89">
        <v>0</v>
      </c>
      <c r="R101" s="44">
        <f t="shared" si="40"/>
        <v>0</v>
      </c>
    </row>
    <row r="102" spans="1:19" x14ac:dyDescent="0.25">
      <c r="A102" s="88">
        <v>8</v>
      </c>
      <c r="B102" s="83" t="s">
        <v>101</v>
      </c>
      <c r="C102" s="54">
        <f>Sheet1!C102/1000</f>
        <v>43.743000000000002</v>
      </c>
      <c r="D102" s="54">
        <f>Sheet1!D102/1000</f>
        <v>129.84700000000001</v>
      </c>
      <c r="E102" s="54">
        <f t="shared" si="41"/>
        <v>-66.311890147635296</v>
      </c>
      <c r="F102" s="54">
        <f>Sheet1!F102/1000</f>
        <v>15.183</v>
      </c>
      <c r="G102" s="54">
        <f>Sheet1!G102/1000</f>
        <v>37.630000000000003</v>
      </c>
      <c r="H102" s="54">
        <f t="shared" si="42"/>
        <v>-59.651873505182039</v>
      </c>
      <c r="I102" s="54">
        <f>Sheet1!I102/1000</f>
        <v>45.372999999999998</v>
      </c>
      <c r="J102" s="54">
        <f>Sheet1!J102/1000</f>
        <v>137.15799999999999</v>
      </c>
      <c r="K102" s="54">
        <f t="shared" si="38"/>
        <v>-66.919173507925166</v>
      </c>
      <c r="L102" s="54">
        <f>Sheet1!L102/1000</f>
        <v>0</v>
      </c>
      <c r="M102" s="54">
        <f>Sheet1!M102/1000</f>
        <v>0</v>
      </c>
      <c r="N102" s="54" t="e">
        <f t="shared" si="39"/>
        <v>#DIV/0!</v>
      </c>
      <c r="O102" s="89">
        <v>109</v>
      </c>
      <c r="P102" s="89">
        <v>74</v>
      </c>
      <c r="Q102" s="89">
        <v>109</v>
      </c>
      <c r="R102" s="44">
        <f t="shared" si="40"/>
        <v>8066</v>
      </c>
    </row>
    <row r="103" spans="1:19" x14ac:dyDescent="0.25">
      <c r="A103" s="88">
        <v>9</v>
      </c>
      <c r="B103" s="83" t="s">
        <v>102</v>
      </c>
      <c r="C103" s="54">
        <f>Sheet1!C103/1000</f>
        <v>0</v>
      </c>
      <c r="D103" s="54">
        <f>Sheet1!D103/1000</f>
        <v>0</v>
      </c>
      <c r="E103" s="54">
        <v>0</v>
      </c>
      <c r="F103" s="54">
        <f>Sheet1!F103/1000</f>
        <v>0</v>
      </c>
      <c r="G103" s="54">
        <f>Sheet1!G103/1000</f>
        <v>0</v>
      </c>
      <c r="H103" s="54">
        <v>0</v>
      </c>
      <c r="I103" s="54">
        <f>Sheet1!I103/1000</f>
        <v>0</v>
      </c>
      <c r="J103" s="54">
        <f>Sheet1!J103/1000</f>
        <v>0</v>
      </c>
      <c r="K103" s="54">
        <v>0</v>
      </c>
      <c r="L103" s="54">
        <f>Sheet1!L103/1000</f>
        <v>0</v>
      </c>
      <c r="M103" s="54">
        <f>Sheet1!M103/1000</f>
        <v>0</v>
      </c>
      <c r="N103" s="54">
        <v>0</v>
      </c>
      <c r="O103" s="89">
        <v>0</v>
      </c>
      <c r="P103" s="89">
        <v>0</v>
      </c>
      <c r="Q103" s="89">
        <v>0</v>
      </c>
      <c r="R103" s="44">
        <f t="shared" si="40"/>
        <v>0</v>
      </c>
    </row>
    <row r="104" spans="1:19" x14ac:dyDescent="0.25">
      <c r="A104" s="88">
        <v>10</v>
      </c>
      <c r="B104" s="81" t="s">
        <v>103</v>
      </c>
      <c r="C104" s="54">
        <f>Sheet1!C104/1000</f>
        <v>19.222999999999999</v>
      </c>
      <c r="D104" s="54">
        <f>Sheet1!D104/1000</f>
        <v>34.883000000000003</v>
      </c>
      <c r="E104" s="54">
        <f t="shared" si="41"/>
        <v>-44.892927787174273</v>
      </c>
      <c r="F104" s="54">
        <f>Sheet1!F104/1000</f>
        <v>19.222999999999999</v>
      </c>
      <c r="G104" s="54">
        <f>Sheet1!G104/1000</f>
        <v>10.661</v>
      </c>
      <c r="H104" s="54">
        <v>0</v>
      </c>
      <c r="I104" s="54">
        <f>Sheet1!I104/1000</f>
        <v>19.222999999999999</v>
      </c>
      <c r="J104" s="54">
        <f>Sheet1!J104/1000</f>
        <v>34.883000000000003</v>
      </c>
      <c r="K104" s="54">
        <f t="shared" si="38"/>
        <v>-44.892927787174273</v>
      </c>
      <c r="L104" s="54">
        <f>Sheet1!L104/1000</f>
        <v>19.222999999999999</v>
      </c>
      <c r="M104" s="54">
        <f>Sheet1!M104/1000</f>
        <v>10.661</v>
      </c>
      <c r="N104" s="54">
        <f t="shared" si="39"/>
        <v>80.311415439452219</v>
      </c>
      <c r="O104" s="89">
        <v>84</v>
      </c>
      <c r="P104" s="89">
        <v>65</v>
      </c>
      <c r="Q104" s="89">
        <v>89</v>
      </c>
      <c r="R104" s="44">
        <f t="shared" si="40"/>
        <v>5460</v>
      </c>
    </row>
    <row r="105" spans="1:19" x14ac:dyDescent="0.25">
      <c r="A105" s="88">
        <v>11</v>
      </c>
      <c r="B105" s="83" t="s">
        <v>104</v>
      </c>
      <c r="C105" s="54">
        <f>Sheet1!C105/1000</f>
        <v>0</v>
      </c>
      <c r="D105" s="54">
        <f>Sheet1!D105/1000</f>
        <v>0</v>
      </c>
      <c r="E105" s="54">
        <v>0</v>
      </c>
      <c r="F105" s="54">
        <f>Sheet1!F105/1000</f>
        <v>0</v>
      </c>
      <c r="G105" s="54">
        <f>Sheet1!G105/1000</f>
        <v>0</v>
      </c>
      <c r="H105" s="54">
        <v>0</v>
      </c>
      <c r="I105" s="54">
        <f>Sheet1!I105/1000</f>
        <v>0</v>
      </c>
      <c r="J105" s="54">
        <f>Sheet1!J105/1000</f>
        <v>0</v>
      </c>
      <c r="K105" s="54">
        <v>0</v>
      </c>
      <c r="L105" s="54">
        <f>Sheet1!L105/1000</f>
        <v>0</v>
      </c>
      <c r="M105" s="54">
        <f>Sheet1!M105/1000</f>
        <v>0</v>
      </c>
      <c r="N105" s="54">
        <v>0</v>
      </c>
      <c r="O105" s="89">
        <v>0</v>
      </c>
      <c r="P105" s="89">
        <v>0</v>
      </c>
      <c r="Q105" s="89">
        <v>0</v>
      </c>
      <c r="R105" s="44">
        <f t="shared" si="40"/>
        <v>0</v>
      </c>
    </row>
    <row r="106" spans="1:19" x14ac:dyDescent="0.25">
      <c r="A106" s="88">
        <v>12</v>
      </c>
      <c r="B106" s="83" t="s">
        <v>105</v>
      </c>
      <c r="C106" s="54">
        <f>Sheet1!C106/1000</f>
        <v>0</v>
      </c>
      <c r="D106" s="54">
        <f>Sheet1!D106/1000</f>
        <v>12.73</v>
      </c>
      <c r="E106" s="54">
        <f t="shared" si="41"/>
        <v>-100</v>
      </c>
      <c r="F106" s="54">
        <f>Sheet1!F106/1000</f>
        <v>0</v>
      </c>
      <c r="G106" s="54">
        <f>Sheet1!G106/1000</f>
        <v>8.5</v>
      </c>
      <c r="H106" s="54">
        <v>0</v>
      </c>
      <c r="I106" s="54">
        <f>Sheet1!I106/1000</f>
        <v>0</v>
      </c>
      <c r="J106" s="54">
        <f>Sheet1!J106/1000</f>
        <v>0</v>
      </c>
      <c r="K106" s="54">
        <v>0</v>
      </c>
      <c r="L106" s="54">
        <f>Sheet1!L106/1000</f>
        <v>0</v>
      </c>
      <c r="M106" s="54">
        <f>Sheet1!M106/1000</f>
        <v>0</v>
      </c>
      <c r="N106" s="54">
        <v>0</v>
      </c>
      <c r="O106" s="89">
        <v>8</v>
      </c>
      <c r="P106" s="89">
        <v>58</v>
      </c>
      <c r="Q106" s="89">
        <v>8</v>
      </c>
      <c r="R106" s="44">
        <f t="shared" si="40"/>
        <v>464</v>
      </c>
    </row>
    <row r="107" spans="1:19" x14ac:dyDescent="0.25">
      <c r="A107" s="88">
        <v>13</v>
      </c>
      <c r="B107" s="83" t="s">
        <v>106</v>
      </c>
      <c r="C107" s="54">
        <f>Sheet1!C107/1000</f>
        <v>6.7329999999999997</v>
      </c>
      <c r="D107" s="54">
        <f>Sheet1!D107/1000</f>
        <v>2.6989999999999998</v>
      </c>
      <c r="E107" s="54">
        <f t="shared" si="41"/>
        <v>149.46276398666174</v>
      </c>
      <c r="F107" s="54">
        <f>Sheet1!F107/1000</f>
        <v>0</v>
      </c>
      <c r="G107" s="54">
        <f>Sheet1!G107/1000</f>
        <v>2.6989999999999998</v>
      </c>
      <c r="H107" s="54">
        <v>0</v>
      </c>
      <c r="I107" s="54">
        <f>Sheet1!I107/1000</f>
        <v>17.510000000000002</v>
      </c>
      <c r="J107" s="54">
        <f>Sheet1!J107/1000</f>
        <v>3.6120000000000001</v>
      </c>
      <c r="K107" s="89">
        <f t="shared" si="38"/>
        <v>384.77297895902547</v>
      </c>
      <c r="L107" s="54">
        <f>Sheet1!L107/1000</f>
        <v>16.736000000000001</v>
      </c>
      <c r="M107" s="54">
        <f>Sheet1!M107/1000</f>
        <v>0</v>
      </c>
      <c r="N107" s="54">
        <v>0</v>
      </c>
      <c r="O107" s="89">
        <v>81</v>
      </c>
      <c r="P107" s="89">
        <v>76</v>
      </c>
      <c r="Q107" s="89">
        <v>74</v>
      </c>
      <c r="R107" s="44">
        <f t="shared" si="40"/>
        <v>6156</v>
      </c>
    </row>
    <row r="108" spans="1:19" x14ac:dyDescent="0.25">
      <c r="A108" s="88">
        <v>14</v>
      </c>
      <c r="B108" s="83" t="s">
        <v>107</v>
      </c>
      <c r="C108" s="54">
        <f>Sheet1!C108/1000</f>
        <v>0</v>
      </c>
      <c r="D108" s="54">
        <f>Sheet1!D108/1000</f>
        <v>0</v>
      </c>
      <c r="E108" s="54">
        <v>0</v>
      </c>
      <c r="F108" s="54">
        <f>Sheet1!F108/1000</f>
        <v>0</v>
      </c>
      <c r="G108" s="54">
        <f>Sheet1!G108/1000</f>
        <v>0</v>
      </c>
      <c r="H108" s="54">
        <v>0</v>
      </c>
      <c r="I108" s="54">
        <f>Sheet1!I108/1000</f>
        <v>0</v>
      </c>
      <c r="J108" s="54">
        <f>Sheet1!J108/1000</f>
        <v>0</v>
      </c>
      <c r="K108" s="54">
        <v>0</v>
      </c>
      <c r="L108" s="54">
        <f>Sheet1!L108/1000</f>
        <v>0</v>
      </c>
      <c r="M108" s="54">
        <f>Sheet1!M108/1000</f>
        <v>0</v>
      </c>
      <c r="N108" s="54">
        <v>0</v>
      </c>
      <c r="O108" s="89">
        <v>0</v>
      </c>
      <c r="P108" s="89">
        <v>0</v>
      </c>
      <c r="Q108" s="89">
        <v>0</v>
      </c>
      <c r="R108" s="44">
        <f t="shared" si="40"/>
        <v>0</v>
      </c>
    </row>
    <row r="109" spans="1:19" x14ac:dyDescent="0.25">
      <c r="A109" s="88">
        <v>15</v>
      </c>
      <c r="B109" s="83" t="s">
        <v>108</v>
      </c>
      <c r="C109" s="54">
        <f>Sheet1!C109/1000</f>
        <v>44.363</v>
      </c>
      <c r="D109" s="54">
        <f>Sheet1!D109/1000</f>
        <v>51.359000000000002</v>
      </c>
      <c r="E109" s="54">
        <f t="shared" si="41"/>
        <v>-13.621760548297274</v>
      </c>
      <c r="F109" s="54">
        <f>Sheet1!F109/1000</f>
        <v>14.99</v>
      </c>
      <c r="G109" s="54">
        <f>Sheet1!G109/1000</f>
        <v>24.51</v>
      </c>
      <c r="H109" s="54">
        <f t="shared" si="42"/>
        <v>-38.841289269685845</v>
      </c>
      <c r="I109" s="54">
        <f>Sheet1!I109/1000</f>
        <v>44.363</v>
      </c>
      <c r="J109" s="54">
        <f>Sheet1!J109/1000</f>
        <v>51.359000000000002</v>
      </c>
      <c r="K109" s="54">
        <v>0</v>
      </c>
      <c r="L109" s="54">
        <f>Sheet1!L109/1000</f>
        <v>44.363</v>
      </c>
      <c r="M109" s="54">
        <f>Sheet1!M109/1000</f>
        <v>51.359000000000002</v>
      </c>
      <c r="N109" s="54">
        <f t="shared" si="39"/>
        <v>-13.621760548297274</v>
      </c>
      <c r="O109" s="89">
        <v>85</v>
      </c>
      <c r="P109" s="89">
        <v>95</v>
      </c>
      <c r="Q109" s="89">
        <v>87</v>
      </c>
      <c r="R109" s="44">
        <f t="shared" si="40"/>
        <v>8075</v>
      </c>
    </row>
    <row r="110" spans="1:19" x14ac:dyDescent="0.25">
      <c r="A110" s="88">
        <v>16</v>
      </c>
      <c r="B110" s="83" t="s">
        <v>109</v>
      </c>
      <c r="C110" s="54">
        <f>Sheet1!C110/1000</f>
        <v>39.03</v>
      </c>
      <c r="D110" s="54">
        <f>Sheet1!D110/1000</f>
        <v>27.555</v>
      </c>
      <c r="E110" s="54">
        <f t="shared" si="41"/>
        <v>41.64398475775721</v>
      </c>
      <c r="F110" s="54">
        <f>Sheet1!F110/1000</f>
        <v>22.768000000000001</v>
      </c>
      <c r="G110" s="54">
        <f>Sheet1!G110/1000</f>
        <v>27.419</v>
      </c>
      <c r="H110" s="54">
        <f t="shared" si="42"/>
        <v>-16.962690105401364</v>
      </c>
      <c r="I110" s="54">
        <f>Sheet1!I110/1000</f>
        <v>38.402000000000001</v>
      </c>
      <c r="J110" s="54">
        <f>Sheet1!J110/1000</f>
        <v>94.733000000000004</v>
      </c>
      <c r="K110" s="54">
        <f t="shared" si="38"/>
        <v>-59.462911551412915</v>
      </c>
      <c r="L110" s="54">
        <f>Sheet1!L110/1000</f>
        <v>0</v>
      </c>
      <c r="M110" s="54">
        <f>Sheet1!M110/1000</f>
        <v>0</v>
      </c>
      <c r="N110" s="54">
        <v>0</v>
      </c>
      <c r="O110" s="89">
        <v>63</v>
      </c>
      <c r="P110" s="89">
        <v>65</v>
      </c>
      <c r="Q110" s="89">
        <v>44</v>
      </c>
      <c r="R110" s="44">
        <f t="shared" si="40"/>
        <v>4095</v>
      </c>
    </row>
    <row r="111" spans="1:19" x14ac:dyDescent="0.25">
      <c r="A111" s="88">
        <v>17</v>
      </c>
      <c r="B111" s="83" t="s">
        <v>110</v>
      </c>
      <c r="C111" s="54">
        <f>Sheet1!C111/1000</f>
        <v>118.176</v>
      </c>
      <c r="D111" s="54">
        <f>Sheet1!D111/1000</f>
        <v>144.06800000000001</v>
      </c>
      <c r="E111" s="54">
        <f t="shared" si="41"/>
        <v>-17.972068745314715</v>
      </c>
      <c r="F111" s="54">
        <f>Sheet1!F111/1000</f>
        <v>37.984000000000002</v>
      </c>
      <c r="G111" s="54">
        <f>Sheet1!G111/1000</f>
        <v>54.417999999999999</v>
      </c>
      <c r="H111" s="54">
        <f t="shared" si="42"/>
        <v>-30.199566319967659</v>
      </c>
      <c r="I111" s="54">
        <f>Sheet1!I111/1000</f>
        <v>16.998999999999999</v>
      </c>
      <c r="J111" s="54">
        <f>Sheet1!J111/1000</f>
        <v>59.024999999999999</v>
      </c>
      <c r="K111" s="54">
        <f t="shared" si="38"/>
        <v>-71.200338839474796</v>
      </c>
      <c r="L111" s="54">
        <f>Sheet1!L111/1000</f>
        <v>0</v>
      </c>
      <c r="M111" s="54">
        <f>Sheet1!M111/1000</f>
        <v>0</v>
      </c>
      <c r="N111" s="89">
        <v>0</v>
      </c>
      <c r="O111" s="89">
        <v>167</v>
      </c>
      <c r="P111" s="89">
        <v>85</v>
      </c>
      <c r="Q111" s="89">
        <v>168</v>
      </c>
      <c r="R111" s="44">
        <f t="shared" si="40"/>
        <v>14195</v>
      </c>
    </row>
    <row r="112" spans="1:19" ht="27" x14ac:dyDescent="0.25">
      <c r="A112" s="185">
        <v>18</v>
      </c>
      <c r="B112" s="184" t="s">
        <v>258</v>
      </c>
      <c r="C112" s="54">
        <f>Sheet1!C112/1000</f>
        <v>378.96600000000001</v>
      </c>
      <c r="D112" s="54">
        <f>Sheet1!D112/1000</f>
        <v>0</v>
      </c>
      <c r="E112" s="54">
        <v>0</v>
      </c>
      <c r="F112" s="54">
        <f>Sheet1!F112/1000</f>
        <v>147.768</v>
      </c>
      <c r="G112" s="54">
        <f>Sheet1!G112/1000</f>
        <v>0</v>
      </c>
      <c r="H112" s="54">
        <v>0</v>
      </c>
      <c r="I112" s="54">
        <f>Sheet1!I112/1000</f>
        <v>378.96600000000001</v>
      </c>
      <c r="J112" s="54">
        <f>Sheet1!J112/1000</f>
        <v>0</v>
      </c>
      <c r="K112" s="54">
        <v>0</v>
      </c>
      <c r="L112" s="54">
        <f>Sheet1!L112/1000</f>
        <v>378.96600000000001</v>
      </c>
      <c r="M112" s="54">
        <f>Sheet1!M112/1000</f>
        <v>0</v>
      </c>
      <c r="N112" s="54">
        <v>0</v>
      </c>
      <c r="O112" s="125">
        <v>820</v>
      </c>
      <c r="P112" s="125">
        <v>75</v>
      </c>
      <c r="Q112" s="125">
        <v>830</v>
      </c>
      <c r="R112" s="44">
        <f t="shared" si="40"/>
        <v>61500</v>
      </c>
    </row>
    <row r="113" spans="1:18" x14ac:dyDescent="0.25">
      <c r="A113" s="88">
        <v>19</v>
      </c>
      <c r="B113" s="83" t="s">
        <v>112</v>
      </c>
      <c r="C113" s="54">
        <f>Sheet1!C113/1000</f>
        <v>0</v>
      </c>
      <c r="D113" s="54">
        <f>Sheet1!D113/1000</f>
        <v>0</v>
      </c>
      <c r="E113" s="54">
        <v>0</v>
      </c>
      <c r="F113" s="54">
        <f>Sheet1!F113/1000</f>
        <v>0</v>
      </c>
      <c r="G113" s="54">
        <f>Sheet1!G113/1000</f>
        <v>0</v>
      </c>
      <c r="H113" s="54">
        <v>0</v>
      </c>
      <c r="I113" s="54">
        <f>Sheet1!I113/1000</f>
        <v>0</v>
      </c>
      <c r="J113" s="54">
        <f>Sheet1!J113/1000</f>
        <v>0</v>
      </c>
      <c r="K113" s="54">
        <v>0</v>
      </c>
      <c r="L113" s="54">
        <f>Sheet1!L113/1000</f>
        <v>0</v>
      </c>
      <c r="M113" s="54">
        <f>Sheet1!M113/1000</f>
        <v>0</v>
      </c>
      <c r="N113" s="54">
        <v>0</v>
      </c>
      <c r="O113" s="89">
        <v>0</v>
      </c>
      <c r="P113" s="89">
        <v>0</v>
      </c>
      <c r="Q113" s="89">
        <v>0</v>
      </c>
      <c r="R113" s="44">
        <f t="shared" si="40"/>
        <v>0</v>
      </c>
    </row>
    <row r="114" spans="1:18" x14ac:dyDescent="0.25">
      <c r="A114" s="88">
        <v>20</v>
      </c>
      <c r="B114" s="83" t="s">
        <v>113</v>
      </c>
      <c r="C114" s="54">
        <f>Sheet1!C114/1000</f>
        <v>0</v>
      </c>
      <c r="D114" s="54">
        <f>Sheet1!D114/1000</f>
        <v>0</v>
      </c>
      <c r="E114" s="54">
        <v>0</v>
      </c>
      <c r="F114" s="54">
        <f>Sheet1!F114/1000</f>
        <v>0</v>
      </c>
      <c r="G114" s="54">
        <f>Sheet1!G114/1000</f>
        <v>0</v>
      </c>
      <c r="H114" s="54">
        <v>0</v>
      </c>
      <c r="I114" s="54">
        <f>Sheet1!I114/1000</f>
        <v>0</v>
      </c>
      <c r="J114" s="54">
        <f>Sheet1!J114/1000</f>
        <v>0</v>
      </c>
      <c r="K114" s="54">
        <v>0</v>
      </c>
      <c r="L114" s="54">
        <f>Sheet1!L114/1000</f>
        <v>0</v>
      </c>
      <c r="M114" s="54">
        <f>Sheet1!M114/1000</f>
        <v>0</v>
      </c>
      <c r="N114" s="54">
        <v>0</v>
      </c>
      <c r="O114" s="89">
        <v>0</v>
      </c>
      <c r="P114" s="89">
        <v>0</v>
      </c>
      <c r="Q114" s="89">
        <v>0</v>
      </c>
      <c r="R114" s="44">
        <f t="shared" si="40"/>
        <v>0</v>
      </c>
    </row>
    <row r="115" spans="1:18" x14ac:dyDescent="0.25">
      <c r="A115" s="88">
        <v>21</v>
      </c>
      <c r="B115" s="83" t="s">
        <v>114</v>
      </c>
      <c r="C115" s="54">
        <f>Sheet1!C115/1000</f>
        <v>15.984</v>
      </c>
      <c r="D115" s="54">
        <f>Sheet1!D115/1000</f>
        <v>13.988</v>
      </c>
      <c r="E115" s="54">
        <f t="shared" si="41"/>
        <v>14.269373748927649</v>
      </c>
      <c r="F115" s="54">
        <f>Sheet1!F115/1000</f>
        <v>7.31</v>
      </c>
      <c r="G115" s="54">
        <f>Sheet1!G115/1000</f>
        <v>5.5190000000000001</v>
      </c>
      <c r="H115" s="54">
        <f t="shared" si="42"/>
        <v>32.451531074470012</v>
      </c>
      <c r="I115" s="54">
        <f>Sheet1!I115/1000</f>
        <v>15.984</v>
      </c>
      <c r="J115" s="54">
        <f>Sheet1!J115/1000</f>
        <v>13.988</v>
      </c>
      <c r="K115" s="54">
        <f t="shared" si="38"/>
        <v>14.269373748927649</v>
      </c>
      <c r="L115" s="54">
        <f>Sheet1!L115/1000</f>
        <v>15.647</v>
      </c>
      <c r="M115" s="54">
        <f>Sheet1!M115/1000</f>
        <v>13.134</v>
      </c>
      <c r="N115" s="54">
        <f t="shared" si="39"/>
        <v>19.133546520481175</v>
      </c>
      <c r="O115" s="89">
        <v>14</v>
      </c>
      <c r="P115" s="89">
        <v>68</v>
      </c>
      <c r="Q115" s="89">
        <v>15</v>
      </c>
      <c r="R115" s="44">
        <f t="shared" si="40"/>
        <v>952</v>
      </c>
    </row>
    <row r="116" spans="1:18" x14ac:dyDescent="0.25">
      <c r="A116" s="88">
        <v>22</v>
      </c>
      <c r="B116" s="81" t="s">
        <v>115</v>
      </c>
      <c r="C116" s="54">
        <f>Sheet1!C116/1000</f>
        <v>2.94</v>
      </c>
      <c r="D116" s="54">
        <f>Sheet1!D116/1000</f>
        <v>4.49</v>
      </c>
      <c r="E116" s="54">
        <f t="shared" si="41"/>
        <v>-34.521158129175959</v>
      </c>
      <c r="F116" s="54">
        <f>Sheet1!F116/1000</f>
        <v>2.94</v>
      </c>
      <c r="G116" s="54">
        <f>Sheet1!G116/1000</f>
        <v>2.2400000000000002</v>
      </c>
      <c r="H116" s="54">
        <f t="shared" si="42"/>
        <v>31.249999999999972</v>
      </c>
      <c r="I116" s="54">
        <f>Sheet1!I116/1000</f>
        <v>10.141</v>
      </c>
      <c r="J116" s="54">
        <f>Sheet1!J116/1000</f>
        <v>8.6809999999999992</v>
      </c>
      <c r="K116" s="54">
        <f t="shared" si="38"/>
        <v>16.818338901048264</v>
      </c>
      <c r="L116" s="54">
        <f>Sheet1!L116/1000</f>
        <v>0</v>
      </c>
      <c r="M116" s="54">
        <f>Sheet1!M116/1000</f>
        <v>0</v>
      </c>
      <c r="N116" s="54">
        <v>0</v>
      </c>
      <c r="O116" s="89">
        <v>13</v>
      </c>
      <c r="P116" s="89">
        <v>95</v>
      </c>
      <c r="Q116" s="89">
        <v>12</v>
      </c>
      <c r="R116" s="44">
        <f t="shared" si="40"/>
        <v>1235</v>
      </c>
    </row>
    <row r="117" spans="1:18" x14ac:dyDescent="0.25">
      <c r="A117" s="88">
        <v>23</v>
      </c>
      <c r="B117" s="81" t="s">
        <v>116</v>
      </c>
      <c r="C117" s="54">
        <f>Sheet1!C117/1000</f>
        <v>33.710999999999999</v>
      </c>
      <c r="D117" s="54">
        <f>Sheet1!D117/1000</f>
        <v>24.818999999999999</v>
      </c>
      <c r="E117" s="54">
        <f t="shared" si="41"/>
        <v>35.827390305814106</v>
      </c>
      <c r="F117" s="54">
        <f>Sheet1!F117/1000</f>
        <v>15.523999999999999</v>
      </c>
      <c r="G117" s="54">
        <f>Sheet1!G117/1000</f>
        <v>7.87</v>
      </c>
      <c r="H117" s="54">
        <f t="shared" si="42"/>
        <v>97.255400254129597</v>
      </c>
      <c r="I117" s="54">
        <f>Sheet1!I117/1000</f>
        <v>32.518000000000001</v>
      </c>
      <c r="J117" s="54">
        <f>Sheet1!J117/1000</f>
        <v>25.234000000000002</v>
      </c>
      <c r="K117" s="54">
        <v>0</v>
      </c>
      <c r="L117" s="54">
        <f>Sheet1!L117/1000</f>
        <v>0</v>
      </c>
      <c r="M117" s="54">
        <f>Sheet1!M117/1000</f>
        <v>0</v>
      </c>
      <c r="N117" s="54">
        <v>0</v>
      </c>
      <c r="O117" s="89">
        <v>20</v>
      </c>
      <c r="P117" s="89">
        <v>70</v>
      </c>
      <c r="Q117" s="89">
        <v>16</v>
      </c>
      <c r="R117" s="44">
        <f t="shared" si="40"/>
        <v>1400</v>
      </c>
    </row>
    <row r="118" spans="1:18" x14ac:dyDescent="0.25">
      <c r="A118" s="88">
        <v>24</v>
      </c>
      <c r="B118" s="83" t="s">
        <v>117</v>
      </c>
      <c r="C118" s="54">
        <f>Sheet1!C118/1000</f>
        <v>19.279</v>
      </c>
      <c r="D118" s="54">
        <f>Sheet1!D118/1000</f>
        <v>16.992999999999999</v>
      </c>
      <c r="E118" s="54">
        <f t="shared" si="41"/>
        <v>13.452598128641213</v>
      </c>
      <c r="F118" s="54">
        <f>Sheet1!F118/1000</f>
        <v>2.3940000000000001</v>
      </c>
      <c r="G118" s="54">
        <f>Sheet1!G118/1000</f>
        <v>5.1390000000000002</v>
      </c>
      <c r="H118" s="54">
        <f t="shared" si="42"/>
        <v>-53.415061295971981</v>
      </c>
      <c r="I118" s="54">
        <f>Sheet1!I118/1000</f>
        <v>6.7750000000000004</v>
      </c>
      <c r="J118" s="54">
        <f>Sheet1!J118/1000</f>
        <v>26.654</v>
      </c>
      <c r="K118" s="54">
        <f t="shared" si="38"/>
        <v>-74.581676296240715</v>
      </c>
      <c r="L118" s="54">
        <f>Sheet1!L118/1000</f>
        <v>0</v>
      </c>
      <c r="M118" s="54">
        <f>Sheet1!M118/1000</f>
        <v>0</v>
      </c>
      <c r="N118" s="54">
        <v>0</v>
      </c>
      <c r="O118" s="89">
        <v>49</v>
      </c>
      <c r="P118" s="89">
        <v>62</v>
      </c>
      <c r="Q118" s="89">
        <v>48</v>
      </c>
      <c r="R118" s="44">
        <f t="shared" si="40"/>
        <v>3038</v>
      </c>
    </row>
    <row r="119" spans="1:18" x14ac:dyDescent="0.25">
      <c r="A119" s="88">
        <v>25</v>
      </c>
      <c r="B119" s="83" t="s">
        <v>118</v>
      </c>
      <c r="C119" s="54">
        <f>Sheet1!C119/1000</f>
        <v>5.4589999999999996</v>
      </c>
      <c r="D119" s="54">
        <f>Sheet1!D119/1000</f>
        <v>3.1579999999999999</v>
      </c>
      <c r="E119" s="54">
        <f t="shared" si="41"/>
        <v>72.862571247625084</v>
      </c>
      <c r="F119" s="54">
        <f>Sheet1!F119/1000</f>
        <v>2.395</v>
      </c>
      <c r="G119" s="54">
        <f>Sheet1!G119/1000</f>
        <v>1.0609999999999999</v>
      </c>
      <c r="H119" s="54">
        <f t="shared" si="42"/>
        <v>125.73044297832237</v>
      </c>
      <c r="I119" s="54">
        <f>Sheet1!I119/1000</f>
        <v>5.54</v>
      </c>
      <c r="J119" s="54">
        <f>Sheet1!J119/1000</f>
        <v>3.2080000000000002</v>
      </c>
      <c r="K119" s="54">
        <f t="shared" si="38"/>
        <v>72.693266832917715</v>
      </c>
      <c r="L119" s="54">
        <f>Sheet1!L119/1000</f>
        <v>0</v>
      </c>
      <c r="M119" s="54">
        <f>Sheet1!M119/1000</f>
        <v>0</v>
      </c>
      <c r="N119" s="54">
        <v>0</v>
      </c>
      <c r="O119" s="89">
        <v>22</v>
      </c>
      <c r="P119" s="89">
        <v>45</v>
      </c>
      <c r="Q119" s="89">
        <v>23</v>
      </c>
      <c r="R119" s="44">
        <f t="shared" si="40"/>
        <v>990</v>
      </c>
    </row>
    <row r="120" spans="1:18" x14ac:dyDescent="0.25">
      <c r="A120" s="88">
        <v>26</v>
      </c>
      <c r="B120" s="182" t="s">
        <v>228</v>
      </c>
      <c r="C120" s="54">
        <f>Sheet1!C120/1000</f>
        <v>5.9779999999999998</v>
      </c>
      <c r="D120" s="54">
        <f>Sheet1!D120/1000</f>
        <v>2.839</v>
      </c>
      <c r="E120" s="54">
        <f t="shared" si="41"/>
        <v>110.56710109193381</v>
      </c>
      <c r="F120" s="54">
        <f>Sheet1!F120/1000</f>
        <v>2.3029999999999999</v>
      </c>
      <c r="G120" s="54">
        <f>Sheet1!G120/1000</f>
        <v>2.839</v>
      </c>
      <c r="H120" s="54">
        <f t="shared" si="42"/>
        <v>-18.87988728425502</v>
      </c>
      <c r="I120" s="54">
        <f>Sheet1!I120/1000</f>
        <v>3.008</v>
      </c>
      <c r="J120" s="54">
        <f>Sheet1!J120/1000</f>
        <v>4.6719999999999997</v>
      </c>
      <c r="K120" s="54">
        <f t="shared" si="38"/>
        <v>-35.61643835616438</v>
      </c>
      <c r="L120" s="54">
        <f>Sheet1!L120/1000</f>
        <v>0</v>
      </c>
      <c r="M120" s="54">
        <f>Sheet1!M120/1000</f>
        <v>0</v>
      </c>
      <c r="N120" s="54">
        <v>0</v>
      </c>
      <c r="O120" s="89">
        <v>19</v>
      </c>
      <c r="P120" s="89"/>
      <c r="Q120" s="89"/>
      <c r="R120" s="44">
        <f t="shared" si="40"/>
        <v>0</v>
      </c>
    </row>
    <row r="121" spans="1:18" x14ac:dyDescent="0.25">
      <c r="A121" s="88">
        <v>27</v>
      </c>
      <c r="B121" s="182" t="s">
        <v>238</v>
      </c>
      <c r="C121" s="54">
        <f>Sheet1!C121/1000</f>
        <v>12.396000000000001</v>
      </c>
      <c r="D121" s="54">
        <f>Sheet1!D121/1000</f>
        <v>9.26</v>
      </c>
      <c r="E121" s="54">
        <f t="shared" si="41"/>
        <v>33.866090712743016</v>
      </c>
      <c r="F121" s="54">
        <f>Sheet1!F121/1000</f>
        <v>2.48</v>
      </c>
      <c r="G121" s="54">
        <f>Sheet1!G121/1000</f>
        <v>2.923</v>
      </c>
      <c r="H121" s="54">
        <f t="shared" si="42"/>
        <v>-15.155661991105035</v>
      </c>
      <c r="I121" s="54">
        <f>Sheet1!I121/1000</f>
        <v>12.396000000000001</v>
      </c>
      <c r="J121" s="54">
        <f>Sheet1!J121/1000</f>
        <v>9.26</v>
      </c>
      <c r="K121" s="54">
        <f t="shared" si="38"/>
        <v>33.866090712743016</v>
      </c>
      <c r="L121" s="54">
        <f>Sheet1!L121/1000</f>
        <v>0</v>
      </c>
      <c r="M121" s="54">
        <f>Sheet1!M121/1000</f>
        <v>0</v>
      </c>
      <c r="N121" s="54">
        <v>0</v>
      </c>
      <c r="O121" s="89">
        <v>33</v>
      </c>
      <c r="P121" s="89"/>
      <c r="Q121" s="89">
        <v>34</v>
      </c>
      <c r="R121" s="44">
        <f t="shared" si="40"/>
        <v>0</v>
      </c>
    </row>
    <row r="122" spans="1:18" x14ac:dyDescent="0.25">
      <c r="A122" s="221"/>
      <c r="B122" s="221" t="s">
        <v>119</v>
      </c>
      <c r="C122" s="87">
        <f>SUM(C95:C121)</f>
        <v>1015.4930000000001</v>
      </c>
      <c r="D122" s="87">
        <f>SUM(D95:D121)</f>
        <v>718.94600000000003</v>
      </c>
      <c r="E122" s="168">
        <f t="shared" si="41"/>
        <v>41.247465039098898</v>
      </c>
      <c r="F122" s="87">
        <f>SUM(F95:F121)</f>
        <v>367.87300000000005</v>
      </c>
      <c r="G122" s="87">
        <f>SUM(G95:G121)</f>
        <v>317.02600000000001</v>
      </c>
      <c r="H122" s="168">
        <f t="shared" si="42"/>
        <v>16.03874761060608</v>
      </c>
      <c r="I122" s="87">
        <f>SUM(I95:I121)</f>
        <v>926.47299999999996</v>
      </c>
      <c r="J122" s="87">
        <f>SUM(J95:J121)</f>
        <v>647.05999999999995</v>
      </c>
      <c r="K122" s="168">
        <f t="shared" si="38"/>
        <v>43.181930578308027</v>
      </c>
      <c r="L122" s="87">
        <f>SUM(L95:L121)</f>
        <v>745.81100000000004</v>
      </c>
      <c r="M122" s="87">
        <f>SUM(M95:M121)</f>
        <v>249.72700000000003</v>
      </c>
      <c r="N122" s="168">
        <f t="shared" si="39"/>
        <v>198.65052637480125</v>
      </c>
      <c r="O122" s="87">
        <f>SUM(O95:O121)</f>
        <v>2288</v>
      </c>
      <c r="P122" s="87">
        <f>R122/O122</f>
        <v>73.959790209790214</v>
      </c>
      <c r="Q122" s="87">
        <f>SUM(Q95:Q121)</f>
        <v>2302</v>
      </c>
      <c r="R122" s="87">
        <f>SUM(R95:R121)</f>
        <v>169220</v>
      </c>
    </row>
    <row r="123" spans="1:18" x14ac:dyDescent="0.25">
      <c r="A123" s="71"/>
      <c r="B123" s="71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38">
        <v>15</v>
      </c>
      <c r="R123" s="39">
        <f t="shared" ref="R123:R130" si="43">O123*P123</f>
        <v>0</v>
      </c>
    </row>
    <row r="124" spans="1:18" x14ac:dyDescent="0.25">
      <c r="A124" s="946" t="s">
        <v>120</v>
      </c>
      <c r="B124" s="948"/>
      <c r="C124" s="38">
        <v>3</v>
      </c>
      <c r="D124" s="38">
        <v>4</v>
      </c>
      <c r="E124" s="38">
        <v>5</v>
      </c>
      <c r="F124" s="38">
        <v>6</v>
      </c>
      <c r="G124" s="38">
        <v>7</v>
      </c>
      <c r="H124" s="38">
        <v>8</v>
      </c>
      <c r="I124" s="38">
        <v>9</v>
      </c>
      <c r="J124" s="38">
        <v>10</v>
      </c>
      <c r="K124" s="38">
        <v>11</v>
      </c>
      <c r="L124" s="38">
        <v>12</v>
      </c>
      <c r="M124" s="38">
        <v>13</v>
      </c>
      <c r="N124" s="38">
        <v>14</v>
      </c>
      <c r="O124" s="38">
        <v>15</v>
      </c>
      <c r="P124" s="38">
        <v>16</v>
      </c>
      <c r="Q124" s="60"/>
      <c r="R124" s="44">
        <f t="shared" si="43"/>
        <v>240</v>
      </c>
    </row>
    <row r="125" spans="1:18" x14ac:dyDescent="0.25">
      <c r="A125" s="50">
        <v>1</v>
      </c>
      <c r="B125" s="97" t="s">
        <v>121</v>
      </c>
      <c r="C125" s="54">
        <f>Sheet1!C125/1000</f>
        <v>26.123999999999999</v>
      </c>
      <c r="D125" s="54">
        <f>Sheet1!D125/1000</f>
        <v>30.419</v>
      </c>
      <c r="E125" s="54">
        <f t="shared" ref="E125:E131" si="44">C125/D125*100-100</f>
        <v>-14.119464808179103</v>
      </c>
      <c r="F125" s="54">
        <f>Sheet1!F125/1000</f>
        <v>5.35</v>
      </c>
      <c r="G125" s="54">
        <f>Sheet1!G125/1000</f>
        <v>19.446999999999999</v>
      </c>
      <c r="H125" s="54">
        <f t="shared" ref="H125:H131" si="45">F125/G125*100-100</f>
        <v>-72.489329973774872</v>
      </c>
      <c r="I125" s="54">
        <f>Sheet1!I125/1000</f>
        <v>15.439</v>
      </c>
      <c r="J125" s="54">
        <f>Sheet1!J125/1000</f>
        <v>18.451000000000001</v>
      </c>
      <c r="K125" s="54">
        <f t="shared" ref="K125:K131" si="46">I125/J125*100-100</f>
        <v>-16.324318465123838</v>
      </c>
      <c r="L125" s="54">
        <f>Sheet1!L125/1000</f>
        <v>0</v>
      </c>
      <c r="M125" s="54">
        <f>Sheet1!M125/1000</f>
        <v>0</v>
      </c>
      <c r="N125" s="34">
        <v>0</v>
      </c>
      <c r="O125" s="60">
        <v>73</v>
      </c>
      <c r="P125" s="47">
        <v>80</v>
      </c>
      <c r="Q125" s="60">
        <v>73</v>
      </c>
      <c r="R125" s="44">
        <f t="shared" si="43"/>
        <v>5840</v>
      </c>
    </row>
    <row r="126" spans="1:18" x14ac:dyDescent="0.25">
      <c r="A126" s="50">
        <v>2</v>
      </c>
      <c r="B126" s="97" t="s">
        <v>122</v>
      </c>
      <c r="C126" s="54">
        <f>Sheet1!C126/1000</f>
        <v>0</v>
      </c>
      <c r="D126" s="54">
        <f>Sheet1!D126/1000</f>
        <v>0</v>
      </c>
      <c r="E126" s="54">
        <v>0</v>
      </c>
      <c r="F126" s="54">
        <f>Sheet1!F126/1000</f>
        <v>0</v>
      </c>
      <c r="G126" s="54">
        <f>Sheet1!G126/1000</f>
        <v>0</v>
      </c>
      <c r="H126" s="54">
        <v>0</v>
      </c>
      <c r="I126" s="54">
        <f>Sheet1!I126/1000</f>
        <v>0</v>
      </c>
      <c r="J126" s="54">
        <f>Sheet1!J126/1000</f>
        <v>0</v>
      </c>
      <c r="K126" s="54">
        <v>0</v>
      </c>
      <c r="L126" s="54">
        <f>Sheet1!L126/1000</f>
        <v>0</v>
      </c>
      <c r="M126" s="54">
        <f>Sheet1!M126/1000</f>
        <v>0</v>
      </c>
      <c r="N126" s="54">
        <v>0</v>
      </c>
      <c r="O126" s="60">
        <v>0</v>
      </c>
      <c r="P126" s="47">
        <v>0</v>
      </c>
      <c r="Q126" s="60">
        <v>0</v>
      </c>
      <c r="R126" s="44">
        <f t="shared" si="43"/>
        <v>0</v>
      </c>
    </row>
    <row r="127" spans="1:18" x14ac:dyDescent="0.25">
      <c r="A127" s="50">
        <v>3</v>
      </c>
      <c r="B127" s="97" t="s">
        <v>123</v>
      </c>
      <c r="C127" s="54">
        <f>Sheet1!C127/1000</f>
        <v>0</v>
      </c>
      <c r="D127" s="54">
        <f>Sheet1!D127/1000</f>
        <v>0</v>
      </c>
      <c r="E127" s="54">
        <v>0</v>
      </c>
      <c r="F127" s="54">
        <f>Sheet1!F127/1000</f>
        <v>0</v>
      </c>
      <c r="G127" s="54">
        <f>Sheet1!G127/1000</f>
        <v>0</v>
      </c>
      <c r="H127" s="54">
        <v>0</v>
      </c>
      <c r="I127" s="54">
        <f>Sheet1!I127/1000</f>
        <v>0</v>
      </c>
      <c r="J127" s="54">
        <f>Sheet1!J127/1000</f>
        <v>0</v>
      </c>
      <c r="K127" s="54">
        <v>0</v>
      </c>
      <c r="L127" s="54">
        <f>Sheet1!L127/1000</f>
        <v>0</v>
      </c>
      <c r="M127" s="54">
        <f>Sheet1!M127/1000</f>
        <v>0</v>
      </c>
      <c r="N127" s="54">
        <v>0</v>
      </c>
      <c r="O127" s="60">
        <v>0</v>
      </c>
      <c r="P127" s="47">
        <v>0</v>
      </c>
      <c r="Q127" s="60">
        <v>0</v>
      </c>
      <c r="R127" s="44">
        <f t="shared" si="43"/>
        <v>0</v>
      </c>
    </row>
    <row r="128" spans="1:18" x14ac:dyDescent="0.25">
      <c r="A128" s="50">
        <v>4</v>
      </c>
      <c r="B128" s="98" t="s">
        <v>124</v>
      </c>
      <c r="C128" s="54">
        <f>Sheet1!C128/1000</f>
        <v>0.625</v>
      </c>
      <c r="D128" s="54">
        <f>Sheet1!D128/1000</f>
        <v>1.05</v>
      </c>
      <c r="E128" s="54">
        <v>0</v>
      </c>
      <c r="F128" s="54">
        <f>Sheet1!F128/1000</f>
        <v>0.625</v>
      </c>
      <c r="G128" s="54">
        <f>Sheet1!G128/1000</f>
        <v>1.05</v>
      </c>
      <c r="H128" s="54">
        <v>0</v>
      </c>
      <c r="I128" s="54">
        <f>Sheet1!I128/1000</f>
        <v>1.635</v>
      </c>
      <c r="J128" s="54">
        <f>Sheet1!J128/1000</f>
        <v>1.4410000000000001</v>
      </c>
      <c r="K128" s="54">
        <f t="shared" si="46"/>
        <v>13.462873004857727</v>
      </c>
      <c r="L128" s="54">
        <f>Sheet1!L128/1000</f>
        <v>0</v>
      </c>
      <c r="M128" s="54">
        <f>Sheet1!M128/1000</f>
        <v>0</v>
      </c>
      <c r="N128" s="89">
        <v>0</v>
      </c>
      <c r="O128" s="60">
        <v>8</v>
      </c>
      <c r="P128" s="99">
        <v>70</v>
      </c>
      <c r="Q128" s="60">
        <v>8</v>
      </c>
      <c r="R128" s="44">
        <f t="shared" si="43"/>
        <v>560</v>
      </c>
    </row>
    <row r="129" spans="1:18" x14ac:dyDescent="0.25">
      <c r="A129" s="50">
        <v>5</v>
      </c>
      <c r="B129" s="98" t="s">
        <v>125</v>
      </c>
      <c r="C129" s="54">
        <f>Sheet1!C129/1000</f>
        <v>0</v>
      </c>
      <c r="D129" s="54">
        <f>Sheet1!D129/1000</f>
        <v>0</v>
      </c>
      <c r="E129" s="54">
        <v>0</v>
      </c>
      <c r="F129" s="54">
        <f>Sheet1!F129/1000</f>
        <v>0</v>
      </c>
      <c r="G129" s="54">
        <f>Sheet1!G129/1000</f>
        <v>0</v>
      </c>
      <c r="H129" s="54">
        <v>0</v>
      </c>
      <c r="I129" s="54">
        <f>Sheet1!I129/1000</f>
        <v>0</v>
      </c>
      <c r="J129" s="54">
        <f>Sheet1!J129/1000</f>
        <v>0</v>
      </c>
      <c r="K129" s="54">
        <v>0</v>
      </c>
      <c r="L129" s="54">
        <f>Sheet1!L129/1000</f>
        <v>0</v>
      </c>
      <c r="M129" s="54">
        <f>Sheet1!M129/1000</f>
        <v>0</v>
      </c>
      <c r="N129" s="54">
        <v>0</v>
      </c>
      <c r="O129" s="60">
        <v>0</v>
      </c>
      <c r="P129" s="47">
        <v>0</v>
      </c>
      <c r="Q129" s="60">
        <v>0</v>
      </c>
      <c r="R129" s="44">
        <f t="shared" si="43"/>
        <v>0</v>
      </c>
    </row>
    <row r="130" spans="1:18" x14ac:dyDescent="0.25">
      <c r="A130" s="50">
        <v>6</v>
      </c>
      <c r="B130" s="97" t="s">
        <v>126</v>
      </c>
      <c r="C130" s="54">
        <f>Sheet1!C130/1000</f>
        <v>20.765000000000001</v>
      </c>
      <c r="D130" s="54">
        <f>Sheet1!D130/1000</f>
        <v>5.726</v>
      </c>
      <c r="E130" s="54">
        <f t="shared" si="44"/>
        <v>262.64407963674466</v>
      </c>
      <c r="F130" s="54">
        <f>Sheet1!F130/1000</f>
        <v>12.475</v>
      </c>
      <c r="G130" s="54">
        <f>Sheet1!G130/1000</f>
        <v>2.2639999999999998</v>
      </c>
      <c r="H130" s="54">
        <f t="shared" si="45"/>
        <v>451.01590106007063</v>
      </c>
      <c r="I130" s="54">
        <f>Sheet1!I130/1000</f>
        <v>20.765000000000001</v>
      </c>
      <c r="J130" s="54">
        <f>Sheet1!J130/1000</f>
        <v>5.726</v>
      </c>
      <c r="K130" s="54">
        <f t="shared" si="46"/>
        <v>262.64407963674466</v>
      </c>
      <c r="L130" s="54">
        <f>Sheet1!L130/1000</f>
        <v>10.266</v>
      </c>
      <c r="M130" s="54">
        <f>Sheet1!M130/1000</f>
        <v>0</v>
      </c>
      <c r="N130" s="34">
        <v>0</v>
      </c>
      <c r="O130" s="60">
        <v>19</v>
      </c>
      <c r="P130" s="89">
        <v>100</v>
      </c>
      <c r="Q130" s="60">
        <v>23</v>
      </c>
      <c r="R130" s="44">
        <f t="shared" si="43"/>
        <v>1900</v>
      </c>
    </row>
    <row r="131" spans="1:18" x14ac:dyDescent="0.25">
      <c r="A131" s="221"/>
      <c r="B131" s="221" t="s">
        <v>127</v>
      </c>
      <c r="C131" s="87">
        <f>SUM(C125:C130)</f>
        <v>47.513999999999996</v>
      </c>
      <c r="D131" s="87">
        <f>SUM(D125:D130)</f>
        <v>37.195</v>
      </c>
      <c r="E131" s="168">
        <f t="shared" si="44"/>
        <v>27.742976206479369</v>
      </c>
      <c r="F131" s="87">
        <f>SUM(F125:F130)</f>
        <v>18.45</v>
      </c>
      <c r="G131" s="87">
        <f>SUM(G125:G130)</f>
        <v>22.760999999999999</v>
      </c>
      <c r="H131" s="168">
        <f t="shared" si="45"/>
        <v>-18.940292605773038</v>
      </c>
      <c r="I131" s="87">
        <f>SUM(I125:I130)</f>
        <v>37.838999999999999</v>
      </c>
      <c r="J131" s="87">
        <f>SUM(J125:J130)</f>
        <v>25.617999999999999</v>
      </c>
      <c r="K131" s="168">
        <f t="shared" si="46"/>
        <v>47.704738855492252</v>
      </c>
      <c r="L131" s="87">
        <f>SUM(L125:L130)</f>
        <v>10.266</v>
      </c>
      <c r="M131" s="87">
        <f>SUM(M125:M130)</f>
        <v>0</v>
      </c>
      <c r="N131" s="87">
        <v>0</v>
      </c>
      <c r="O131" s="87">
        <f>SUM(O125:O130)</f>
        <v>100</v>
      </c>
      <c r="P131" s="87">
        <f>R131/O131</f>
        <v>83</v>
      </c>
      <c r="Q131" s="87">
        <f>SUM(Q124:Q130)</f>
        <v>104</v>
      </c>
      <c r="R131" s="70">
        <f>SUM(R125:R130)</f>
        <v>8300</v>
      </c>
    </row>
    <row r="132" spans="1:18" x14ac:dyDescent="0.25">
      <c r="A132" s="71"/>
      <c r="B132" s="71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60"/>
      <c r="R132" s="39"/>
    </row>
    <row r="133" spans="1:18" x14ac:dyDescent="0.25">
      <c r="A133" s="903" t="s">
        <v>128</v>
      </c>
      <c r="B133" s="904"/>
      <c r="C133" s="38">
        <v>3</v>
      </c>
      <c r="D133" s="38">
        <v>4</v>
      </c>
      <c r="E133" s="38">
        <v>5</v>
      </c>
      <c r="F133" s="38">
        <v>6</v>
      </c>
      <c r="G133" s="38">
        <v>7</v>
      </c>
      <c r="H133" s="38">
        <v>8</v>
      </c>
      <c r="I133" s="38">
        <v>9</v>
      </c>
      <c r="J133" s="38">
        <v>10</v>
      </c>
      <c r="K133" s="38">
        <v>11</v>
      </c>
      <c r="L133" s="38">
        <v>12</v>
      </c>
      <c r="M133" s="38">
        <v>13</v>
      </c>
      <c r="N133" s="38">
        <v>14</v>
      </c>
      <c r="O133" s="38">
        <v>15</v>
      </c>
      <c r="P133" s="38">
        <v>16</v>
      </c>
      <c r="Q133" s="38">
        <v>15</v>
      </c>
      <c r="R133" s="31"/>
    </row>
    <row r="134" spans="1:18" x14ac:dyDescent="0.25">
      <c r="A134" s="100">
        <v>1</v>
      </c>
      <c r="B134" s="81" t="s">
        <v>129</v>
      </c>
      <c r="C134" s="54">
        <f>Sheet1!C134/1000</f>
        <v>28481.984</v>
      </c>
      <c r="D134" s="54">
        <f>Sheet1!D134/1000</f>
        <v>31076.091</v>
      </c>
      <c r="E134" s="54">
        <f t="shared" ref="E134:E139" si="47">C134/D134*100-100</f>
        <v>-8.3475975147582062</v>
      </c>
      <c r="F134" s="54">
        <f>Sheet1!F134/1000</f>
        <v>10045.909</v>
      </c>
      <c r="G134" s="54">
        <f>Sheet1!G134/1000</f>
        <v>10179.73</v>
      </c>
      <c r="H134" s="54">
        <f t="shared" ref="H134:H139" si="48">F134/G134*100-100</f>
        <v>-1.3145829997455678</v>
      </c>
      <c r="I134" s="54">
        <f>Sheet1!I134/1000</f>
        <v>28809.198</v>
      </c>
      <c r="J134" s="54">
        <f>Sheet1!J134/1000</f>
        <v>31774.768</v>
      </c>
      <c r="K134" s="54">
        <f t="shared" ref="K134:K139" si="49">I134/J134*100-100</f>
        <v>-9.3330972550295144</v>
      </c>
      <c r="L134" s="54">
        <f>Sheet1!L134/1000</f>
        <v>16858.539000000001</v>
      </c>
      <c r="M134" s="54">
        <f>Sheet1!M134/1000</f>
        <v>17213.560000000001</v>
      </c>
      <c r="N134" s="54">
        <f t="shared" ref="N134:N139" si="50">L134/M134*100-100</f>
        <v>-2.0624496036845414</v>
      </c>
      <c r="O134" s="60">
        <v>3025</v>
      </c>
      <c r="P134" s="60">
        <v>145</v>
      </c>
      <c r="Q134" s="60">
        <v>2974</v>
      </c>
      <c r="R134" s="44">
        <f>O134*P134</f>
        <v>438625</v>
      </c>
    </row>
    <row r="135" spans="1:18" x14ac:dyDescent="0.25">
      <c r="A135" s="100">
        <v>2</v>
      </c>
      <c r="B135" s="81" t="s">
        <v>130</v>
      </c>
      <c r="C135" s="54">
        <f>Sheet1!C135/1000</f>
        <v>6465.982</v>
      </c>
      <c r="D135" s="54">
        <f>Sheet1!D135/1000</f>
        <v>5685.9440000000004</v>
      </c>
      <c r="E135" s="54">
        <f t="shared" si="47"/>
        <v>13.718707043192822</v>
      </c>
      <c r="F135" s="54">
        <f>Sheet1!F135/1000</f>
        <v>2213.0619999999999</v>
      </c>
      <c r="G135" s="54">
        <f>Sheet1!G135/1000</f>
        <v>1140.3150000000001</v>
      </c>
      <c r="H135" s="54">
        <f t="shared" si="48"/>
        <v>94.074619732266939</v>
      </c>
      <c r="I135" s="54">
        <f>Sheet1!I135/1000</f>
        <v>5981.9279999999999</v>
      </c>
      <c r="J135" s="54">
        <f>Sheet1!J135/1000</f>
        <v>4606.232</v>
      </c>
      <c r="K135" s="54">
        <f t="shared" si="49"/>
        <v>29.865972881956452</v>
      </c>
      <c r="L135" s="54">
        <f>Sheet1!L135/1000</f>
        <v>5981.9279999999999</v>
      </c>
      <c r="M135" s="54">
        <f>Sheet1!M135/1000</f>
        <v>4606.232</v>
      </c>
      <c r="N135" s="54">
        <v>0</v>
      </c>
      <c r="O135" s="60"/>
      <c r="P135" s="60">
        <v>120</v>
      </c>
      <c r="Q135" s="60">
        <v>1018</v>
      </c>
      <c r="R135" s="44">
        <f>O135*P135</f>
        <v>0</v>
      </c>
    </row>
    <row r="136" spans="1:18" ht="24" x14ac:dyDescent="0.25">
      <c r="A136" s="48">
        <v>3</v>
      </c>
      <c r="B136" s="124" t="s">
        <v>131</v>
      </c>
      <c r="C136" s="54">
        <f>Sheet1!C136/1000</f>
        <v>3919.9450000000002</v>
      </c>
      <c r="D136" s="54">
        <f>Sheet1!D136/1000</f>
        <v>5344.9040000000005</v>
      </c>
      <c r="E136" s="54">
        <f t="shared" si="47"/>
        <v>-26.660142071775283</v>
      </c>
      <c r="F136" s="54">
        <f>Sheet1!F136/1000</f>
        <v>1598.8340000000001</v>
      </c>
      <c r="G136" s="54">
        <f>Sheet1!G136/1000</f>
        <v>1985.095</v>
      </c>
      <c r="H136" s="54">
        <f t="shared" si="48"/>
        <v>-19.458061201101202</v>
      </c>
      <c r="I136" s="54">
        <f>Sheet1!I136/1000</f>
        <v>4012.2139999999999</v>
      </c>
      <c r="J136" s="54">
        <f>Sheet1!J136/1000</f>
        <v>4320.8860000000004</v>
      </c>
      <c r="K136" s="54">
        <f t="shared" si="49"/>
        <v>-7.1437200611171079</v>
      </c>
      <c r="L136" s="54">
        <f>Sheet1!L136/1000</f>
        <v>4012.2139999999999</v>
      </c>
      <c r="M136" s="54">
        <f>Sheet1!M136/1000</f>
        <v>4320.8860000000004</v>
      </c>
      <c r="N136" s="54">
        <f t="shared" si="50"/>
        <v>-7.1437200611171079</v>
      </c>
      <c r="O136" s="54">
        <v>1070</v>
      </c>
      <c r="P136" s="62">
        <v>306</v>
      </c>
      <c r="Q136" s="54">
        <v>1085</v>
      </c>
      <c r="R136" s="44">
        <f>O136*P136</f>
        <v>327420</v>
      </c>
    </row>
    <row r="137" spans="1:18" x14ac:dyDescent="0.25">
      <c r="A137" s="100">
        <v>4</v>
      </c>
      <c r="B137" s="81" t="s">
        <v>132</v>
      </c>
      <c r="C137" s="54">
        <f>Sheet1!C137/1000</f>
        <v>1757.107</v>
      </c>
      <c r="D137" s="54">
        <f>Sheet1!D137/1000</f>
        <v>1490.2439999999999</v>
      </c>
      <c r="E137" s="54">
        <f t="shared" si="47"/>
        <v>17.907335979879818</v>
      </c>
      <c r="F137" s="54">
        <f>Sheet1!F137/1000</f>
        <v>603.30700000000002</v>
      </c>
      <c r="G137" s="54">
        <f>Sheet1!G137/1000</f>
        <v>442.56400000000002</v>
      </c>
      <c r="H137" s="54">
        <f t="shared" si="48"/>
        <v>36.320848510046005</v>
      </c>
      <c r="I137" s="54">
        <f>Sheet1!I137/1000</f>
        <v>1390.7080000000001</v>
      </c>
      <c r="J137" s="54">
        <f>Sheet1!J137/1000</f>
        <v>1150.7729999999999</v>
      </c>
      <c r="K137" s="54">
        <f t="shared" si="49"/>
        <v>20.849898285760986</v>
      </c>
      <c r="L137" s="54">
        <f>Sheet1!L137/1000</f>
        <v>1390.7080000000001</v>
      </c>
      <c r="M137" s="54">
        <f>Sheet1!M137/1000</f>
        <v>1150.7729999999999</v>
      </c>
      <c r="N137" s="54">
        <f t="shared" si="50"/>
        <v>20.849898285760986</v>
      </c>
      <c r="O137" s="60">
        <v>575</v>
      </c>
      <c r="P137" s="60">
        <v>170</v>
      </c>
      <c r="Q137" s="60">
        <v>540</v>
      </c>
      <c r="R137" s="44">
        <f>O137*P137</f>
        <v>97750</v>
      </c>
    </row>
    <row r="138" spans="1:18" x14ac:dyDescent="0.25">
      <c r="A138" s="100">
        <v>5</v>
      </c>
      <c r="B138" s="81" t="s">
        <v>133</v>
      </c>
      <c r="C138" s="54">
        <f>Sheet1!C138/1000</f>
        <v>0</v>
      </c>
      <c r="D138" s="54">
        <f>Sheet1!D138/1000</f>
        <v>0</v>
      </c>
      <c r="E138" s="54">
        <v>0</v>
      </c>
      <c r="F138" s="54">
        <f>Sheet1!F138/1000</f>
        <v>0</v>
      </c>
      <c r="G138" s="60">
        <v>0</v>
      </c>
      <c r="H138" s="54">
        <v>0</v>
      </c>
      <c r="I138" s="54">
        <f>Sheet1!I138/1000</f>
        <v>0</v>
      </c>
      <c r="J138" s="54">
        <f>Sheet1!J138/1000</f>
        <v>0</v>
      </c>
      <c r="K138" s="54">
        <v>0</v>
      </c>
      <c r="L138" s="54">
        <f>Sheet1!L138/1000</f>
        <v>0</v>
      </c>
      <c r="M138" s="54">
        <f>Sheet1!M138/1000</f>
        <v>0</v>
      </c>
      <c r="N138" s="54">
        <v>0</v>
      </c>
      <c r="O138" s="60"/>
      <c r="P138" s="47">
        <v>189</v>
      </c>
      <c r="Q138" s="60">
        <v>380</v>
      </c>
      <c r="R138" s="44">
        <f>O138*P138</f>
        <v>0</v>
      </c>
    </row>
    <row r="139" spans="1:18" x14ac:dyDescent="0.25">
      <c r="A139" s="893" t="s">
        <v>134</v>
      </c>
      <c r="B139" s="894" t="s">
        <v>135</v>
      </c>
      <c r="C139" s="87">
        <f>SUM(C134:C138)</f>
        <v>40625.017999999996</v>
      </c>
      <c r="D139" s="87">
        <f>SUM(D134:D138)</f>
        <v>43597.183000000005</v>
      </c>
      <c r="E139" s="168">
        <f t="shared" si="47"/>
        <v>-6.8173326703241486</v>
      </c>
      <c r="F139" s="87">
        <f t="shared" ref="F139:G139" si="51">SUM(F134:F138)</f>
        <v>14461.112000000001</v>
      </c>
      <c r="G139" s="87">
        <f t="shared" si="51"/>
        <v>13747.704</v>
      </c>
      <c r="H139" s="168">
        <f t="shared" si="48"/>
        <v>5.1892883349830612</v>
      </c>
      <c r="I139" s="87">
        <f t="shared" ref="I139:J139" si="52">SUM(I134:I138)</f>
        <v>40194.048000000003</v>
      </c>
      <c r="J139" s="87">
        <f t="shared" si="52"/>
        <v>41852.659</v>
      </c>
      <c r="K139" s="168">
        <f t="shared" si="49"/>
        <v>-3.9629764025267775</v>
      </c>
      <c r="L139" s="87">
        <f t="shared" ref="L139:M139" si="53">SUM(L134:L138)</f>
        <v>28243.388999999999</v>
      </c>
      <c r="M139" s="87">
        <f t="shared" si="53"/>
        <v>27291.451000000001</v>
      </c>
      <c r="N139" s="168">
        <f t="shared" si="50"/>
        <v>3.4880446627773694</v>
      </c>
      <c r="O139" s="87">
        <f t="shared" ref="O139:R139" si="54">SUM(O134:O138)</f>
        <v>4670</v>
      </c>
      <c r="P139" s="87">
        <f>R139/O139</f>
        <v>184.96680942184153</v>
      </c>
      <c r="Q139" s="87">
        <f t="shared" ref="Q139" si="55">SUM(Q134:Q138)</f>
        <v>5997</v>
      </c>
      <c r="R139" s="87">
        <f t="shared" si="54"/>
        <v>863795</v>
      </c>
    </row>
    <row r="140" spans="1:18" x14ac:dyDescent="0.25">
      <c r="A140" s="71"/>
      <c r="B140" s="71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102"/>
      <c r="R140" s="105"/>
    </row>
    <row r="141" spans="1:18" x14ac:dyDescent="0.25">
      <c r="A141" s="952" t="s">
        <v>136</v>
      </c>
      <c r="B141" s="953"/>
      <c r="C141" s="38">
        <v>3</v>
      </c>
      <c r="D141" s="38">
        <v>4</v>
      </c>
      <c r="E141" s="38">
        <v>5</v>
      </c>
      <c r="F141" s="38">
        <v>6</v>
      </c>
      <c r="G141" s="38">
        <v>7</v>
      </c>
      <c r="H141" s="38">
        <v>8</v>
      </c>
      <c r="I141" s="38">
        <v>9</v>
      </c>
      <c r="J141" s="38">
        <v>10</v>
      </c>
      <c r="K141" s="38">
        <v>11</v>
      </c>
      <c r="L141" s="38">
        <v>12</v>
      </c>
      <c r="M141" s="38">
        <v>13</v>
      </c>
      <c r="N141" s="38">
        <v>14</v>
      </c>
      <c r="O141" s="38">
        <v>15</v>
      </c>
      <c r="P141" s="38">
        <v>16</v>
      </c>
      <c r="Q141" s="38">
        <v>15</v>
      </c>
      <c r="R141" s="105"/>
    </row>
    <row r="142" spans="1:18" x14ac:dyDescent="0.25">
      <c r="A142" s="100">
        <v>1</v>
      </c>
      <c r="B142" s="81" t="s">
        <v>137</v>
      </c>
      <c r="C142" s="54">
        <f>Sheet1!C142/1000</f>
        <v>4700.7340000000004</v>
      </c>
      <c r="D142" s="54">
        <f>Sheet1!D142/1000</f>
        <v>5237.8249999999998</v>
      </c>
      <c r="E142" s="54">
        <f t="shared" ref="E142:E151" si="56">C142/D142*100-100</f>
        <v>-10.254084472085253</v>
      </c>
      <c r="F142" s="54">
        <f>Sheet1!F142/1000</f>
        <v>1743.81</v>
      </c>
      <c r="G142" s="54">
        <f>Sheet1!G142/1000</f>
        <v>1745.9960000000001</v>
      </c>
      <c r="H142" s="54">
        <f t="shared" ref="H142:H151" si="57">F142/G142*100-100</f>
        <v>-0.12520074501890122</v>
      </c>
      <c r="I142" s="54">
        <f>Sheet1!I142/1000</f>
        <v>4737.1610000000001</v>
      </c>
      <c r="J142" s="54">
        <f>Sheet1!J142/1000</f>
        <v>5385.5640000000003</v>
      </c>
      <c r="K142" s="54">
        <f t="shared" ref="K142:K151" si="58">I142/J142*100-100</f>
        <v>-12.03964895784361</v>
      </c>
      <c r="L142" s="54">
        <f>Sheet1!L142/1000</f>
        <v>4737.1610000000001</v>
      </c>
      <c r="M142" s="54">
        <f>Sheet1!M142/1000</f>
        <v>5385.5640000000003</v>
      </c>
      <c r="N142" s="54">
        <f t="shared" ref="N142:N151" si="59">L142/M142*100-100</f>
        <v>-12.03964895784361</v>
      </c>
      <c r="O142" s="60">
        <v>517</v>
      </c>
      <c r="P142" s="75">
        <v>150</v>
      </c>
      <c r="Q142" s="60">
        <v>498</v>
      </c>
      <c r="R142" s="44">
        <f t="shared" ref="R142:R148" si="60">O142*P142</f>
        <v>77550</v>
      </c>
    </row>
    <row r="143" spans="1:18" x14ac:dyDescent="0.25">
      <c r="A143" s="100">
        <v>2</v>
      </c>
      <c r="B143" s="81" t="s">
        <v>138</v>
      </c>
      <c r="C143" s="54">
        <f>Sheet1!C143/1000</f>
        <v>7634.482</v>
      </c>
      <c r="D143" s="54">
        <f>Sheet1!D143/1000</f>
        <v>11523.206</v>
      </c>
      <c r="E143" s="54">
        <f t="shared" si="56"/>
        <v>-33.746893008768566</v>
      </c>
      <c r="F143" s="54">
        <f>Sheet1!F143/1000</f>
        <v>2437.4169999999999</v>
      </c>
      <c r="G143" s="54">
        <f>Sheet1!G143/1000</f>
        <v>3676.4549999999999</v>
      </c>
      <c r="H143" s="54">
        <f t="shared" si="57"/>
        <v>-33.701976496380354</v>
      </c>
      <c r="I143" s="54">
        <f>Sheet1!I143/1000</f>
        <v>7866.5990000000002</v>
      </c>
      <c r="J143" s="54">
        <f>Sheet1!J143/1000</f>
        <v>11169.039000000001</v>
      </c>
      <c r="K143" s="54">
        <f t="shared" si="58"/>
        <v>-29.567807937639046</v>
      </c>
      <c r="L143" s="54">
        <f>Sheet1!L143/1000</f>
        <v>7860.46</v>
      </c>
      <c r="M143" s="54">
        <f>Sheet1!M143/1000</f>
        <v>11152.044</v>
      </c>
      <c r="N143" s="54">
        <f t="shared" si="59"/>
        <v>-29.515521997581786</v>
      </c>
      <c r="O143" s="60">
        <v>693</v>
      </c>
      <c r="P143" s="60">
        <v>150</v>
      </c>
      <c r="Q143" s="60">
        <v>699</v>
      </c>
      <c r="R143" s="44">
        <f t="shared" si="60"/>
        <v>103950</v>
      </c>
    </row>
    <row r="144" spans="1:18" x14ac:dyDescent="0.25">
      <c r="A144" s="100">
        <v>3</v>
      </c>
      <c r="B144" s="81" t="s">
        <v>232</v>
      </c>
      <c r="C144" s="54">
        <f>Sheet1!C144/1000</f>
        <v>6549.6490000000003</v>
      </c>
      <c r="D144" s="54">
        <f>Sheet1!D144/1000</f>
        <v>7626.7950000000001</v>
      </c>
      <c r="E144" s="54">
        <f t="shared" si="56"/>
        <v>-14.123180182501301</v>
      </c>
      <c r="F144" s="54">
        <f>Sheet1!F144/1000</f>
        <v>2163.2910000000002</v>
      </c>
      <c r="G144" s="54">
        <f>Sheet1!G144/1000</f>
        <v>2653.1080000000002</v>
      </c>
      <c r="H144" s="54">
        <f t="shared" si="57"/>
        <v>-18.462007577527942</v>
      </c>
      <c r="I144" s="54">
        <f>Sheet1!I144/1000</f>
        <v>6695.732</v>
      </c>
      <c r="J144" s="54">
        <f>Sheet1!J144/1000</f>
        <v>7832.3360000000002</v>
      </c>
      <c r="K144" s="54">
        <f t="shared" si="58"/>
        <v>-14.51168591337246</v>
      </c>
      <c r="L144" s="54">
        <f>Sheet1!L144/1000</f>
        <v>6695.732</v>
      </c>
      <c r="M144" s="54">
        <f>Sheet1!M144/1000</f>
        <v>7832.3360000000002</v>
      </c>
      <c r="N144" s="54">
        <f t="shared" si="59"/>
        <v>-14.51168591337246</v>
      </c>
      <c r="O144" s="60">
        <v>500</v>
      </c>
      <c r="P144" s="60">
        <v>180</v>
      </c>
      <c r="Q144" s="60">
        <v>560</v>
      </c>
      <c r="R144" s="44">
        <f t="shared" si="60"/>
        <v>90000</v>
      </c>
    </row>
    <row r="145" spans="1:19" x14ac:dyDescent="0.25">
      <c r="A145" s="100">
        <v>4</v>
      </c>
      <c r="B145" s="81" t="s">
        <v>140</v>
      </c>
      <c r="C145" s="54">
        <f>Sheet1!C145/1000</f>
        <v>1484.47</v>
      </c>
      <c r="D145" s="54">
        <f>Sheet1!D145/1000</f>
        <v>1120.9079999999999</v>
      </c>
      <c r="E145" s="54">
        <f t="shared" si="56"/>
        <v>32.434597665464082</v>
      </c>
      <c r="F145" s="54">
        <f>Sheet1!F145/1000</f>
        <v>522.18100000000004</v>
      </c>
      <c r="G145" s="54">
        <f>Sheet1!G145/1000</f>
        <v>410.51499999999999</v>
      </c>
      <c r="H145" s="54">
        <f t="shared" si="57"/>
        <v>27.201442091032007</v>
      </c>
      <c r="I145" s="54">
        <f>Sheet1!I145/1000</f>
        <v>1187.9169999999999</v>
      </c>
      <c r="J145" s="54">
        <f>Sheet1!J145/1000</f>
        <v>1275.3499999999999</v>
      </c>
      <c r="K145" s="54">
        <f t="shared" si="58"/>
        <v>-6.8556082643980005</v>
      </c>
      <c r="L145" s="54">
        <f>Sheet1!L145/1000</f>
        <v>0</v>
      </c>
      <c r="M145" s="54">
        <f>Sheet1!M145/1000</f>
        <v>0</v>
      </c>
      <c r="N145" s="54">
        <v>0</v>
      </c>
      <c r="O145" s="60">
        <v>344</v>
      </c>
      <c r="P145" s="75">
        <v>58</v>
      </c>
      <c r="Q145" s="60">
        <v>358</v>
      </c>
      <c r="R145" s="44">
        <f t="shared" si="60"/>
        <v>19952</v>
      </c>
    </row>
    <row r="146" spans="1:19" x14ac:dyDescent="0.25">
      <c r="A146" s="100">
        <v>5</v>
      </c>
      <c r="B146" s="81" t="s">
        <v>141</v>
      </c>
      <c r="C146" s="54">
        <f>Sheet1!C146/1000</f>
        <v>7286.7479999999996</v>
      </c>
      <c r="D146" s="54">
        <f>Sheet1!D146/1000</f>
        <v>7228.9769999999999</v>
      </c>
      <c r="E146" s="54">
        <f t="shared" si="56"/>
        <v>0.7991587191382763</v>
      </c>
      <c r="F146" s="54">
        <f>Sheet1!F146/1000</f>
        <v>2587.395</v>
      </c>
      <c r="G146" s="54">
        <f>Sheet1!G146/1000</f>
        <v>2178.8200000000002</v>
      </c>
      <c r="H146" s="54">
        <f t="shared" si="57"/>
        <v>18.752122708622096</v>
      </c>
      <c r="I146" s="54">
        <f>Sheet1!I146/1000</f>
        <v>6870.0889999999999</v>
      </c>
      <c r="J146" s="54">
        <f>Sheet1!J146/1000</f>
        <v>6932.9319999999998</v>
      </c>
      <c r="K146" s="54">
        <f t="shared" si="58"/>
        <v>-0.90644189211721482</v>
      </c>
      <c r="L146" s="54">
        <f>Sheet1!L146/1000</f>
        <v>6387.0889999999999</v>
      </c>
      <c r="M146" s="54">
        <f>Sheet1!M146/1000</f>
        <v>6932.9319999999998</v>
      </c>
      <c r="N146" s="54">
        <f t="shared" si="59"/>
        <v>-7.8731913135741109</v>
      </c>
      <c r="O146" s="60">
        <v>965</v>
      </c>
      <c r="P146" s="60">
        <v>100</v>
      </c>
      <c r="Q146" s="60">
        <v>985</v>
      </c>
      <c r="R146" s="44">
        <f t="shared" si="60"/>
        <v>96500</v>
      </c>
    </row>
    <row r="147" spans="1:19" x14ac:dyDescent="0.25">
      <c r="A147" s="100">
        <v>6</v>
      </c>
      <c r="B147" s="183" t="s">
        <v>231</v>
      </c>
      <c r="C147" s="54">
        <f>Sheet1!C147/1000</f>
        <v>8396.6389999999992</v>
      </c>
      <c r="D147" s="54">
        <f>Sheet1!D147/1000</f>
        <v>8833.7250000000004</v>
      </c>
      <c r="E147" s="54">
        <f t="shared" si="56"/>
        <v>-4.9479240071430866</v>
      </c>
      <c r="F147" s="54">
        <f>Sheet1!F147/1000</f>
        <v>2793.3440000000001</v>
      </c>
      <c r="G147" s="54">
        <f>Sheet1!G147/1000</f>
        <v>3063.7040000000002</v>
      </c>
      <c r="H147" s="54">
        <f t="shared" si="57"/>
        <v>-8.8246122993605098</v>
      </c>
      <c r="I147" s="54">
        <f>Sheet1!I147/1000</f>
        <v>9662.2540000000008</v>
      </c>
      <c r="J147" s="54">
        <f>Sheet1!J147/1000</f>
        <v>8911.9699999999993</v>
      </c>
      <c r="K147" s="54">
        <f t="shared" si="58"/>
        <v>8.4188344440118357</v>
      </c>
      <c r="L147" s="54">
        <f>Sheet1!L147/1000</f>
        <v>9649.9279999999999</v>
      </c>
      <c r="M147" s="54">
        <f>Sheet1!M147/1000</f>
        <v>8909.3379999999997</v>
      </c>
      <c r="N147" s="54">
        <f t="shared" si="59"/>
        <v>8.3125143529182708</v>
      </c>
      <c r="O147" s="60">
        <v>639</v>
      </c>
      <c r="P147" s="60">
        <v>130</v>
      </c>
      <c r="Q147" s="60">
        <v>638</v>
      </c>
      <c r="R147" s="44">
        <f t="shared" si="60"/>
        <v>83070</v>
      </c>
    </row>
    <row r="148" spans="1:19" x14ac:dyDescent="0.25">
      <c r="A148" s="100">
        <v>7</v>
      </c>
      <c r="B148" s="81" t="s">
        <v>143</v>
      </c>
      <c r="C148" s="54">
        <f>Sheet1!C148/1000</f>
        <v>759.79899999999998</v>
      </c>
      <c r="D148" s="54">
        <f>Sheet1!D148/1000</f>
        <v>890.57899999999995</v>
      </c>
      <c r="E148" s="54">
        <f t="shared" si="56"/>
        <v>-14.684828633956101</v>
      </c>
      <c r="F148" s="54">
        <f>Sheet1!F148/1000</f>
        <v>253.55799999999999</v>
      </c>
      <c r="G148" s="54">
        <f>Sheet1!G148/1000</f>
        <v>307.40199999999999</v>
      </c>
      <c r="H148" s="54">
        <f t="shared" si="57"/>
        <v>-17.515826182002712</v>
      </c>
      <c r="I148" s="54">
        <f>Sheet1!I148/1000</f>
        <v>596.27599999999995</v>
      </c>
      <c r="J148" s="54">
        <f>Sheet1!J148/1000</f>
        <v>530.80100000000004</v>
      </c>
      <c r="K148" s="54">
        <f t="shared" si="58"/>
        <v>12.335131245042845</v>
      </c>
      <c r="L148" s="54">
        <f>Sheet1!L148/1000</f>
        <v>0</v>
      </c>
      <c r="M148" s="54">
        <f>Sheet1!M148/1000</f>
        <v>0</v>
      </c>
      <c r="N148" s="54">
        <v>0</v>
      </c>
      <c r="O148" s="60">
        <v>35</v>
      </c>
      <c r="P148" s="60"/>
      <c r="Q148" s="60">
        <v>36</v>
      </c>
      <c r="R148" s="44">
        <f t="shared" si="60"/>
        <v>0</v>
      </c>
    </row>
    <row r="149" spans="1:19" x14ac:dyDescent="0.25">
      <c r="A149" s="100">
        <v>8</v>
      </c>
      <c r="B149" s="81" t="s">
        <v>144</v>
      </c>
      <c r="C149" s="54">
        <f>Sheet1!C149/1000</f>
        <v>0</v>
      </c>
      <c r="D149" s="54">
        <f>Sheet1!D149/1000</f>
        <v>0</v>
      </c>
      <c r="E149" s="54">
        <v>0</v>
      </c>
      <c r="F149" s="54">
        <f>Sheet1!F149/1000</f>
        <v>0</v>
      </c>
      <c r="G149" s="54">
        <f>Sheet1!G149/1000</f>
        <v>0</v>
      </c>
      <c r="H149" s="54">
        <v>0</v>
      </c>
      <c r="I149" s="54">
        <f>Sheet1!I149/1000</f>
        <v>0</v>
      </c>
      <c r="J149" s="54">
        <f>Sheet1!J149/1000</f>
        <v>0</v>
      </c>
      <c r="K149" s="54">
        <v>0</v>
      </c>
      <c r="L149" s="54">
        <f>Sheet1!L149/1000</f>
        <v>0</v>
      </c>
      <c r="M149" s="54">
        <f>Sheet1!M149/1000</f>
        <v>0</v>
      </c>
      <c r="N149" s="54">
        <v>0</v>
      </c>
      <c r="O149" s="60"/>
      <c r="P149" s="47">
        <v>0</v>
      </c>
      <c r="Q149" s="60">
        <v>0</v>
      </c>
      <c r="R149" s="44">
        <v>0</v>
      </c>
    </row>
    <row r="150" spans="1:19" x14ac:dyDescent="0.25">
      <c r="A150" s="893" t="s">
        <v>145</v>
      </c>
      <c r="B150" s="894" t="s">
        <v>135</v>
      </c>
      <c r="C150" s="87">
        <f>SUM(C142:C149)</f>
        <v>36812.521000000001</v>
      </c>
      <c r="D150" s="87">
        <f>SUM(D142:D149)</f>
        <v>42462.014999999999</v>
      </c>
      <c r="E150" s="168">
        <f t="shared" si="56"/>
        <v>-13.30481843595976</v>
      </c>
      <c r="F150" s="87">
        <f>SUM(F142:F149)</f>
        <v>12500.996000000003</v>
      </c>
      <c r="G150" s="87">
        <f>SUM(G142:G149)</f>
        <v>14036</v>
      </c>
      <c r="H150" s="168">
        <f t="shared" si="57"/>
        <v>-10.936192647477895</v>
      </c>
      <c r="I150" s="87">
        <f>SUM(I142:I149)</f>
        <v>37616.027999999998</v>
      </c>
      <c r="J150" s="87">
        <f>SUM(J142:J149)</f>
        <v>42037.991999999998</v>
      </c>
      <c r="K150" s="168">
        <f t="shared" si="58"/>
        <v>-10.518970554064524</v>
      </c>
      <c r="L150" s="87">
        <f>SUM(L142:L149)</f>
        <v>35330.369999999995</v>
      </c>
      <c r="M150" s="87">
        <f>SUM(M142:M149)</f>
        <v>40212.214</v>
      </c>
      <c r="N150" s="168">
        <f t="shared" si="59"/>
        <v>-12.140201979428454</v>
      </c>
      <c r="O150" s="87">
        <f>SUM(O142:O149)</f>
        <v>3693</v>
      </c>
      <c r="P150" s="87">
        <f>R150/O150</f>
        <v>127.5445437313837</v>
      </c>
      <c r="Q150" s="87">
        <f>SUM(Q142:Q149)</f>
        <v>3774</v>
      </c>
      <c r="R150" s="70">
        <f>SUM(R142:R149)</f>
        <v>471022</v>
      </c>
    </row>
    <row r="151" spans="1:19" x14ac:dyDescent="0.25">
      <c r="A151" s="913" t="s">
        <v>146</v>
      </c>
      <c r="B151" s="914" t="s">
        <v>78</v>
      </c>
      <c r="C151" s="106">
        <f>C139+C150</f>
        <v>77437.53899999999</v>
      </c>
      <c r="D151" s="106">
        <f>D139+D150</f>
        <v>86059.198000000004</v>
      </c>
      <c r="E151" s="236">
        <f t="shared" si="56"/>
        <v>-10.01828880627032</v>
      </c>
      <c r="F151" s="106">
        <f>F139+F150</f>
        <v>26962.108000000004</v>
      </c>
      <c r="G151" s="106">
        <f>G139+G150</f>
        <v>27783.703999999998</v>
      </c>
      <c r="H151" s="236">
        <f t="shared" si="57"/>
        <v>-2.9571147173177366</v>
      </c>
      <c r="I151" s="106">
        <f>I139+I150</f>
        <v>77810.076000000001</v>
      </c>
      <c r="J151" s="106">
        <f>J139+J150</f>
        <v>83890.650999999998</v>
      </c>
      <c r="K151" s="236">
        <f t="shared" si="58"/>
        <v>-7.2482152987464588</v>
      </c>
      <c r="L151" s="106">
        <f>L139+L150</f>
        <v>63573.758999999991</v>
      </c>
      <c r="M151" s="106">
        <f>M139+M150</f>
        <v>67503.665000000008</v>
      </c>
      <c r="N151" s="236">
        <f t="shared" si="59"/>
        <v>-5.8217668625844539</v>
      </c>
      <c r="O151" s="106">
        <f>O139+O150</f>
        <v>8363</v>
      </c>
      <c r="P151" s="106">
        <f>R151/O151</f>
        <v>159.60982900872892</v>
      </c>
      <c r="Q151" s="106">
        <f>Q139+Q150</f>
        <v>9771</v>
      </c>
      <c r="R151">
        <f>R139+R150</f>
        <v>1334817</v>
      </c>
    </row>
    <row r="152" spans="1:19" s="111" customFormat="1" x14ac:dyDescent="0.25">
      <c r="A152" s="71"/>
      <c r="B152" s="71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102"/>
      <c r="R152"/>
      <c r="S152"/>
    </row>
    <row r="153" spans="1:19" x14ac:dyDescent="0.25">
      <c r="A153" s="911" t="s">
        <v>147</v>
      </c>
      <c r="B153" s="912"/>
      <c r="C153" s="38">
        <v>3</v>
      </c>
      <c r="D153" s="38">
        <v>4</v>
      </c>
      <c r="E153" s="38">
        <v>5</v>
      </c>
      <c r="F153" s="38">
        <v>6</v>
      </c>
      <c r="G153" s="38">
        <v>7</v>
      </c>
      <c r="H153" s="38">
        <v>8</v>
      </c>
      <c r="I153" s="38">
        <v>9</v>
      </c>
      <c r="J153" s="38">
        <v>10</v>
      </c>
      <c r="K153" s="38">
        <v>11</v>
      </c>
      <c r="L153" s="38">
        <v>12</v>
      </c>
      <c r="M153" s="38">
        <v>13</v>
      </c>
      <c r="N153" s="38">
        <v>14</v>
      </c>
      <c r="O153" s="38">
        <v>15</v>
      </c>
      <c r="P153" s="38">
        <v>16</v>
      </c>
      <c r="Q153" s="102">
        <v>17</v>
      </c>
    </row>
    <row r="154" spans="1:19" x14ac:dyDescent="0.25">
      <c r="A154" s="100">
        <v>1</v>
      </c>
      <c r="B154" s="114" t="s">
        <v>148</v>
      </c>
      <c r="C154" s="54">
        <f>Sheet1!C154/1000</f>
        <v>4.6779999999999999</v>
      </c>
      <c r="D154" s="54">
        <f>Sheet1!D154/1000</f>
        <v>5.5309999999999997</v>
      </c>
      <c r="E154" s="54">
        <f t="shared" ref="E154:E160" si="61">C154/D154*100-100</f>
        <v>-15.422165973603313</v>
      </c>
      <c r="F154" s="54">
        <f>Sheet1!F154/1000</f>
        <v>2.81</v>
      </c>
      <c r="G154" s="54">
        <f>Sheet1!G154/1000</f>
        <v>2.97</v>
      </c>
      <c r="H154" s="54">
        <f t="shared" ref="H154:H160" si="62">F154/G154*100-100</f>
        <v>-5.3872053872053982</v>
      </c>
      <c r="I154" s="54">
        <f>Sheet1!I154/1000</f>
        <v>4.6779999999999999</v>
      </c>
      <c r="J154" s="54">
        <f>Sheet1!J154/1000</f>
        <v>5.5309999999999997</v>
      </c>
      <c r="K154" s="54">
        <f t="shared" ref="K154:K160" si="63">I154/J154*100-100</f>
        <v>-15.422165973603313</v>
      </c>
      <c r="L154" s="54">
        <f>Sheet1!L154/1000</f>
        <v>0</v>
      </c>
      <c r="M154" s="54">
        <f>Sheet1!M154/1000</f>
        <v>0</v>
      </c>
      <c r="N154" s="54">
        <v>0</v>
      </c>
      <c r="O154" s="75">
        <v>30</v>
      </c>
      <c r="P154" s="75">
        <v>96</v>
      </c>
      <c r="Q154" s="75">
        <v>30</v>
      </c>
      <c r="R154" s="44">
        <f>O154*P154</f>
        <v>2880</v>
      </c>
    </row>
    <row r="155" spans="1:19" x14ac:dyDescent="0.25">
      <c r="A155" s="100">
        <v>2</v>
      </c>
      <c r="B155" s="114" t="s">
        <v>149</v>
      </c>
      <c r="C155" s="54">
        <f>Sheet1!C155/1000</f>
        <v>2383.6770000000001</v>
      </c>
      <c r="D155" s="54">
        <f>Sheet1!D155/1000</f>
        <v>2564.4009999999998</v>
      </c>
      <c r="E155" s="54">
        <f t="shared" si="61"/>
        <v>-7.0474157512806954</v>
      </c>
      <c r="F155" s="54">
        <f>Sheet1!F155/1000</f>
        <v>865.14700000000005</v>
      </c>
      <c r="G155" s="54">
        <f>Sheet1!G155/1000</f>
        <v>950.80200000000002</v>
      </c>
      <c r="H155" s="54">
        <f t="shared" si="62"/>
        <v>-9.0087105412062698</v>
      </c>
      <c r="I155" s="54">
        <f>Sheet1!I155/1000</f>
        <v>2315.4679999999998</v>
      </c>
      <c r="J155" s="54">
        <f>Sheet1!J155/1000</f>
        <v>1964.5719999999999</v>
      </c>
      <c r="K155" s="54">
        <f t="shared" si="63"/>
        <v>17.861193175918217</v>
      </c>
      <c r="L155" s="54">
        <f>Sheet1!L155/1000</f>
        <v>1032.327</v>
      </c>
      <c r="M155" s="54">
        <f>Sheet1!M155/1000</f>
        <v>980.73900000000003</v>
      </c>
      <c r="N155" s="54">
        <f t="shared" ref="N155:N160" si="64">L155/M155*100-100</f>
        <v>5.2601150764882192</v>
      </c>
      <c r="O155" s="75">
        <v>627</v>
      </c>
      <c r="P155" s="75">
        <v>110</v>
      </c>
      <c r="Q155" s="75">
        <v>595</v>
      </c>
      <c r="R155" s="44">
        <f>O155*P155</f>
        <v>68970</v>
      </c>
    </row>
    <row r="156" spans="1:19" x14ac:dyDescent="0.25">
      <c r="A156" s="100">
        <v>3</v>
      </c>
      <c r="B156" s="114" t="s">
        <v>150</v>
      </c>
      <c r="C156" s="54">
        <f>Sheet1!C156/1000</f>
        <v>0</v>
      </c>
      <c r="D156" s="54">
        <f>Sheet1!D156/1000</f>
        <v>0</v>
      </c>
      <c r="E156" s="54">
        <v>0</v>
      </c>
      <c r="F156" s="54">
        <f>Sheet1!F156/1000</f>
        <v>0</v>
      </c>
      <c r="G156" s="54">
        <f>Sheet1!G156/1000</f>
        <v>0</v>
      </c>
      <c r="H156" s="54">
        <v>0</v>
      </c>
      <c r="I156" s="54">
        <f>Sheet1!I156/1000</f>
        <v>0</v>
      </c>
      <c r="J156" s="54">
        <f>Sheet1!J156/1000</f>
        <v>0</v>
      </c>
      <c r="K156" s="54">
        <v>0</v>
      </c>
      <c r="L156" s="54">
        <f>Sheet1!L156/1000</f>
        <v>0</v>
      </c>
      <c r="M156" s="54">
        <f>Sheet1!M156/1000</f>
        <v>0</v>
      </c>
      <c r="N156" s="54">
        <v>0</v>
      </c>
      <c r="O156" s="60"/>
      <c r="P156" s="47">
        <v>0</v>
      </c>
      <c r="Q156" s="60">
        <v>0</v>
      </c>
      <c r="R156" s="44">
        <v>0</v>
      </c>
    </row>
    <row r="157" spans="1:19" x14ac:dyDescent="0.25">
      <c r="A157" s="100">
        <v>4</v>
      </c>
      <c r="B157" s="114" t="s">
        <v>151</v>
      </c>
      <c r="C157" s="54">
        <f>Sheet1!C157/1000</f>
        <v>554.19399999999996</v>
      </c>
      <c r="D157" s="54">
        <f>Sheet1!D157/1000</f>
        <v>554.55399999999997</v>
      </c>
      <c r="E157" s="54">
        <f t="shared" si="61"/>
        <v>-6.4917032426052401E-2</v>
      </c>
      <c r="F157" s="54">
        <f>Sheet1!F157/1000</f>
        <v>212.33799999999999</v>
      </c>
      <c r="G157" s="54">
        <f>Sheet1!G157/1000</f>
        <v>119.22</v>
      </c>
      <c r="H157" s="54">
        <f t="shared" si="62"/>
        <v>78.106022479449763</v>
      </c>
      <c r="I157" s="54">
        <f>Sheet1!I157/1000</f>
        <v>579.9</v>
      </c>
      <c r="J157" s="54">
        <f>Sheet1!J157/1000</f>
        <v>534.05499999999995</v>
      </c>
      <c r="K157" s="54">
        <f t="shared" si="63"/>
        <v>8.5843218395109204</v>
      </c>
      <c r="L157" s="54">
        <f>Sheet1!L157/1000</f>
        <v>511.55799999999999</v>
      </c>
      <c r="M157" s="54">
        <f>Sheet1!M157/1000</f>
        <v>357.78199999999998</v>
      </c>
      <c r="N157" s="54">
        <f t="shared" si="64"/>
        <v>42.980362343549984</v>
      </c>
      <c r="O157" s="75">
        <v>290</v>
      </c>
      <c r="P157" s="75">
        <v>100</v>
      </c>
      <c r="Q157" s="75">
        <v>290</v>
      </c>
      <c r="R157" s="44">
        <f>O157*P157</f>
        <v>29000</v>
      </c>
    </row>
    <row r="158" spans="1:19" x14ac:dyDescent="0.25">
      <c r="A158" s="100">
        <v>5</v>
      </c>
      <c r="B158" s="83" t="s">
        <v>259</v>
      </c>
      <c r="C158" s="54"/>
      <c r="D158" s="54"/>
      <c r="E158" s="54" t="e">
        <f t="shared" si="61"/>
        <v>#DIV/0!</v>
      </c>
      <c r="F158" s="54"/>
      <c r="G158" s="54"/>
      <c r="H158" s="54" t="e">
        <f t="shared" si="62"/>
        <v>#DIV/0!</v>
      </c>
      <c r="I158" s="54"/>
      <c r="J158" s="54"/>
      <c r="K158" s="54" t="e">
        <f t="shared" si="63"/>
        <v>#DIV/0!</v>
      </c>
      <c r="L158" s="54"/>
      <c r="M158" s="54"/>
      <c r="N158" s="54">
        <v>0</v>
      </c>
      <c r="O158" s="60"/>
      <c r="P158" s="49">
        <v>145</v>
      </c>
      <c r="Q158" s="60">
        <v>127</v>
      </c>
      <c r="R158" s="44">
        <f>O158*P158</f>
        <v>0</v>
      </c>
    </row>
    <row r="159" spans="1:19" x14ac:dyDescent="0.25">
      <c r="A159" s="100">
        <v>6</v>
      </c>
      <c r="B159" s="114" t="s">
        <v>153</v>
      </c>
      <c r="C159" s="54">
        <f>Sheet1!C159/1000</f>
        <v>0</v>
      </c>
      <c r="D159" s="54">
        <f>Sheet1!D159/1000</f>
        <v>0</v>
      </c>
      <c r="E159" s="54">
        <v>0</v>
      </c>
      <c r="F159" s="54">
        <f>Sheet1!F159/1000</f>
        <v>0</v>
      </c>
      <c r="G159" s="54">
        <f>Sheet1!G159/1000</f>
        <v>0</v>
      </c>
      <c r="H159" s="54">
        <v>0</v>
      </c>
      <c r="I159" s="54">
        <f>Sheet1!I159/1000</f>
        <v>144.51900000000001</v>
      </c>
      <c r="J159" s="54">
        <f>Sheet1!J159/1000</f>
        <v>1.3169999999999999</v>
      </c>
      <c r="K159" s="54">
        <v>0</v>
      </c>
      <c r="L159" s="54">
        <f>Sheet1!L159/1000</f>
        <v>0</v>
      </c>
      <c r="M159" s="54">
        <f>Sheet1!M159/1000</f>
        <v>0</v>
      </c>
      <c r="N159" s="54">
        <v>0</v>
      </c>
      <c r="O159" s="60">
        <v>201</v>
      </c>
      <c r="P159" s="47">
        <v>65</v>
      </c>
      <c r="Q159" s="60">
        <v>385</v>
      </c>
      <c r="R159" s="44">
        <f>O159*P159</f>
        <v>13065</v>
      </c>
    </row>
    <row r="160" spans="1:19" x14ac:dyDescent="0.25">
      <c r="A160" s="893" t="s">
        <v>154</v>
      </c>
      <c r="B160" s="894" t="s">
        <v>155</v>
      </c>
      <c r="C160" s="87">
        <f>SUM(C154:C159)</f>
        <v>2942.549</v>
      </c>
      <c r="D160" s="87">
        <f>SUM(D154:D159)</f>
        <v>3124.4859999999999</v>
      </c>
      <c r="E160" s="168">
        <f t="shared" si="61"/>
        <v>-5.8229417574602707</v>
      </c>
      <c r="F160" s="87">
        <f>SUM(F154:F159)</f>
        <v>1080.2950000000001</v>
      </c>
      <c r="G160" s="87">
        <f>SUM(G154:G159)</f>
        <v>1072.992</v>
      </c>
      <c r="H160" s="168">
        <f t="shared" si="62"/>
        <v>0.68062017237780026</v>
      </c>
      <c r="I160" s="87">
        <f>SUM(I154:I159)</f>
        <v>3044.5649999999996</v>
      </c>
      <c r="J160" s="87">
        <f>SUM(J154:J159)</f>
        <v>2505.4749999999999</v>
      </c>
      <c r="K160" s="168">
        <f t="shared" si="63"/>
        <v>21.516478911184493</v>
      </c>
      <c r="L160" s="87">
        <f>SUM(L154:L159)</f>
        <v>1543.885</v>
      </c>
      <c r="M160" s="87">
        <f>SUM(M154:M159)</f>
        <v>1338.521</v>
      </c>
      <c r="N160" s="168">
        <f t="shared" si="64"/>
        <v>15.342605756652318</v>
      </c>
      <c r="O160" s="87">
        <f>SUM(O154:O159)</f>
        <v>1148</v>
      </c>
      <c r="P160" s="87">
        <f>R160/O160</f>
        <v>99.229094076655059</v>
      </c>
      <c r="Q160" s="87">
        <f>SUM(Q154:Q159)</f>
        <v>1427</v>
      </c>
      <c r="R160" s="70">
        <f>SUM(R154:R159)</f>
        <v>113915</v>
      </c>
    </row>
    <row r="161" spans="1:20" ht="17.25" customHeight="1" x14ac:dyDescent="0.25">
      <c r="A161" s="71"/>
      <c r="B161" s="71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60"/>
      <c r="R161" s="121"/>
    </row>
    <row r="162" spans="1:20" x14ac:dyDescent="0.25">
      <c r="A162" s="959" t="s">
        <v>242</v>
      </c>
      <c r="B162" s="960"/>
      <c r="C162" s="961"/>
      <c r="D162" s="117"/>
      <c r="E162" s="117"/>
      <c r="F162" s="117"/>
      <c r="G162" s="117"/>
      <c r="H162" s="117"/>
      <c r="I162" s="117"/>
      <c r="J162" s="117"/>
      <c r="K162" s="117"/>
      <c r="L162" s="117"/>
      <c r="M162" s="119"/>
      <c r="N162" s="119"/>
      <c r="O162" s="119"/>
      <c r="P162" s="117"/>
      <c r="R162" s="121"/>
    </row>
    <row r="163" spans="1:20" x14ac:dyDescent="0.25">
      <c r="A163" s="917" t="s">
        <v>157</v>
      </c>
      <c r="B163" s="918"/>
      <c r="C163" s="38">
        <v>3</v>
      </c>
      <c r="D163" s="38">
        <v>4</v>
      </c>
      <c r="E163" s="38">
        <v>5</v>
      </c>
      <c r="F163" s="38">
        <v>6</v>
      </c>
      <c r="G163" s="38">
        <v>7</v>
      </c>
      <c r="H163" s="38">
        <v>8</v>
      </c>
      <c r="I163" s="38">
        <v>9</v>
      </c>
      <c r="J163" s="38">
        <v>10</v>
      </c>
      <c r="K163" s="38">
        <v>11</v>
      </c>
      <c r="L163" s="38">
        <v>12</v>
      </c>
      <c r="M163" s="38">
        <v>13</v>
      </c>
      <c r="N163" s="38">
        <v>14</v>
      </c>
      <c r="O163" s="38">
        <v>15</v>
      </c>
      <c r="P163" s="38">
        <v>16</v>
      </c>
      <c r="Q163" s="119"/>
      <c r="R163" s="44"/>
    </row>
    <row r="164" spans="1:20" x14ac:dyDescent="0.25">
      <c r="A164" s="122">
        <v>1</v>
      </c>
      <c r="B164" s="183" t="s">
        <v>158</v>
      </c>
      <c r="C164" s="54">
        <f>Sheet1!C164/1000</f>
        <v>5207.5640000000003</v>
      </c>
      <c r="D164" s="54">
        <f>Sheet1!D164/1000</f>
        <v>5227.4129999999996</v>
      </c>
      <c r="E164" s="54">
        <f t="shared" ref="E164:E207" si="65">C164/D164*100-100</f>
        <v>-0.37970981056976427</v>
      </c>
      <c r="F164" s="54">
        <f>Sheet1!F164/1000</f>
        <v>1865.3979999999999</v>
      </c>
      <c r="G164" s="54">
        <f>Sheet1!G164/1000</f>
        <v>1180.3109999999999</v>
      </c>
      <c r="H164" s="54">
        <f>F164/G164*100-100</f>
        <v>58.042922585657521</v>
      </c>
      <c r="I164" s="54">
        <f>Sheet1!I164/1000</f>
        <v>5051.3379999999997</v>
      </c>
      <c r="J164" s="54">
        <f>Sheet1!J164/1000</f>
        <v>5133.3919999999998</v>
      </c>
      <c r="K164" s="54">
        <f t="shared" ref="K164:K207" si="66">I164/J164*100-100</f>
        <v>-1.5984362776113699</v>
      </c>
      <c r="L164" s="54">
        <f>Sheet1!L164/1000</f>
        <v>4495.4740000000002</v>
      </c>
      <c r="M164" s="54">
        <f>Sheet1!M164/1000</f>
        <v>4472.5020000000004</v>
      </c>
      <c r="N164" s="54">
        <f t="shared" ref="N164:N182" si="67">L164/M164*100-100</f>
        <v>0.51362749530352403</v>
      </c>
      <c r="O164" s="54">
        <v>342</v>
      </c>
      <c r="P164" s="54">
        <v>190</v>
      </c>
      <c r="Q164" s="54">
        <v>342</v>
      </c>
      <c r="R164" s="190">
        <f>O164*P164</f>
        <v>64980</v>
      </c>
    </row>
    <row r="165" spans="1:20" x14ac:dyDescent="0.25">
      <c r="A165" s="122">
        <v>2</v>
      </c>
      <c r="B165" s="183" t="s">
        <v>159</v>
      </c>
      <c r="C165" s="54">
        <f>Sheet1!C165/1000</f>
        <v>645.81600000000003</v>
      </c>
      <c r="D165" s="54">
        <f>Sheet1!D165/1000</f>
        <v>1035.502</v>
      </c>
      <c r="E165" s="54">
        <f t="shared" si="65"/>
        <v>-37.632568551292024</v>
      </c>
      <c r="F165" s="54">
        <f>Sheet1!F165/1000</f>
        <v>438.80900000000003</v>
      </c>
      <c r="G165" s="54">
        <f>Sheet1!G165/1000</f>
        <v>156.25299999999999</v>
      </c>
      <c r="H165" s="54">
        <f t="shared" ref="H165:H207" si="68">F165/G165*100-100</f>
        <v>180.83236801853411</v>
      </c>
      <c r="I165" s="54">
        <f>Sheet1!I165/1000</f>
        <v>445.33600000000001</v>
      </c>
      <c r="J165" s="54">
        <f>Sheet1!J165/1000</f>
        <v>1016.204</v>
      </c>
      <c r="K165" s="54">
        <f t="shared" si="66"/>
        <v>-56.17651573896579</v>
      </c>
      <c r="L165" s="54">
        <f>Sheet1!L165/1000</f>
        <v>394.39299999999997</v>
      </c>
      <c r="M165" s="54">
        <f>Sheet1!M165/1000</f>
        <v>841.17600000000004</v>
      </c>
      <c r="N165" s="54">
        <f t="shared" si="67"/>
        <v>-53.114092651240654</v>
      </c>
      <c r="O165" s="54">
        <v>120</v>
      </c>
      <c r="P165" s="54">
        <v>107</v>
      </c>
      <c r="Q165" s="54">
        <v>117</v>
      </c>
      <c r="R165" s="190">
        <f t="shared" ref="R165:R181" si="69">O165*P165</f>
        <v>12840</v>
      </c>
    </row>
    <row r="166" spans="1:20" x14ac:dyDescent="0.25">
      <c r="A166" s="122">
        <v>3</v>
      </c>
      <c r="B166" s="183" t="s">
        <v>160</v>
      </c>
      <c r="C166" s="54">
        <f>Sheet1!C166/1000</f>
        <v>76.561000000000007</v>
      </c>
      <c r="D166" s="54">
        <f>Sheet1!D166/1000</f>
        <v>6.1109999999999998</v>
      </c>
      <c r="E166" s="54">
        <f t="shared" si="65"/>
        <v>1152.8391425298644</v>
      </c>
      <c r="F166" s="54">
        <f>Sheet1!F166/1000</f>
        <v>13.22</v>
      </c>
      <c r="G166" s="54">
        <f>Sheet1!G166/1000</f>
        <v>6.1109999999999998</v>
      </c>
      <c r="H166" s="54">
        <f t="shared" si="68"/>
        <v>116.3312060219277</v>
      </c>
      <c r="I166" s="54">
        <f>Sheet1!I166/1000</f>
        <v>142.08500000000001</v>
      </c>
      <c r="J166" s="54">
        <f>Sheet1!J166/1000</f>
        <v>48.381999999999998</v>
      </c>
      <c r="K166" s="54">
        <f t="shared" si="66"/>
        <v>193.67326691744864</v>
      </c>
      <c r="L166" s="54">
        <f>Sheet1!L166/1000</f>
        <v>91.635999999999996</v>
      </c>
      <c r="M166" s="54">
        <f>Sheet1!M166/1000</f>
        <v>0</v>
      </c>
      <c r="N166" s="54" t="e">
        <f t="shared" si="67"/>
        <v>#DIV/0!</v>
      </c>
      <c r="O166" s="54">
        <v>53</v>
      </c>
      <c r="P166" s="54">
        <v>146</v>
      </c>
      <c r="Q166" s="54">
        <v>52</v>
      </c>
      <c r="R166" s="190">
        <f t="shared" si="69"/>
        <v>7738</v>
      </c>
    </row>
    <row r="167" spans="1:20" x14ac:dyDescent="0.25">
      <c r="A167" s="122">
        <v>4</v>
      </c>
      <c r="B167" s="183" t="s">
        <v>161</v>
      </c>
      <c r="C167" s="54">
        <f>Sheet1!C167/1000</f>
        <v>395.7</v>
      </c>
      <c r="D167" s="54">
        <f>Sheet1!D167/1000</f>
        <v>224.57</v>
      </c>
      <c r="E167" s="54">
        <f t="shared" si="65"/>
        <v>76.203410963174065</v>
      </c>
      <c r="F167" s="54">
        <f>Sheet1!F167/1000</f>
        <v>187.10599999999999</v>
      </c>
      <c r="G167" s="54">
        <f>Sheet1!G167/1000</f>
        <v>110.252</v>
      </c>
      <c r="H167" s="54">
        <f t="shared" si="68"/>
        <v>69.707579000834471</v>
      </c>
      <c r="I167" s="54">
        <f>Sheet1!I167/1000</f>
        <v>426.49700000000001</v>
      </c>
      <c r="J167" s="54">
        <f>Sheet1!J167/1000</f>
        <v>337.50599999999997</v>
      </c>
      <c r="K167" s="54">
        <f t="shared" si="66"/>
        <v>26.367234952860102</v>
      </c>
      <c r="L167" s="54">
        <f>Sheet1!L167/1000</f>
        <v>311.12599999999998</v>
      </c>
      <c r="M167" s="54">
        <f>Sheet1!M167/1000</f>
        <v>230.999</v>
      </c>
      <c r="N167" s="54">
        <f t="shared" si="67"/>
        <v>34.687163147892392</v>
      </c>
      <c r="O167" s="125">
        <v>222</v>
      </c>
      <c r="P167" s="54">
        <v>127</v>
      </c>
      <c r="Q167" s="125">
        <v>225</v>
      </c>
      <c r="R167" s="190">
        <f t="shared" si="69"/>
        <v>28194</v>
      </c>
    </row>
    <row r="168" spans="1:20" ht="27" x14ac:dyDescent="0.25">
      <c r="A168" s="123">
        <v>5</v>
      </c>
      <c r="B168" s="184" t="s">
        <v>162</v>
      </c>
      <c r="C168" s="54">
        <f>Sheet1!C168/1000</f>
        <v>1980.5909999999999</v>
      </c>
      <c r="D168" s="54">
        <f>Sheet1!D168/1000</f>
        <v>1980.5909999999999</v>
      </c>
      <c r="E168" s="54">
        <f t="shared" si="65"/>
        <v>0</v>
      </c>
      <c r="F168" s="54">
        <f>Sheet1!F168/1000</f>
        <v>1090.7650000000001</v>
      </c>
      <c r="G168" s="54">
        <f>Sheet1!G168/1000</f>
        <v>1090.7650000000001</v>
      </c>
      <c r="H168" s="54">
        <f t="shared" si="68"/>
        <v>0</v>
      </c>
      <c r="I168" s="54">
        <f>Sheet1!I168/1000</f>
        <v>1373.3</v>
      </c>
      <c r="J168" s="54">
        <f>Sheet1!J168/1000</f>
        <v>1551.883</v>
      </c>
      <c r="K168" s="54">
        <f t="shared" si="66"/>
        <v>-11.507504109523722</v>
      </c>
      <c r="L168" s="54">
        <f>Sheet1!L168/1000</f>
        <v>1313.854</v>
      </c>
      <c r="M168" s="54">
        <f>Sheet1!M168/1000</f>
        <v>1505.1289999999999</v>
      </c>
      <c r="N168" s="54">
        <f t="shared" si="67"/>
        <v>-12.708213050177079</v>
      </c>
      <c r="O168" s="125">
        <v>289</v>
      </c>
      <c r="P168" s="54"/>
      <c r="Q168" s="125"/>
      <c r="R168" s="190">
        <f t="shared" si="69"/>
        <v>0</v>
      </c>
    </row>
    <row r="169" spans="1:20" s="126" customFormat="1" x14ac:dyDescent="0.25">
      <c r="A169" s="123">
        <v>6</v>
      </c>
      <c r="B169" s="184" t="s">
        <v>163</v>
      </c>
      <c r="C169" s="54">
        <f>Sheet1!C169/1000</f>
        <v>1834.527</v>
      </c>
      <c r="D169" s="54">
        <f>Sheet1!D169/1000</f>
        <v>1575.742</v>
      </c>
      <c r="E169" s="54">
        <f t="shared" si="65"/>
        <v>16.423056566366839</v>
      </c>
      <c r="F169" s="54">
        <f>Sheet1!F169/1000</f>
        <v>595.98500000000001</v>
      </c>
      <c r="G169" s="54">
        <f>Sheet1!G169/1000</f>
        <v>615.51700000000005</v>
      </c>
      <c r="H169" s="54">
        <f t="shared" si="68"/>
        <v>-3.1732673508611526</v>
      </c>
      <c r="I169" s="54">
        <f>Sheet1!I169/1000</f>
        <v>1834.527</v>
      </c>
      <c r="J169" s="54">
        <f>Sheet1!J169/1000</f>
        <v>1575.742</v>
      </c>
      <c r="K169" s="54">
        <f t="shared" si="66"/>
        <v>16.423056566366839</v>
      </c>
      <c r="L169" s="54">
        <f>Sheet1!L169/1000</f>
        <v>1426.559</v>
      </c>
      <c r="M169" s="54">
        <f>Sheet1!M169/1000</f>
        <v>1067.0630000000001</v>
      </c>
      <c r="N169" s="54">
        <f t="shared" si="67"/>
        <v>33.690231973182449</v>
      </c>
      <c r="O169" s="125">
        <v>256</v>
      </c>
      <c r="P169" s="54">
        <v>102</v>
      </c>
      <c r="Q169" s="125">
        <v>255</v>
      </c>
      <c r="R169" s="190">
        <f t="shared" si="69"/>
        <v>26112</v>
      </c>
    </row>
    <row r="170" spans="1:20" s="126" customFormat="1" x14ac:dyDescent="0.25">
      <c r="A170" s="123">
        <v>7</v>
      </c>
      <c r="B170" s="183" t="s">
        <v>233</v>
      </c>
      <c r="C170" s="54">
        <f>Sheet1!C170/1000</f>
        <v>942.15300000000002</v>
      </c>
      <c r="D170" s="54">
        <f>Sheet1!D170/1000</f>
        <v>0</v>
      </c>
      <c r="E170" s="54">
        <v>0</v>
      </c>
      <c r="F170" s="54">
        <f>Sheet1!F170/1000</f>
        <v>308.09899999999999</v>
      </c>
      <c r="G170" s="54">
        <f>Sheet1!G170/1000</f>
        <v>0</v>
      </c>
      <c r="H170" s="54">
        <v>0</v>
      </c>
      <c r="I170" s="54">
        <f>Sheet1!I170/1000</f>
        <v>1337.4259999999999</v>
      </c>
      <c r="J170" s="54">
        <f>Sheet1!J170/1000</f>
        <v>0</v>
      </c>
      <c r="K170" s="54">
        <v>0</v>
      </c>
      <c r="L170" s="54">
        <f>Sheet1!L170/1000</f>
        <v>839.69100000000003</v>
      </c>
      <c r="M170" s="54">
        <f>Sheet1!M170/1000</f>
        <v>0</v>
      </c>
      <c r="N170" s="54">
        <v>0</v>
      </c>
      <c r="O170" s="125">
        <v>210</v>
      </c>
      <c r="P170" s="54">
        <v>93</v>
      </c>
      <c r="Q170" s="125">
        <v>250</v>
      </c>
      <c r="R170" s="190">
        <f t="shared" si="69"/>
        <v>19530</v>
      </c>
      <c r="T170" s="127"/>
    </row>
    <row r="171" spans="1:20" s="126" customFormat="1" x14ac:dyDescent="0.25">
      <c r="A171" s="123">
        <v>8</v>
      </c>
      <c r="B171" s="183" t="s">
        <v>165</v>
      </c>
      <c r="C171" s="54">
        <f>Sheet1!C171/1000</f>
        <v>0</v>
      </c>
      <c r="D171" s="54">
        <f>Sheet1!D171/1000</f>
        <v>0</v>
      </c>
      <c r="E171" s="54" t="e">
        <f t="shared" si="65"/>
        <v>#DIV/0!</v>
      </c>
      <c r="F171" s="54">
        <f>Sheet1!F171/1000</f>
        <v>0</v>
      </c>
      <c r="G171" s="54">
        <f>Sheet1!G171/1000</f>
        <v>0</v>
      </c>
      <c r="H171" s="54" t="e">
        <f t="shared" si="68"/>
        <v>#DIV/0!</v>
      </c>
      <c r="I171" s="54">
        <f>Sheet1!I171/1000</f>
        <v>0</v>
      </c>
      <c r="J171" s="54">
        <f>Sheet1!J171/1000</f>
        <v>0</v>
      </c>
      <c r="K171" s="54" t="e">
        <f t="shared" si="66"/>
        <v>#DIV/0!</v>
      </c>
      <c r="L171" s="54">
        <f>Sheet1!L171/1000</f>
        <v>0</v>
      </c>
      <c r="M171" s="54">
        <f>Sheet1!M171/1000</f>
        <v>0</v>
      </c>
      <c r="N171" s="54" t="e">
        <f t="shared" si="67"/>
        <v>#DIV/0!</v>
      </c>
      <c r="O171" s="125"/>
      <c r="P171" s="54">
        <v>80</v>
      </c>
      <c r="Q171" s="125"/>
      <c r="R171" s="190">
        <f t="shared" si="69"/>
        <v>0</v>
      </c>
      <c r="T171" s="127"/>
    </row>
    <row r="172" spans="1:20" s="130" customFormat="1" x14ac:dyDescent="0.25">
      <c r="A172" s="60">
        <v>9</v>
      </c>
      <c r="B172" s="181" t="s">
        <v>166</v>
      </c>
      <c r="C172" s="54">
        <f>Sheet1!C172/1000</f>
        <v>485.06299999999999</v>
      </c>
      <c r="D172" s="54">
        <f>Sheet1!D172/1000</f>
        <v>143.93600000000001</v>
      </c>
      <c r="E172" s="54">
        <f t="shared" si="65"/>
        <v>236.99908292574474</v>
      </c>
      <c r="F172" s="54">
        <f>Sheet1!F172/1000</f>
        <v>221.7</v>
      </c>
      <c r="G172" s="54">
        <f>Sheet1!G172/1000</f>
        <v>70.668999999999997</v>
      </c>
      <c r="H172" s="54">
        <f t="shared" si="68"/>
        <v>213.71605654530276</v>
      </c>
      <c r="I172" s="54">
        <f>Sheet1!I172/1000</f>
        <v>483.41300000000001</v>
      </c>
      <c r="J172" s="54">
        <f>Sheet1!J172/1000</f>
        <v>132.31700000000001</v>
      </c>
      <c r="K172" s="54">
        <f t="shared" si="66"/>
        <v>265.34458913064833</v>
      </c>
      <c r="L172" s="54">
        <f>Sheet1!L172/1000</f>
        <v>0</v>
      </c>
      <c r="M172" s="54">
        <f>Sheet1!M172/1000</f>
        <v>0</v>
      </c>
      <c r="N172" s="54">
        <v>0</v>
      </c>
      <c r="O172" s="54">
        <v>252</v>
      </c>
      <c r="P172" s="54">
        <v>98</v>
      </c>
      <c r="Q172" s="54">
        <v>258</v>
      </c>
      <c r="R172" s="190">
        <f t="shared" si="69"/>
        <v>24696</v>
      </c>
      <c r="T172" s="39"/>
    </row>
    <row r="173" spans="1:20" s="130" customFormat="1" ht="27" x14ac:dyDescent="0.25">
      <c r="A173" s="54">
        <v>10</v>
      </c>
      <c r="B173" s="186" t="s">
        <v>234</v>
      </c>
      <c r="C173" s="54">
        <f>Sheet1!C173/1000</f>
        <v>3311.0940000000001</v>
      </c>
      <c r="D173" s="54">
        <f>Sheet1!D173/1000</f>
        <v>2967.94</v>
      </c>
      <c r="E173" s="54">
        <f t="shared" si="65"/>
        <v>11.562026186513208</v>
      </c>
      <c r="F173" s="54">
        <f>Sheet1!F173/1000</f>
        <v>697.62099999999998</v>
      </c>
      <c r="G173" s="54">
        <f>Sheet1!G173/1000</f>
        <v>954.697</v>
      </c>
      <c r="H173" s="54">
        <f t="shared" si="68"/>
        <v>-26.927496367957588</v>
      </c>
      <c r="I173" s="54">
        <f>Sheet1!I173/1000</f>
        <v>1211.0940000000001</v>
      </c>
      <c r="J173" s="54">
        <f>Sheet1!J173/1000</f>
        <v>2967.94</v>
      </c>
      <c r="K173" s="54">
        <f t="shared" si="66"/>
        <v>-59.194121174956365</v>
      </c>
      <c r="L173" s="54">
        <f>Sheet1!L173/1000</f>
        <v>1211.0940000000001</v>
      </c>
      <c r="M173" s="54">
        <f>Sheet1!M173/1000</f>
        <v>2967.8090000000002</v>
      </c>
      <c r="N173" s="54">
        <f t="shared" si="67"/>
        <v>-59.192319990942813</v>
      </c>
      <c r="O173" s="54">
        <v>82</v>
      </c>
      <c r="P173" s="54">
        <v>235</v>
      </c>
      <c r="Q173" s="54">
        <v>82</v>
      </c>
      <c r="R173" s="190">
        <f t="shared" si="69"/>
        <v>19270</v>
      </c>
      <c r="T173" s="39"/>
    </row>
    <row r="174" spans="1:20" s="130" customFormat="1" ht="27" x14ac:dyDescent="0.25">
      <c r="A174" s="54">
        <v>11</v>
      </c>
      <c r="B174" s="186" t="s">
        <v>218</v>
      </c>
      <c r="C174" s="54">
        <f>Sheet1!C174/1000</f>
        <v>223.839</v>
      </c>
      <c r="D174" s="54">
        <f>Sheet1!D174/1000</f>
        <v>219.386</v>
      </c>
      <c r="E174" s="54">
        <f t="shared" si="65"/>
        <v>2.0297557729299029</v>
      </c>
      <c r="F174" s="54">
        <f>Sheet1!F174/1000</f>
        <v>97.763999999999996</v>
      </c>
      <c r="G174" s="54">
        <f>Sheet1!G174/1000</f>
        <v>104.699</v>
      </c>
      <c r="H174" s="54">
        <f t="shared" si="68"/>
        <v>-6.6237499880610073</v>
      </c>
      <c r="I174" s="54">
        <f>Sheet1!I174/1000</f>
        <v>229.24799999999999</v>
      </c>
      <c r="J174" s="54">
        <f>Sheet1!J174/1000</f>
        <v>239.714</v>
      </c>
      <c r="K174" s="54">
        <f t="shared" si="66"/>
        <v>-4.3660361931301566</v>
      </c>
      <c r="L174" s="54">
        <f>Sheet1!L174/1000</f>
        <v>148.005</v>
      </c>
      <c r="M174" s="54">
        <f>Sheet1!M174/1000</f>
        <v>133.244</v>
      </c>
      <c r="N174" s="54">
        <f t="shared" si="67"/>
        <v>11.078172375491576</v>
      </c>
      <c r="O174" s="54">
        <v>209</v>
      </c>
      <c r="P174" s="54"/>
      <c r="Q174" s="54">
        <v>10</v>
      </c>
      <c r="R174" s="190">
        <f t="shared" si="69"/>
        <v>0</v>
      </c>
      <c r="T174" s="39"/>
    </row>
    <row r="175" spans="1:20" s="130" customFormat="1" x14ac:dyDescent="0.25">
      <c r="A175" s="60">
        <v>12</v>
      </c>
      <c r="B175" s="181" t="s">
        <v>219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>
        <v>10</v>
      </c>
      <c r="R175" s="190">
        <f t="shared" si="69"/>
        <v>0</v>
      </c>
      <c r="T175" s="39"/>
    </row>
    <row r="176" spans="1:20" s="130" customFormat="1" x14ac:dyDescent="0.25">
      <c r="A176" s="60">
        <v>13</v>
      </c>
      <c r="B176" s="181" t="s">
        <v>220</v>
      </c>
      <c r="C176" s="54">
        <f>Sheet1!C176/1000</f>
        <v>637.54</v>
      </c>
      <c r="D176" s="54">
        <f>Sheet1!D176/1000</f>
        <v>428.77699999999999</v>
      </c>
      <c r="E176" s="54">
        <f>C176/D176*100-100</f>
        <v>48.688012649932261</v>
      </c>
      <c r="F176" s="54">
        <f>Sheet1!F176/1000</f>
        <v>283.73</v>
      </c>
      <c r="G176" s="54">
        <f>Sheet1!G176/1000</f>
        <v>202.14099999999999</v>
      </c>
      <c r="H176" s="54">
        <f t="shared" si="68"/>
        <v>40.362420290787128</v>
      </c>
      <c r="I176" s="54">
        <f>Sheet1!I176/1000</f>
        <v>674.08699999999999</v>
      </c>
      <c r="J176" s="54">
        <f>Sheet1!J176/1000</f>
        <v>434.57799999999997</v>
      </c>
      <c r="K176" s="54">
        <f t="shared" si="66"/>
        <v>55.113006180708652</v>
      </c>
      <c r="L176" s="54">
        <f>Sheet1!L176/1000</f>
        <v>77.093000000000004</v>
      </c>
      <c r="M176" s="54">
        <f>Sheet1!M176/1000</f>
        <v>75.293000000000006</v>
      </c>
      <c r="N176" s="54">
        <f t="shared" si="67"/>
        <v>2.3906604863665848</v>
      </c>
      <c r="O176" s="54">
        <v>610</v>
      </c>
      <c r="P176" s="54"/>
      <c r="Q176" s="54"/>
      <c r="R176" s="190">
        <f t="shared" si="69"/>
        <v>0</v>
      </c>
      <c r="S176" s="130">
        <f>288494-233162</f>
        <v>55332</v>
      </c>
      <c r="T176" s="39"/>
    </row>
    <row r="177" spans="1:20" s="130" customFormat="1" x14ac:dyDescent="0.25">
      <c r="A177" s="60">
        <v>14</v>
      </c>
      <c r="B177" s="181" t="s">
        <v>236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>
        <v>112</v>
      </c>
      <c r="Q177" s="54">
        <v>33</v>
      </c>
      <c r="R177" s="190">
        <f t="shared" si="69"/>
        <v>0</v>
      </c>
      <c r="T177" s="39"/>
    </row>
    <row r="178" spans="1:20" s="130" customFormat="1" x14ac:dyDescent="0.25">
      <c r="A178" s="60">
        <v>15</v>
      </c>
      <c r="B178" s="181" t="s">
        <v>237</v>
      </c>
      <c r="C178" s="54">
        <f>Sheet1!C178/1000</f>
        <v>475.29700000000003</v>
      </c>
      <c r="D178" s="54">
        <f>Sheet1!D178/1000</f>
        <v>88.495000000000005</v>
      </c>
      <c r="E178" s="54">
        <f>C178/D178*100-100</f>
        <v>437.08910107915699</v>
      </c>
      <c r="F178" s="54">
        <f>Sheet1!F178/1000</f>
        <v>132.875</v>
      </c>
      <c r="G178" s="54">
        <f>Sheet1!G178/1000</f>
        <v>21.526</v>
      </c>
      <c r="H178" s="54">
        <f>F178/G178*100-100</f>
        <v>517.27678156647778</v>
      </c>
      <c r="I178" s="54">
        <f>Sheet1!I178/1000</f>
        <v>475.29700000000003</v>
      </c>
      <c r="J178" s="54">
        <f>Sheet1!J178/1000</f>
        <v>88.495000000000005</v>
      </c>
      <c r="K178" s="54">
        <f>I178/J178*100-100</f>
        <v>437.08910107915699</v>
      </c>
      <c r="L178" s="54">
        <f>Sheet1!L178/1000</f>
        <v>447.43200000000002</v>
      </c>
      <c r="M178" s="54">
        <f>Sheet1!M178/1000</f>
        <v>40.015000000000001</v>
      </c>
      <c r="N178" s="54">
        <f>L178/M178*100-100</f>
        <v>1018.1606897413469</v>
      </c>
      <c r="O178" s="54">
        <v>33</v>
      </c>
      <c r="P178" s="54">
        <v>110</v>
      </c>
      <c r="Q178" s="54">
        <v>33</v>
      </c>
      <c r="R178" s="190">
        <f t="shared" si="69"/>
        <v>3630</v>
      </c>
      <c r="T178" s="39"/>
    </row>
    <row r="179" spans="1:20" s="130" customFormat="1" x14ac:dyDescent="0.25">
      <c r="A179" s="60">
        <v>16</v>
      </c>
      <c r="B179" s="181" t="s">
        <v>229</v>
      </c>
      <c r="C179" s="54">
        <f>Sheet1!C179/1000</f>
        <v>1506.2860000000001</v>
      </c>
      <c r="D179" s="54">
        <f>Sheet1!D179/1000</f>
        <v>374.22</v>
      </c>
      <c r="E179" s="54">
        <f t="shared" si="65"/>
        <v>302.5134947357169</v>
      </c>
      <c r="F179" s="54">
        <f>Sheet1!F179/1000</f>
        <v>626.86800000000005</v>
      </c>
      <c r="G179" s="54">
        <f>Sheet1!G179/1000</f>
        <v>175.57900000000001</v>
      </c>
      <c r="H179" s="54">
        <f t="shared" si="68"/>
        <v>257.0290296675571</v>
      </c>
      <c r="I179" s="54">
        <f>Sheet1!I179/1000</f>
        <v>1397.9939999999999</v>
      </c>
      <c r="J179" s="54">
        <f>Sheet1!J179/1000</f>
        <v>406.70600000000002</v>
      </c>
      <c r="K179" s="54">
        <f t="shared" si="66"/>
        <v>243.73576981898469</v>
      </c>
      <c r="L179" s="54">
        <f>Sheet1!L179/1000</f>
        <v>570.1</v>
      </c>
      <c r="M179" s="54">
        <f>Sheet1!M179/1000</f>
        <v>153.166</v>
      </c>
      <c r="N179" s="54">
        <f t="shared" si="67"/>
        <v>272.21054280976199</v>
      </c>
      <c r="O179" s="54">
        <v>373</v>
      </c>
      <c r="P179" s="54"/>
      <c r="Q179" s="54">
        <v>45</v>
      </c>
      <c r="R179" s="190">
        <f t="shared" si="69"/>
        <v>0</v>
      </c>
      <c r="T179" s="39"/>
    </row>
    <row r="180" spans="1:20" ht="27" customHeight="1" x14ac:dyDescent="0.25">
      <c r="A180" s="42">
        <v>17</v>
      </c>
      <c r="B180" s="184" t="s">
        <v>230</v>
      </c>
      <c r="C180" s="54">
        <f>Sheet1!C180/1000</f>
        <v>315.887</v>
      </c>
      <c r="D180" s="54">
        <f>Sheet1!D180/1000</f>
        <v>244.26400000000001</v>
      </c>
      <c r="E180" s="54">
        <f t="shared" si="65"/>
        <v>29.321963121868151</v>
      </c>
      <c r="F180" s="54">
        <f>Sheet1!F180/1000</f>
        <v>162.42500000000001</v>
      </c>
      <c r="G180" s="54">
        <f>Sheet1!G180/1000</f>
        <v>75.281000000000006</v>
      </c>
      <c r="H180" s="54">
        <f t="shared" si="68"/>
        <v>115.75829226498055</v>
      </c>
      <c r="I180" s="54">
        <f>Sheet1!I180/1000</f>
        <v>275.15699999999998</v>
      </c>
      <c r="J180" s="54">
        <f>Sheet1!J180/1000</f>
        <v>273.892</v>
      </c>
      <c r="K180" s="54">
        <f t="shared" si="66"/>
        <v>0.46186087947073418</v>
      </c>
      <c r="L180" s="54">
        <f>Sheet1!L180/1000</f>
        <v>0</v>
      </c>
      <c r="M180" s="54">
        <f>Sheet1!M180/1000</f>
        <v>0</v>
      </c>
      <c r="N180" s="54">
        <v>0</v>
      </c>
      <c r="O180" s="54">
        <v>48</v>
      </c>
      <c r="P180" s="54">
        <v>85</v>
      </c>
      <c r="Q180" s="54">
        <v>48</v>
      </c>
      <c r="R180" s="190">
        <f t="shared" si="69"/>
        <v>4080</v>
      </c>
      <c r="T180" s="73"/>
    </row>
    <row r="181" spans="1:20" ht="27" x14ac:dyDescent="0.25">
      <c r="A181" s="42">
        <v>18</v>
      </c>
      <c r="B181" s="184" t="s">
        <v>239</v>
      </c>
      <c r="C181" s="54">
        <f>Sheet1!C181/1000</f>
        <v>500.392</v>
      </c>
      <c r="D181" s="54">
        <f>Sheet1!D181/1000</f>
        <v>77.13</v>
      </c>
      <c r="E181" s="54">
        <f t="shared" si="65"/>
        <v>548.76442370024631</v>
      </c>
      <c r="F181" s="54">
        <f>Sheet1!F181/1000</f>
        <v>220.12799999999999</v>
      </c>
      <c r="G181" s="54">
        <f>Sheet1!G181/1000</f>
        <v>51.981999999999999</v>
      </c>
      <c r="H181" s="54">
        <f t="shared" si="68"/>
        <v>323.46966257550685</v>
      </c>
      <c r="I181" s="54">
        <f>Sheet1!I181/1000</f>
        <v>603.846</v>
      </c>
      <c r="J181" s="54">
        <f>Sheet1!J181/1000</f>
        <v>158.59899999999999</v>
      </c>
      <c r="K181" s="54">
        <f t="shared" si="66"/>
        <v>280.73758346521737</v>
      </c>
      <c r="L181" s="54">
        <f>Sheet1!L181/1000</f>
        <v>32.362000000000002</v>
      </c>
      <c r="M181" s="54">
        <f>Sheet1!M181/1000</f>
        <v>37.667999999999999</v>
      </c>
      <c r="N181" s="54">
        <f t="shared" si="67"/>
        <v>-14.086227036211099</v>
      </c>
      <c r="O181" s="54">
        <v>318</v>
      </c>
      <c r="P181" s="54"/>
      <c r="Q181" s="54">
        <v>45</v>
      </c>
      <c r="R181" s="190">
        <f t="shared" si="69"/>
        <v>0</v>
      </c>
      <c r="T181" s="131"/>
    </row>
    <row r="182" spans="1:20" x14ac:dyDescent="0.25">
      <c r="A182" s="893" t="s">
        <v>169</v>
      </c>
      <c r="B182" s="894" t="s">
        <v>119</v>
      </c>
      <c r="C182" s="68">
        <f>SUM(C164:C181)</f>
        <v>18538.310000000001</v>
      </c>
      <c r="D182" s="68">
        <f>SUM(D164:D181)</f>
        <v>14594.076999999997</v>
      </c>
      <c r="E182" s="168">
        <f t="shared" si="65"/>
        <v>27.026258666443965</v>
      </c>
      <c r="F182" s="68">
        <f>SUM(F164:F181)</f>
        <v>6942.4930000000004</v>
      </c>
      <c r="G182" s="68">
        <f>SUM(G164:G181)</f>
        <v>4815.7829999999985</v>
      </c>
      <c r="H182" s="168">
        <f t="shared" si="68"/>
        <v>44.161250621134769</v>
      </c>
      <c r="I182" s="68">
        <f>SUM(I164:I181)</f>
        <v>15960.644999999999</v>
      </c>
      <c r="J182" s="68">
        <f>SUM(J164:J181)</f>
        <v>14365.35</v>
      </c>
      <c r="K182" s="168">
        <f t="shared" si="66"/>
        <v>11.105159289540438</v>
      </c>
      <c r="L182" s="68">
        <f>SUM(L164:L181)</f>
        <v>11358.819000000001</v>
      </c>
      <c r="M182" s="68">
        <f>SUM(M164:M181)</f>
        <v>11524.063999999998</v>
      </c>
      <c r="N182" s="168">
        <f t="shared" si="67"/>
        <v>-1.4339125502947354</v>
      </c>
      <c r="O182" s="68">
        <f>SUM(O164:O181)</f>
        <v>3417</v>
      </c>
      <c r="P182" s="68">
        <f>R181/O182</f>
        <v>0</v>
      </c>
      <c r="Q182" s="68">
        <f>SUM(Q166:Q181)</f>
        <v>1346</v>
      </c>
      <c r="R182" s="70">
        <f>SUM(R164:R181)</f>
        <v>211070</v>
      </c>
    </row>
    <row r="183" spans="1:20" ht="14.25" customHeight="1" x14ac:dyDescent="0.25">
      <c r="A183" s="71"/>
      <c r="B183" s="71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R183" s="44"/>
    </row>
    <row r="184" spans="1:20" ht="14.25" customHeight="1" x14ac:dyDescent="0.25">
      <c r="A184" s="909" t="s">
        <v>224</v>
      </c>
      <c r="B184" s="910"/>
      <c r="C184" s="38">
        <v>3</v>
      </c>
      <c r="D184" s="38">
        <v>4</v>
      </c>
      <c r="E184" s="38">
        <v>5</v>
      </c>
      <c r="F184" s="38">
        <v>6</v>
      </c>
      <c r="G184" s="38">
        <v>7</v>
      </c>
      <c r="H184" s="38">
        <v>8</v>
      </c>
      <c r="I184" s="38">
        <v>9</v>
      </c>
      <c r="J184" s="38">
        <v>10</v>
      </c>
      <c r="K184" s="38">
        <v>11</v>
      </c>
      <c r="L184" s="38">
        <v>12</v>
      </c>
      <c r="M184" s="38">
        <v>13</v>
      </c>
      <c r="N184" s="38">
        <v>14</v>
      </c>
      <c r="O184" s="38">
        <v>15</v>
      </c>
      <c r="P184" s="38">
        <v>16</v>
      </c>
      <c r="Q184" s="38">
        <v>15</v>
      </c>
    </row>
    <row r="185" spans="1:20" ht="14.25" customHeight="1" x14ac:dyDescent="0.25">
      <c r="A185" s="100">
        <v>1</v>
      </c>
      <c r="B185" s="167" t="s">
        <v>225</v>
      </c>
      <c r="C185" s="54">
        <f>Sheet1!C185/1000</f>
        <v>6929.4579999999996</v>
      </c>
      <c r="D185" s="54">
        <f>Sheet1!D185/1000</f>
        <v>2860.8240000000001</v>
      </c>
      <c r="E185" s="75">
        <f t="shared" ref="E185:E188" si="70">C185/D185*100-100</f>
        <v>142.21895509825137</v>
      </c>
      <c r="F185" s="54">
        <f>Sheet1!F185/1000</f>
        <v>2198.4229999999998</v>
      </c>
      <c r="G185" s="54">
        <f>Sheet1!G185/1000</f>
        <v>1240.0350000000001</v>
      </c>
      <c r="H185" s="75">
        <f t="shared" ref="H185:H188" si="71">F185/G185*100-100</f>
        <v>77.287173345913601</v>
      </c>
      <c r="I185" s="54">
        <f>Sheet1!I185/1000</f>
        <v>4036.7510000000002</v>
      </c>
      <c r="J185" s="54">
        <f>Sheet1!J185/1000</f>
        <v>2671.335</v>
      </c>
      <c r="K185" s="75">
        <f t="shared" ref="K185:K188" si="72">I185/J185*100-100</f>
        <v>51.113619220352376</v>
      </c>
      <c r="L185" s="54">
        <f>Sheet1!L185/1000</f>
        <v>3281.96</v>
      </c>
      <c r="M185" s="54">
        <f>Sheet1!M185/1000</f>
        <v>1305.2149999999999</v>
      </c>
      <c r="N185" s="75">
        <f t="shared" ref="N185:N188" si="73">L185/M185*100-100</f>
        <v>151.4497611504618</v>
      </c>
      <c r="O185" s="34">
        <v>789</v>
      </c>
      <c r="P185" s="75"/>
      <c r="Q185" s="34">
        <v>760</v>
      </c>
      <c r="R185" s="72">
        <f>O185*P185</f>
        <v>0</v>
      </c>
    </row>
    <row r="186" spans="1:20" ht="14.25" customHeight="1" x14ac:dyDescent="0.25">
      <c r="A186" s="100">
        <v>2</v>
      </c>
      <c r="B186" s="167" t="s">
        <v>226</v>
      </c>
      <c r="C186" s="54">
        <f>Sheet1!C186/1000</f>
        <v>0.73099999999999998</v>
      </c>
      <c r="D186" s="54">
        <f>Sheet1!D186/1000</f>
        <v>0</v>
      </c>
      <c r="E186" s="75">
        <v>0</v>
      </c>
      <c r="F186" s="54">
        <f>Sheet1!F186/1000</f>
        <v>0</v>
      </c>
      <c r="G186" s="54">
        <f>Sheet1!G186/1000</f>
        <v>0</v>
      </c>
      <c r="H186" s="75">
        <v>0</v>
      </c>
      <c r="I186" s="54">
        <f>Sheet1!I186/1000</f>
        <v>984.59400000000005</v>
      </c>
      <c r="J186" s="54">
        <f>Sheet1!J186/1000</f>
        <v>713.26</v>
      </c>
      <c r="K186" s="75">
        <f t="shared" si="72"/>
        <v>38.041387432352849</v>
      </c>
      <c r="L186" s="54">
        <f>Sheet1!L186/1000</f>
        <v>0</v>
      </c>
      <c r="M186" s="54">
        <f>Sheet1!M186/1000</f>
        <v>0</v>
      </c>
      <c r="N186" s="75">
        <v>0</v>
      </c>
      <c r="O186" s="34">
        <v>130</v>
      </c>
      <c r="P186" s="75"/>
      <c r="Q186" s="34">
        <v>130</v>
      </c>
      <c r="R186" s="72">
        <f>O186*P186</f>
        <v>0</v>
      </c>
    </row>
    <row r="187" spans="1:20" ht="14.25" customHeight="1" x14ac:dyDescent="0.25">
      <c r="A187" s="100">
        <v>3</v>
      </c>
      <c r="B187" s="193" t="s">
        <v>244</v>
      </c>
      <c r="C187" s="54">
        <f>Sheet1!C187/1000</f>
        <v>99.135000000000005</v>
      </c>
      <c r="D187" s="54">
        <f>Sheet1!D187/1000</f>
        <v>1.6779999999999999</v>
      </c>
      <c r="E187" s="75">
        <f t="shared" si="70"/>
        <v>5807.92610250298</v>
      </c>
      <c r="F187" s="54">
        <f>Sheet1!F187/1000</f>
        <v>99.135000000000005</v>
      </c>
      <c r="G187" s="54">
        <f>Sheet1!G187/1000</f>
        <v>0</v>
      </c>
      <c r="H187" s="75">
        <v>0</v>
      </c>
      <c r="I187" s="54">
        <f>Sheet1!I187/1000</f>
        <v>99.135000000000005</v>
      </c>
      <c r="J187" s="54">
        <f>Sheet1!J187/1000</f>
        <v>0</v>
      </c>
      <c r="K187" s="75">
        <v>0</v>
      </c>
      <c r="L187" s="54">
        <f>Sheet1!L187/1000</f>
        <v>99.135000000000005</v>
      </c>
      <c r="M187" s="54">
        <f>Sheet1!M187/1000</f>
        <v>0</v>
      </c>
      <c r="N187" s="75">
        <v>0</v>
      </c>
      <c r="O187" s="34">
        <v>81</v>
      </c>
      <c r="P187" s="75"/>
      <c r="Q187" s="34">
        <v>81</v>
      </c>
      <c r="R187" s="72">
        <f>O187*P187</f>
        <v>0</v>
      </c>
    </row>
    <row r="188" spans="1:20" ht="14.25" customHeight="1" x14ac:dyDescent="0.25">
      <c r="A188" s="964" t="s">
        <v>202</v>
      </c>
      <c r="B188" s="964" t="s">
        <v>155</v>
      </c>
      <c r="C188" s="87">
        <f>SUM(C185:C187)</f>
        <v>7029.3239999999996</v>
      </c>
      <c r="D188" s="87">
        <f>SUM(D185:D187)</f>
        <v>2862.502</v>
      </c>
      <c r="E188" s="168">
        <f t="shared" si="70"/>
        <v>145.56573235582019</v>
      </c>
      <c r="F188" s="87">
        <f>SUM(F185:F187)</f>
        <v>2297.558</v>
      </c>
      <c r="G188" s="87">
        <f>SUM(G185:G187)</f>
        <v>1240.0350000000001</v>
      </c>
      <c r="H188" s="168">
        <f t="shared" si="71"/>
        <v>85.281705758305208</v>
      </c>
      <c r="I188" s="87">
        <f>SUM(I185:I187)</f>
        <v>5120.4800000000005</v>
      </c>
      <c r="J188" s="87">
        <f>SUM(J185:J187)</f>
        <v>3384.5950000000003</v>
      </c>
      <c r="K188" s="168">
        <f t="shared" si="72"/>
        <v>51.287820256190173</v>
      </c>
      <c r="L188" s="87">
        <f>SUM(L185:L187)</f>
        <v>3381.0950000000003</v>
      </c>
      <c r="M188" s="87">
        <f>SUM(M185:M187)</f>
        <v>1305.2149999999999</v>
      </c>
      <c r="N188" s="168">
        <f t="shared" si="73"/>
        <v>159.04506154158514</v>
      </c>
      <c r="O188" s="87">
        <f>SUM(O185:O187)</f>
        <v>1000</v>
      </c>
      <c r="P188" s="87"/>
      <c r="Q188" s="87">
        <f>SUM(Q185:Q187)</f>
        <v>971</v>
      </c>
      <c r="R188" s="188"/>
    </row>
    <row r="189" spans="1:20" ht="14.25" customHeight="1" x14ac:dyDescent="0.25">
      <c r="A189" s="71"/>
      <c r="B189" s="71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>
        <f>SUM(O185:O187)</f>
        <v>1000</v>
      </c>
      <c r="P189" s="207">
        <f>SUM(P185:P187)</f>
        <v>0</v>
      </c>
      <c r="Q189" s="197">
        <f>SUM(Q185:Q187)</f>
        <v>971</v>
      </c>
      <c r="R189" s="44"/>
    </row>
    <row r="190" spans="1:20" x14ac:dyDescent="0.25">
      <c r="A190" s="962" t="s">
        <v>170</v>
      </c>
      <c r="B190" s="963"/>
      <c r="C190" s="35">
        <v>3</v>
      </c>
      <c r="D190" s="35">
        <v>4</v>
      </c>
      <c r="E190" s="35">
        <v>5</v>
      </c>
      <c r="F190" s="35">
        <v>6</v>
      </c>
      <c r="G190" s="35">
        <v>7</v>
      </c>
      <c r="H190" s="35">
        <v>8</v>
      </c>
      <c r="I190" s="35">
        <v>9</v>
      </c>
      <c r="J190" s="35">
        <v>10</v>
      </c>
      <c r="K190" s="35">
        <v>11</v>
      </c>
      <c r="L190" s="35">
        <v>12</v>
      </c>
      <c r="M190" s="35">
        <v>13</v>
      </c>
      <c r="N190" s="35">
        <v>14</v>
      </c>
      <c r="O190" s="35">
        <v>15</v>
      </c>
      <c r="P190" s="35">
        <v>16</v>
      </c>
      <c r="Q190" s="35">
        <v>17</v>
      </c>
    </row>
    <row r="191" spans="1:20" x14ac:dyDescent="0.25">
      <c r="A191" s="45">
        <v>1</v>
      </c>
      <c r="B191" s="81" t="s">
        <v>171</v>
      </c>
      <c r="C191" s="54">
        <f>Sheet1!C191/1000</f>
        <v>4.7240000000000002</v>
      </c>
      <c r="D191" s="54">
        <f>Sheet1!D191/1000</f>
        <v>14.173</v>
      </c>
      <c r="E191" s="54">
        <f t="shared" si="65"/>
        <v>-66.669018556410066</v>
      </c>
      <c r="F191" s="54">
        <f>Sheet1!F191/1000</f>
        <v>4.7240000000000002</v>
      </c>
      <c r="G191" s="54">
        <f>Sheet1!G191/1000</f>
        <v>0.47199999999999998</v>
      </c>
      <c r="H191" s="54">
        <f t="shared" si="68"/>
        <v>900.84745762711873</v>
      </c>
      <c r="I191" s="54">
        <f>Sheet1!I191/1000</f>
        <v>24.449000000000002</v>
      </c>
      <c r="J191" s="54">
        <f>Sheet1!J191/1000</f>
        <v>20.908999999999999</v>
      </c>
      <c r="K191" s="54">
        <f>I191/J191*100-100</f>
        <v>16.930508393514771</v>
      </c>
      <c r="L191" s="54">
        <f>Sheet1!L191/1000</f>
        <v>23.902000000000001</v>
      </c>
      <c r="M191" s="54">
        <f>Sheet1!M191/1000</f>
        <v>18.417000000000002</v>
      </c>
      <c r="N191" s="54">
        <f t="shared" ref="N191:N195" si="74">L191/M191*100-100</f>
        <v>29.782266384318831</v>
      </c>
      <c r="O191" s="60">
        <v>18</v>
      </c>
      <c r="P191" s="60">
        <v>92</v>
      </c>
      <c r="Q191" s="60">
        <v>17</v>
      </c>
      <c r="R191" s="44">
        <f t="shared" ref="R191:R205" si="75">O191*P191</f>
        <v>1656</v>
      </c>
    </row>
    <row r="192" spans="1:20" x14ac:dyDescent="0.25">
      <c r="A192" s="45">
        <v>2</v>
      </c>
      <c r="B192" s="81" t="s">
        <v>172</v>
      </c>
      <c r="C192" s="54">
        <f>Sheet1!C192/1000</f>
        <v>308.315</v>
      </c>
      <c r="D192" s="54">
        <f>Sheet1!D192/1000</f>
        <v>301.66399999999999</v>
      </c>
      <c r="E192" s="54">
        <f t="shared" si="65"/>
        <v>2.2047708709027347</v>
      </c>
      <c r="F192" s="54">
        <f>Sheet1!F192/1000</f>
        <v>123.514</v>
      </c>
      <c r="G192" s="54">
        <f>Sheet1!G192/1000</f>
        <v>103.834</v>
      </c>
      <c r="H192" s="54">
        <f t="shared" si="68"/>
        <v>18.953329352620528</v>
      </c>
      <c r="I192" s="54">
        <f>Sheet1!I192/1000</f>
        <v>258.68099999999998</v>
      </c>
      <c r="J192" s="54">
        <f>Sheet1!J192/1000</f>
        <v>293.42200000000003</v>
      </c>
      <c r="K192" s="54">
        <f>I192/J192*100-100</f>
        <v>-11.839943835158934</v>
      </c>
      <c r="L192" s="54">
        <f>Sheet1!L192/1000</f>
        <v>178.14400000000001</v>
      </c>
      <c r="M192" s="54">
        <f>Sheet1!M192/1000</f>
        <v>115.861</v>
      </c>
      <c r="N192" s="54">
        <f t="shared" si="74"/>
        <v>53.756656683439644</v>
      </c>
      <c r="O192" s="60"/>
      <c r="P192" s="60">
        <v>71</v>
      </c>
      <c r="Q192" s="60">
        <v>18</v>
      </c>
      <c r="R192" s="44">
        <f t="shared" si="75"/>
        <v>0</v>
      </c>
    </row>
    <row r="193" spans="1:18" x14ac:dyDescent="0.25">
      <c r="A193" s="45">
        <v>3</v>
      </c>
      <c r="B193" s="81" t="s">
        <v>173</v>
      </c>
      <c r="C193" s="54">
        <f>Sheet1!C193/1000</f>
        <v>43.146000000000001</v>
      </c>
      <c r="D193" s="54">
        <f>Sheet1!D193/1000</f>
        <v>34.75</v>
      </c>
      <c r="E193" s="54">
        <f t="shared" si="65"/>
        <v>24.161151079136701</v>
      </c>
      <c r="F193" s="54">
        <f>Sheet1!F193/1000</f>
        <v>0</v>
      </c>
      <c r="G193" s="54">
        <f>Sheet1!G193/1000</f>
        <v>16.408000000000001</v>
      </c>
      <c r="H193" s="54">
        <f t="shared" si="68"/>
        <v>-100</v>
      </c>
      <c r="I193" s="54">
        <f>Sheet1!I193/1000</f>
        <v>188.072</v>
      </c>
      <c r="J193" s="54">
        <f>Sheet1!J193/1000</f>
        <v>87.197999999999993</v>
      </c>
      <c r="K193" s="54">
        <f t="shared" si="66"/>
        <v>115.68384595976971</v>
      </c>
      <c r="L193" s="54">
        <f>Sheet1!L193/1000</f>
        <v>151.465</v>
      </c>
      <c r="M193" s="54">
        <f>Sheet1!M193/1000</f>
        <v>48.5</v>
      </c>
      <c r="N193" s="54">
        <f t="shared" si="74"/>
        <v>212.29896907216499</v>
      </c>
      <c r="O193" s="60">
        <v>40</v>
      </c>
      <c r="P193" s="60">
        <v>83</v>
      </c>
      <c r="Q193" s="60">
        <v>82</v>
      </c>
      <c r="R193" s="44">
        <f t="shared" si="75"/>
        <v>3320</v>
      </c>
    </row>
    <row r="194" spans="1:18" x14ac:dyDescent="0.25">
      <c r="A194" s="45">
        <v>4</v>
      </c>
      <c r="B194" s="81" t="s">
        <v>174</v>
      </c>
      <c r="C194" s="54">
        <f>Sheet1!C194/1000</f>
        <v>584.07799999999997</v>
      </c>
      <c r="D194" s="54">
        <f>Sheet1!D194/1000</f>
        <v>797.98400000000004</v>
      </c>
      <c r="E194" s="54">
        <f t="shared" si="65"/>
        <v>-26.805800617556258</v>
      </c>
      <c r="F194" s="54">
        <f>Sheet1!F194/1000</f>
        <v>287.44</v>
      </c>
      <c r="G194" s="54">
        <f>Sheet1!G194/1000</f>
        <v>190.631</v>
      </c>
      <c r="H194" s="54">
        <f t="shared" si="68"/>
        <v>50.783450750402608</v>
      </c>
      <c r="I194" s="54">
        <f>Sheet1!I194/1000</f>
        <v>665.49599999999998</v>
      </c>
      <c r="J194" s="54">
        <f>Sheet1!J194/1000</f>
        <v>67.334000000000003</v>
      </c>
      <c r="K194" s="54">
        <f t="shared" si="66"/>
        <v>888.35061038999606</v>
      </c>
      <c r="L194" s="54">
        <f>Sheet1!L194/1000</f>
        <v>342.69499999999999</v>
      </c>
      <c r="M194" s="54">
        <f>Sheet1!M194/1000</f>
        <v>558.79999999999995</v>
      </c>
      <c r="N194" s="54">
        <f t="shared" si="74"/>
        <v>-38.673049391553327</v>
      </c>
      <c r="O194" s="60">
        <v>190</v>
      </c>
      <c r="P194" s="60">
        <v>160</v>
      </c>
      <c r="Q194" s="60">
        <v>250</v>
      </c>
      <c r="R194" s="44">
        <f t="shared" si="75"/>
        <v>30400</v>
      </c>
    </row>
    <row r="195" spans="1:18" x14ac:dyDescent="0.25">
      <c r="A195" s="45">
        <v>5</v>
      </c>
      <c r="B195" s="81" t="s">
        <v>175</v>
      </c>
      <c r="C195" s="54">
        <f>Sheet1!C195/1000</f>
        <v>9846.2720000000008</v>
      </c>
      <c r="D195" s="54">
        <f>Sheet1!D195/1000</f>
        <v>20451.080999999998</v>
      </c>
      <c r="E195" s="54">
        <f t="shared" si="65"/>
        <v>-51.854515661054776</v>
      </c>
      <c r="F195" s="54">
        <f>Sheet1!F195/1000</f>
        <v>3772.317</v>
      </c>
      <c r="G195" s="54">
        <f>Sheet1!G195/1000</f>
        <v>8328.3379999999997</v>
      </c>
      <c r="H195" s="54">
        <f t="shared" si="68"/>
        <v>-54.705044391810226</v>
      </c>
      <c r="I195" s="54">
        <f>Sheet1!I195/1000</f>
        <v>7669.3559999999998</v>
      </c>
      <c r="J195" s="54">
        <f>Sheet1!J195/1000</f>
        <v>10164.32</v>
      </c>
      <c r="K195" s="54">
        <f t="shared" si="66"/>
        <v>-24.546295276024367</v>
      </c>
      <c r="L195" s="54">
        <f>Sheet1!L195/1000</f>
        <v>94.471000000000004</v>
      </c>
      <c r="M195" s="54">
        <f>Sheet1!M195/1000</f>
        <v>840.59699999999998</v>
      </c>
      <c r="N195" s="54">
        <f t="shared" si="74"/>
        <v>-88.761439786247152</v>
      </c>
      <c r="O195" s="60">
        <v>473</v>
      </c>
      <c r="P195" s="60"/>
      <c r="Q195" s="60">
        <v>210</v>
      </c>
      <c r="R195" s="44">
        <f t="shared" si="75"/>
        <v>0</v>
      </c>
    </row>
    <row r="196" spans="1:18" x14ac:dyDescent="0.25">
      <c r="A196" s="45">
        <v>6</v>
      </c>
      <c r="B196" s="81" t="s">
        <v>176</v>
      </c>
      <c r="C196" s="54">
        <f>Sheet1!C196/1000</f>
        <v>717.78300000000002</v>
      </c>
      <c r="D196" s="54">
        <f>Sheet1!D196/1000</f>
        <v>861.56799999999998</v>
      </c>
      <c r="E196" s="54">
        <f t="shared" si="65"/>
        <v>-16.688758171148407</v>
      </c>
      <c r="F196" s="54">
        <f>Sheet1!F196/1000</f>
        <v>304.84199999999998</v>
      </c>
      <c r="G196" s="54">
        <f>Sheet1!G196/1000</f>
        <v>372.82100000000003</v>
      </c>
      <c r="H196" s="54">
        <f t="shared" si="68"/>
        <v>-18.233683188447017</v>
      </c>
      <c r="I196" s="54">
        <f>Sheet1!I196/1000</f>
        <v>682.15099999999995</v>
      </c>
      <c r="J196" s="54">
        <f>Sheet1!J196/1000</f>
        <v>963.66700000000003</v>
      </c>
      <c r="K196" s="54">
        <f t="shared" si="66"/>
        <v>-29.212995775511672</v>
      </c>
      <c r="L196" s="54">
        <f>Sheet1!L196/1000</f>
        <v>32.128999999999998</v>
      </c>
      <c r="M196" s="54">
        <f>Sheet1!M196/1000</f>
        <v>70.59</v>
      </c>
      <c r="N196" s="54">
        <v>0</v>
      </c>
      <c r="O196" s="60">
        <v>489</v>
      </c>
      <c r="P196" s="60">
        <v>140</v>
      </c>
      <c r="Q196" s="60">
        <v>460</v>
      </c>
      <c r="R196" s="44">
        <f t="shared" si="75"/>
        <v>68460</v>
      </c>
    </row>
    <row r="197" spans="1:18" x14ac:dyDescent="0.25">
      <c r="A197" s="45">
        <v>7</v>
      </c>
      <c r="B197" s="81" t="s">
        <v>177</v>
      </c>
      <c r="C197" s="54">
        <f>Sheet1!C197/1000</f>
        <v>328.75299999999999</v>
      </c>
      <c r="D197" s="54">
        <f>Sheet1!D197/1000</f>
        <v>346.779</v>
      </c>
      <c r="E197" s="54">
        <f t="shared" si="65"/>
        <v>-5.1981233004305381</v>
      </c>
      <c r="F197" s="54">
        <f>Sheet1!F197/1000</f>
        <v>142.35900000000001</v>
      </c>
      <c r="G197" s="54">
        <f>Sheet1!G197/1000</f>
        <v>150.375</v>
      </c>
      <c r="H197" s="54">
        <f t="shared" si="68"/>
        <v>-5.3306733167082285</v>
      </c>
      <c r="I197" s="54">
        <f>Sheet1!I197/1000</f>
        <v>327.87799999999999</v>
      </c>
      <c r="J197" s="54">
        <f>Sheet1!J197/1000</f>
        <v>346.86200000000002</v>
      </c>
      <c r="K197" s="54">
        <f t="shared" si="66"/>
        <v>-5.4730699817218493</v>
      </c>
      <c r="L197" s="54">
        <f>Sheet1!L197/1000</f>
        <v>56.332999999999998</v>
      </c>
      <c r="M197" s="54">
        <f>Sheet1!M197/1000</f>
        <v>9.2690000000000001</v>
      </c>
      <c r="N197" s="54">
        <v>0</v>
      </c>
      <c r="O197" s="60">
        <v>166</v>
      </c>
      <c r="P197" s="60">
        <v>104</v>
      </c>
      <c r="Q197" s="60">
        <v>164</v>
      </c>
      <c r="R197" s="44">
        <f t="shared" si="75"/>
        <v>17264</v>
      </c>
    </row>
    <row r="198" spans="1:18" x14ac:dyDescent="0.25">
      <c r="A198" s="45">
        <v>8</v>
      </c>
      <c r="B198" s="81" t="s">
        <v>178</v>
      </c>
      <c r="C198" s="54">
        <f>Sheet1!C198/1000</f>
        <v>65.988</v>
      </c>
      <c r="D198" s="54">
        <f>Sheet1!D198/1000</f>
        <v>154.04300000000001</v>
      </c>
      <c r="E198" s="54">
        <f t="shared" si="65"/>
        <v>-57.1626104399421</v>
      </c>
      <c r="F198" s="54">
        <f>Sheet1!F198/1000</f>
        <v>14.281000000000001</v>
      </c>
      <c r="G198" s="54">
        <f>Sheet1!G198/1000</f>
        <v>57.548999999999999</v>
      </c>
      <c r="H198" s="54">
        <f t="shared" si="68"/>
        <v>-75.184625275851886</v>
      </c>
      <c r="I198" s="54">
        <f>Sheet1!I198/1000</f>
        <v>92.412999999999997</v>
      </c>
      <c r="J198" s="54">
        <f>Sheet1!J198/1000</f>
        <v>150.19399999999999</v>
      </c>
      <c r="K198" s="54">
        <f t="shared" si="66"/>
        <v>-38.470910955164648</v>
      </c>
      <c r="L198" s="54">
        <f>Sheet1!L198/1000</f>
        <v>72.111999999999995</v>
      </c>
      <c r="M198" s="54">
        <f>Sheet1!M198/1000</f>
        <v>133.745</v>
      </c>
      <c r="N198" s="54">
        <f t="shared" ref="N198:N202" si="76">L198/M198*100-100</f>
        <v>-46.082470372724217</v>
      </c>
      <c r="O198" s="60">
        <v>27</v>
      </c>
      <c r="P198" s="60">
        <v>80</v>
      </c>
      <c r="Q198" s="60">
        <v>26</v>
      </c>
      <c r="R198" s="44">
        <f t="shared" si="75"/>
        <v>2160</v>
      </c>
    </row>
    <row r="199" spans="1:18" x14ac:dyDescent="0.25">
      <c r="A199" s="45">
        <v>9</v>
      </c>
      <c r="B199" s="81" t="s">
        <v>179</v>
      </c>
      <c r="C199" s="54">
        <f>Sheet1!C199/1000</f>
        <v>528.73500000000001</v>
      </c>
      <c r="D199" s="54">
        <f>Sheet1!D199/1000</f>
        <v>386.59100000000001</v>
      </c>
      <c r="E199" s="54">
        <f t="shared" si="65"/>
        <v>36.768574540017738</v>
      </c>
      <c r="F199" s="54">
        <f>Sheet1!F199/1000</f>
        <v>231.01599999999999</v>
      </c>
      <c r="G199" s="54">
        <f>Sheet1!G199/1000</f>
        <v>158.309</v>
      </c>
      <c r="H199" s="54">
        <f t="shared" si="68"/>
        <v>45.927268822366386</v>
      </c>
      <c r="I199" s="54">
        <f>Sheet1!I199/1000</f>
        <v>524.40499999999997</v>
      </c>
      <c r="J199" s="54">
        <f>Sheet1!J199/1000</f>
        <v>382.55700000000002</v>
      </c>
      <c r="K199" s="54">
        <f t="shared" si="66"/>
        <v>37.078918958481978</v>
      </c>
      <c r="L199" s="54">
        <f>Sheet1!L199/1000</f>
        <v>2.7789999999999999</v>
      </c>
      <c r="M199" s="54">
        <f>Sheet1!M199/1000</f>
        <v>0</v>
      </c>
      <c r="N199" s="54">
        <v>0</v>
      </c>
      <c r="O199" s="60">
        <v>161</v>
      </c>
      <c r="P199" s="60">
        <v>117</v>
      </c>
      <c r="Q199" s="60">
        <v>30</v>
      </c>
      <c r="R199" s="44">
        <f t="shared" si="75"/>
        <v>18837</v>
      </c>
    </row>
    <row r="200" spans="1:18" x14ac:dyDescent="0.25">
      <c r="A200" s="45">
        <v>10</v>
      </c>
      <c r="B200" s="181" t="s">
        <v>227</v>
      </c>
      <c r="C200" s="54">
        <f>Sheet1!C200/1000</f>
        <v>195.02699999999999</v>
      </c>
      <c r="D200" s="54">
        <f>Sheet1!D200/1000</f>
        <v>220.44800000000001</v>
      </c>
      <c r="E200" s="54">
        <f t="shared" si="65"/>
        <v>-11.53151763681231</v>
      </c>
      <c r="F200" s="54">
        <f>Sheet1!F200/1000</f>
        <v>69.799000000000007</v>
      </c>
      <c r="G200" s="54">
        <f>Sheet1!G200/1000</f>
        <v>72.305000000000007</v>
      </c>
      <c r="H200" s="54">
        <f t="shared" si="68"/>
        <v>-3.4658737293409843</v>
      </c>
      <c r="I200" s="54">
        <f>Sheet1!I200/1000</f>
        <v>195.02699999999999</v>
      </c>
      <c r="J200" s="54">
        <f>Sheet1!J200/1000</f>
        <v>220.44800000000001</v>
      </c>
      <c r="K200" s="54">
        <f t="shared" si="66"/>
        <v>-11.53151763681231</v>
      </c>
      <c r="L200" s="54">
        <f>Sheet1!L200/1000</f>
        <v>94.81</v>
      </c>
      <c r="M200" s="54">
        <f>Sheet1!M200/1000</f>
        <v>199.13499999999999</v>
      </c>
      <c r="N200" s="54">
        <v>0</v>
      </c>
      <c r="O200" s="60">
        <v>71</v>
      </c>
      <c r="P200" s="60">
        <v>85</v>
      </c>
      <c r="Q200" s="60">
        <v>160</v>
      </c>
      <c r="R200" s="44">
        <f t="shared" si="75"/>
        <v>6035</v>
      </c>
    </row>
    <row r="201" spans="1:18" x14ac:dyDescent="0.25">
      <c r="A201" s="45">
        <v>11</v>
      </c>
      <c r="B201" s="181" t="s">
        <v>235</v>
      </c>
      <c r="C201" s="54">
        <f>Sheet1!C201/1000</f>
        <v>58.805</v>
      </c>
      <c r="D201" s="54">
        <f>Sheet1!D201/1000</f>
        <v>34.965000000000003</v>
      </c>
      <c r="E201" s="54">
        <f t="shared" si="65"/>
        <v>68.18246818246817</v>
      </c>
      <c r="F201" s="54">
        <f>Sheet1!F201/1000</f>
        <v>19.038</v>
      </c>
      <c r="G201" s="54">
        <f>Sheet1!G201/1000</f>
        <v>13.670999999999999</v>
      </c>
      <c r="H201" s="54">
        <f t="shared" si="68"/>
        <v>39.258283958744812</v>
      </c>
      <c r="I201" s="54">
        <f>Sheet1!I201/1000</f>
        <v>58.805</v>
      </c>
      <c r="J201" s="54">
        <f>Sheet1!J201/1000</f>
        <v>34.965000000000003</v>
      </c>
      <c r="K201" s="54">
        <f t="shared" si="66"/>
        <v>68.18246818246817</v>
      </c>
      <c r="L201" s="54">
        <f>Sheet1!L201/1000</f>
        <v>0</v>
      </c>
      <c r="M201" s="54">
        <f>Sheet1!M201/1000</f>
        <v>0</v>
      </c>
      <c r="N201" s="54">
        <v>0</v>
      </c>
      <c r="O201" s="60">
        <v>17</v>
      </c>
      <c r="P201" s="60">
        <v>80</v>
      </c>
      <c r="Q201" s="60">
        <v>17</v>
      </c>
      <c r="R201" s="44">
        <f t="shared" si="75"/>
        <v>1360</v>
      </c>
    </row>
    <row r="202" spans="1:18" x14ac:dyDescent="0.25">
      <c r="A202" s="45">
        <v>12</v>
      </c>
      <c r="B202" s="81" t="s">
        <v>223</v>
      </c>
      <c r="C202" s="54">
        <f>Sheet1!C202/1000</f>
        <v>434.20400000000001</v>
      </c>
      <c r="D202" s="54">
        <f>Sheet1!D202/1000</f>
        <v>315.334</v>
      </c>
      <c r="E202" s="54">
        <f t="shared" si="65"/>
        <v>37.6965376394553</v>
      </c>
      <c r="F202" s="54">
        <f>Sheet1!F202/1000</f>
        <v>148.12100000000001</v>
      </c>
      <c r="G202" s="54">
        <f>Sheet1!G202/1000</f>
        <v>141.495</v>
      </c>
      <c r="H202" s="54">
        <f t="shared" si="68"/>
        <v>4.6828509841337222</v>
      </c>
      <c r="I202" s="54">
        <f>Sheet1!I202/1000</f>
        <v>434.20400000000001</v>
      </c>
      <c r="J202" s="54">
        <f>Sheet1!J202/1000</f>
        <v>141.495</v>
      </c>
      <c r="K202" s="54">
        <f t="shared" si="66"/>
        <v>206.86879395031627</v>
      </c>
      <c r="L202" s="54">
        <f>Sheet1!L202/1000</f>
        <v>46.905000000000001</v>
      </c>
      <c r="M202" s="54">
        <f>Sheet1!M202/1000</f>
        <v>32.951999999999998</v>
      </c>
      <c r="N202" s="54">
        <f t="shared" si="76"/>
        <v>42.343408594319015</v>
      </c>
      <c r="O202" s="60">
        <v>164</v>
      </c>
      <c r="P202" s="60"/>
      <c r="Q202" s="60">
        <v>164</v>
      </c>
      <c r="R202" s="44">
        <f t="shared" si="75"/>
        <v>0</v>
      </c>
    </row>
    <row r="203" spans="1:18" x14ac:dyDescent="0.25">
      <c r="A203" s="45">
        <v>13</v>
      </c>
      <c r="B203" s="81" t="s">
        <v>182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60"/>
      <c r="P203" s="60">
        <v>115</v>
      </c>
      <c r="Q203" s="60">
        <v>109</v>
      </c>
      <c r="R203" s="44">
        <f t="shared" si="75"/>
        <v>0</v>
      </c>
    </row>
    <row r="204" spans="1:18" x14ac:dyDescent="0.25">
      <c r="A204" s="45">
        <v>14</v>
      </c>
      <c r="B204" s="81" t="s">
        <v>183</v>
      </c>
      <c r="C204" s="54">
        <f>Sheet1!C204/1000</f>
        <v>1.151</v>
      </c>
      <c r="D204" s="54">
        <f>Sheet1!D204/1000</f>
        <v>3.9649999999999999</v>
      </c>
      <c r="E204" s="54">
        <f t="shared" si="65"/>
        <v>-70.970996216897845</v>
      </c>
      <c r="F204" s="54">
        <f>Sheet1!F204/1000</f>
        <v>0.60399999999999998</v>
      </c>
      <c r="G204" s="54">
        <f>Sheet1!G204/1000</f>
        <v>2.504</v>
      </c>
      <c r="H204" s="54">
        <v>0</v>
      </c>
      <c r="I204" s="54">
        <f>Sheet1!I204/1000</f>
        <v>1.151</v>
      </c>
      <c r="J204" s="54">
        <f>Sheet1!J204/1000</f>
        <v>3.9649999999999999</v>
      </c>
      <c r="K204" s="54">
        <f t="shared" si="66"/>
        <v>-70.970996216897845</v>
      </c>
      <c r="L204" s="54">
        <f>Sheet1!L204/1000</f>
        <v>0</v>
      </c>
      <c r="M204" s="54">
        <f>Sheet1!M204/1000</f>
        <v>0</v>
      </c>
      <c r="N204" s="54">
        <v>0</v>
      </c>
      <c r="O204" s="60">
        <v>46</v>
      </c>
      <c r="P204" s="60">
        <v>80</v>
      </c>
      <c r="Q204" s="60">
        <v>44</v>
      </c>
      <c r="R204" s="44">
        <f t="shared" si="75"/>
        <v>3680</v>
      </c>
    </row>
    <row r="205" spans="1:18" x14ac:dyDescent="0.25">
      <c r="A205" s="45">
        <v>15</v>
      </c>
      <c r="B205" s="81" t="s">
        <v>184</v>
      </c>
      <c r="C205" s="54">
        <f>Sheet1!C205/1000</f>
        <v>678.71</v>
      </c>
      <c r="D205" s="54">
        <f>Sheet1!D205/1000</f>
        <v>1024.0029999999999</v>
      </c>
      <c r="E205" s="54">
        <f t="shared" si="65"/>
        <v>-33.719920742419703</v>
      </c>
      <c r="F205" s="54">
        <f>Sheet1!F205/1000</f>
        <v>593.79999999999995</v>
      </c>
      <c r="G205" s="54">
        <f>Sheet1!G205/1000</f>
        <v>238.59200000000001</v>
      </c>
      <c r="H205" s="54">
        <f t="shared" si="68"/>
        <v>148.8767435622317</v>
      </c>
      <c r="I205" s="54">
        <f>Sheet1!I205/1000</f>
        <v>670.69500000000005</v>
      </c>
      <c r="J205" s="54">
        <f>Sheet1!J205/1000</f>
        <v>588.11400000000003</v>
      </c>
      <c r="K205" s="54">
        <f t="shared" si="66"/>
        <v>14.041665391403697</v>
      </c>
      <c r="L205" s="54">
        <f>Sheet1!L205/1000</f>
        <v>0</v>
      </c>
      <c r="M205" s="54">
        <f>Sheet1!M205/1000</f>
        <v>0</v>
      </c>
      <c r="N205" s="54">
        <v>0</v>
      </c>
      <c r="O205" s="60">
        <v>481</v>
      </c>
      <c r="P205" s="60">
        <v>100</v>
      </c>
      <c r="Q205" s="60">
        <v>445</v>
      </c>
      <c r="R205" s="44">
        <f t="shared" si="75"/>
        <v>48100</v>
      </c>
    </row>
    <row r="206" spans="1:18" x14ac:dyDescent="0.25">
      <c r="A206" s="893" t="s">
        <v>185</v>
      </c>
      <c r="B206" s="894" t="s">
        <v>119</v>
      </c>
      <c r="C206" s="87">
        <f>SUM(C191:C205)</f>
        <v>13795.690999999999</v>
      </c>
      <c r="D206" s="87">
        <f>SUM(D191:D205)</f>
        <v>24947.347999999998</v>
      </c>
      <c r="E206" s="168">
        <f t="shared" si="65"/>
        <v>-44.700771400631446</v>
      </c>
      <c r="F206" s="87">
        <f>SUM(F191:F205)</f>
        <v>5711.8549999999996</v>
      </c>
      <c r="G206" s="87">
        <f>SUM(G191:G205)</f>
        <v>9847.3040000000019</v>
      </c>
      <c r="H206" s="168">
        <f t="shared" si="68"/>
        <v>-41.995748277904298</v>
      </c>
      <c r="I206" s="87">
        <f>SUM(I191:I205)</f>
        <v>11792.783000000001</v>
      </c>
      <c r="J206" s="87">
        <f>SUM(J191:J205)</f>
        <v>13465.449999999999</v>
      </c>
      <c r="K206" s="168">
        <f t="shared" si="66"/>
        <v>-12.421916831594913</v>
      </c>
      <c r="L206" s="87">
        <f>SUM(L191:L205)</f>
        <v>1095.7449999999999</v>
      </c>
      <c r="M206" s="87">
        <f>SUM(M191:M205)</f>
        <v>2027.866</v>
      </c>
      <c r="N206" s="168">
        <f t="shared" ref="N206:N207" si="77">L206/M206*100-100</f>
        <v>-45.965611139986571</v>
      </c>
      <c r="O206" s="87">
        <f>SUM(O172:O205)</f>
        <v>10715</v>
      </c>
      <c r="P206" s="87">
        <f>R206/O206</f>
        <v>18.784134391040599</v>
      </c>
      <c r="Q206" s="87">
        <f>SUM(Q174:Q205)</f>
        <v>6711</v>
      </c>
      <c r="R206" s="70">
        <f>SUM(R191:R205)</f>
        <v>201272</v>
      </c>
    </row>
    <row r="207" spans="1:18" x14ac:dyDescent="0.25">
      <c r="A207" s="135"/>
      <c r="B207" s="135" t="s">
        <v>186</v>
      </c>
      <c r="C207" s="106">
        <f>C182+C188+C206</f>
        <v>39363.324999999997</v>
      </c>
      <c r="D207" s="106">
        <f>D182+D188+D206</f>
        <v>42403.926999999996</v>
      </c>
      <c r="E207" s="236">
        <f t="shared" si="65"/>
        <v>-7.170567009041406</v>
      </c>
      <c r="F207" s="106">
        <f>F182+F188+F206</f>
        <v>14951.905999999999</v>
      </c>
      <c r="G207" s="106">
        <f>G182+G188+G206</f>
        <v>15903.121999999999</v>
      </c>
      <c r="H207" s="236">
        <f t="shared" si="68"/>
        <v>-5.9813161214508739</v>
      </c>
      <c r="I207" s="106">
        <f>I182+I188+I206</f>
        <v>32873.908000000003</v>
      </c>
      <c r="J207" s="106">
        <f>J182+J188+J206</f>
        <v>31215.394999999997</v>
      </c>
      <c r="K207" s="236">
        <f t="shared" si="66"/>
        <v>5.3131251422575474</v>
      </c>
      <c r="L207" s="106">
        <f>L182+L188+L206</f>
        <v>15835.659</v>
      </c>
      <c r="M207" s="106">
        <f>M182+M188+M206</f>
        <v>14857.144999999999</v>
      </c>
      <c r="N207" s="236">
        <f t="shared" si="77"/>
        <v>6.5861509731513195</v>
      </c>
      <c r="O207" s="106">
        <f>O182+O188+O206</f>
        <v>15132</v>
      </c>
      <c r="P207" s="106">
        <f>R207/O207</f>
        <v>27.249669574411843</v>
      </c>
      <c r="Q207" s="106">
        <f>Q182+Q188+Q206</f>
        <v>9028</v>
      </c>
      <c r="R207" s="136">
        <f>R182+R188+R206</f>
        <v>412342</v>
      </c>
    </row>
    <row r="208" spans="1:18" x14ac:dyDescent="0.25">
      <c r="A208" s="71"/>
      <c r="B208" s="71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R208" s="121"/>
    </row>
    <row r="209" spans="1:18" x14ac:dyDescent="0.25">
      <c r="A209" s="949" t="s">
        <v>243</v>
      </c>
      <c r="B209" s="950"/>
      <c r="C209" s="951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24"/>
    </row>
    <row r="210" spans="1:18" x14ac:dyDescent="0.25">
      <c r="A210" s="891" t="s">
        <v>188</v>
      </c>
      <c r="B210" s="892"/>
      <c r="C210" s="38">
        <v>3</v>
      </c>
      <c r="D210" s="38">
        <v>4</v>
      </c>
      <c r="E210" s="38">
        <v>5</v>
      </c>
      <c r="F210" s="38">
        <v>6</v>
      </c>
      <c r="G210" s="38">
        <v>7</v>
      </c>
      <c r="H210" s="38">
        <v>8</v>
      </c>
      <c r="I210" s="38">
        <v>9</v>
      </c>
      <c r="J210" s="38">
        <v>10</v>
      </c>
      <c r="K210" s="38">
        <v>11</v>
      </c>
      <c r="L210" s="38">
        <v>12</v>
      </c>
      <c r="M210" s="234">
        <v>13</v>
      </c>
      <c r="N210" s="234">
        <v>14</v>
      </c>
      <c r="O210" s="234">
        <v>15</v>
      </c>
      <c r="P210" s="38">
        <v>16</v>
      </c>
      <c r="Q210" s="234">
        <v>15</v>
      </c>
    </row>
    <row r="211" spans="1:18" x14ac:dyDescent="0.25">
      <c r="A211" s="140">
        <v>1</v>
      </c>
      <c r="B211" s="141" t="s">
        <v>189</v>
      </c>
      <c r="C211" s="54">
        <f>Sheet1!C211/1000</f>
        <v>266.47500000000002</v>
      </c>
      <c r="D211" s="54">
        <f>Sheet1!D211/1000</f>
        <v>406.92500000000001</v>
      </c>
      <c r="E211" s="54">
        <f>C211/D211*100-100</f>
        <v>-34.514959759169372</v>
      </c>
      <c r="F211" s="54">
        <f>Sheet1!F211/1000</f>
        <v>44.601999999999997</v>
      </c>
      <c r="G211" s="54">
        <f>Sheet1!G211/1000</f>
        <v>346.404</v>
      </c>
      <c r="H211" s="54">
        <f>F211/G211*100-100</f>
        <v>-87.124282629530839</v>
      </c>
      <c r="I211" s="54">
        <f>Sheet1!I211/1000</f>
        <v>266.47500000000002</v>
      </c>
      <c r="J211" s="54">
        <f>Sheet1!J211/1000</f>
        <v>575.10500000000002</v>
      </c>
      <c r="K211" s="54">
        <f>I211/J211*100-100</f>
        <v>-53.664982916163133</v>
      </c>
      <c r="L211" s="54">
        <f>Sheet1!L211/1000</f>
        <v>266.47500000000002</v>
      </c>
      <c r="M211" s="54">
        <f>Sheet1!M211/1000</f>
        <v>577.10500000000002</v>
      </c>
      <c r="N211" s="54">
        <f>L211/M211*100-100</f>
        <v>-53.825560339972796</v>
      </c>
      <c r="O211" s="75">
        <v>135</v>
      </c>
      <c r="P211" s="75">
        <v>152</v>
      </c>
      <c r="Q211" s="75">
        <v>142</v>
      </c>
      <c r="R211" s="44">
        <f t="shared" ref="R211:R217" si="78">O211*P211</f>
        <v>20520</v>
      </c>
    </row>
    <row r="212" spans="1:18" x14ac:dyDescent="0.25">
      <c r="A212" s="140">
        <v>2</v>
      </c>
      <c r="B212" s="141" t="s">
        <v>190</v>
      </c>
      <c r="C212" s="54">
        <f>Sheet1!C212/1000</f>
        <v>0</v>
      </c>
      <c r="D212" s="54">
        <f>Sheet1!D212/1000</f>
        <v>0</v>
      </c>
      <c r="E212" s="54">
        <v>0</v>
      </c>
      <c r="F212" s="54">
        <f>Sheet1!F212/1000</f>
        <v>0</v>
      </c>
      <c r="G212" s="54">
        <f>Sheet1!G212/1000</f>
        <v>0</v>
      </c>
      <c r="H212" s="54">
        <v>0</v>
      </c>
      <c r="I212" s="54">
        <f>Sheet1!I212/1000</f>
        <v>0</v>
      </c>
      <c r="J212" s="54">
        <f>Sheet1!J212/1000</f>
        <v>0</v>
      </c>
      <c r="K212" s="54">
        <v>0</v>
      </c>
      <c r="L212" s="54">
        <f>Sheet1!L212/1000</f>
        <v>0</v>
      </c>
      <c r="M212" s="54">
        <f>Sheet1!M212/1000</f>
        <v>0</v>
      </c>
      <c r="N212" s="54">
        <v>0</v>
      </c>
      <c r="O212" s="60"/>
      <c r="P212" s="47">
        <v>0</v>
      </c>
      <c r="Q212" s="60"/>
      <c r="R212" s="44">
        <f t="shared" si="78"/>
        <v>0</v>
      </c>
    </row>
    <row r="213" spans="1:18" x14ac:dyDescent="0.25">
      <c r="A213" s="140">
        <v>3</v>
      </c>
      <c r="B213" s="141" t="s">
        <v>191</v>
      </c>
      <c r="C213" s="54">
        <f>Sheet1!C213/1000</f>
        <v>1776.75</v>
      </c>
      <c r="D213" s="54">
        <f>Sheet1!D213/1000</f>
        <v>1535.674</v>
      </c>
      <c r="E213" s="75">
        <f>C213/D213*100-100</f>
        <v>15.698383901791658</v>
      </c>
      <c r="F213" s="54">
        <f>Sheet1!F213/1000</f>
        <v>719.63900000000001</v>
      </c>
      <c r="G213" s="54">
        <f>Sheet1!G213/1000</f>
        <v>686.01499999999999</v>
      </c>
      <c r="H213" s="75">
        <f>F213/G213*100-100</f>
        <v>4.9013505535593396</v>
      </c>
      <c r="I213" s="54">
        <f>Sheet1!I213/1000</f>
        <v>1776.75</v>
      </c>
      <c r="J213" s="54">
        <f>Sheet1!J213/1000</f>
        <v>1535.674</v>
      </c>
      <c r="K213" s="75">
        <f>I213/J213*100-100</f>
        <v>15.698383901791658</v>
      </c>
      <c r="L213" s="54">
        <f>Sheet1!L213/1000</f>
        <v>719.63900000000001</v>
      </c>
      <c r="M213" s="54">
        <f>Sheet1!M213/1000</f>
        <v>686.01499999999999</v>
      </c>
      <c r="N213" s="54">
        <f>L213/M213*100-100</f>
        <v>4.9013505535593396</v>
      </c>
      <c r="O213" s="75">
        <v>116</v>
      </c>
      <c r="P213" s="237">
        <v>165</v>
      </c>
      <c r="Q213" s="75">
        <v>123</v>
      </c>
      <c r="R213" s="44">
        <f t="shared" si="78"/>
        <v>19140</v>
      </c>
    </row>
    <row r="214" spans="1:18" x14ac:dyDescent="0.25">
      <c r="A214" s="140">
        <v>4</v>
      </c>
      <c r="B214" s="141" t="s">
        <v>192</v>
      </c>
      <c r="C214" s="54">
        <f>Sheet1!C214/1000</f>
        <v>78.268000000000001</v>
      </c>
      <c r="D214" s="54">
        <f>Sheet1!D214/1000</f>
        <v>253.149</v>
      </c>
      <c r="E214" s="54">
        <f>C214/D214*100-100</f>
        <v>-69.082240103654371</v>
      </c>
      <c r="F214" s="54">
        <f>Sheet1!F214/1000</f>
        <v>21.657</v>
      </c>
      <c r="G214" s="54">
        <f>Sheet1!G214/1000</f>
        <v>163.35300000000001</v>
      </c>
      <c r="H214" s="54">
        <f>F214/G214*100-100</f>
        <v>-86.742208591210442</v>
      </c>
      <c r="I214" s="54">
        <f>Sheet1!I214/1000</f>
        <v>141.58199999999999</v>
      </c>
      <c r="J214" s="54">
        <f>Sheet1!J214/1000</f>
        <v>176.63800000000001</v>
      </c>
      <c r="K214" s="54">
        <f>I214/J214*100-100</f>
        <v>-19.846239201077921</v>
      </c>
      <c r="L214" s="54">
        <f>Sheet1!L214/1000</f>
        <v>141.58199999999999</v>
      </c>
      <c r="M214" s="54">
        <f>Sheet1!M214/1000</f>
        <v>207.19900000000001</v>
      </c>
      <c r="N214" s="54">
        <f>L214/M214*100-100</f>
        <v>-31.668589134117454</v>
      </c>
      <c r="O214" s="75">
        <v>42</v>
      </c>
      <c r="P214" s="75">
        <v>36</v>
      </c>
      <c r="Q214" s="75">
        <v>42</v>
      </c>
      <c r="R214" s="44">
        <f t="shared" si="78"/>
        <v>1512</v>
      </c>
    </row>
    <row r="215" spans="1:18" x14ac:dyDescent="0.25">
      <c r="A215" s="140">
        <v>5</v>
      </c>
      <c r="B215" s="141" t="s">
        <v>193</v>
      </c>
      <c r="C215" s="54">
        <f>Sheet1!C215/1000</f>
        <v>1282.0909999999999</v>
      </c>
      <c r="D215" s="54">
        <f>Sheet1!D215/1000</f>
        <v>925.43600000000004</v>
      </c>
      <c r="E215" s="54">
        <f>C215/D215*100-100</f>
        <v>38.53913182543144</v>
      </c>
      <c r="F215" s="54">
        <f>Sheet1!F215/1000</f>
        <v>810.00800000000004</v>
      </c>
      <c r="G215" s="54">
        <f>Sheet1!G215/1000</f>
        <v>554.28200000000004</v>
      </c>
      <c r="H215" s="54">
        <f>F215/G215*100-100</f>
        <v>46.136443182351229</v>
      </c>
      <c r="I215" s="54">
        <f>Sheet1!I215/1000</f>
        <v>1180.107</v>
      </c>
      <c r="J215" s="54">
        <f>Sheet1!J215/1000</f>
        <v>736.053</v>
      </c>
      <c r="K215" s="54">
        <f>I215/J215*100-100</f>
        <v>60.329079563564051</v>
      </c>
      <c r="L215" s="54">
        <f>Sheet1!L215/1000</f>
        <v>1180.107</v>
      </c>
      <c r="M215" s="54">
        <f>Sheet1!M215/1000</f>
        <v>736.053</v>
      </c>
      <c r="N215" s="54">
        <f>L215/M215*100-100</f>
        <v>60.329079563564051</v>
      </c>
      <c r="O215" s="75">
        <v>49</v>
      </c>
      <c r="P215" s="75">
        <v>128</v>
      </c>
      <c r="Q215" s="75">
        <v>43</v>
      </c>
      <c r="R215" s="44">
        <f t="shared" si="78"/>
        <v>6272</v>
      </c>
    </row>
    <row r="216" spans="1:18" x14ac:dyDescent="0.25">
      <c r="A216" s="140">
        <v>6</v>
      </c>
      <c r="B216" s="141" t="s">
        <v>194</v>
      </c>
      <c r="C216" s="54">
        <f>Sheet1!C216/1000</f>
        <v>0</v>
      </c>
      <c r="D216" s="54">
        <f>Sheet1!D216/1000</f>
        <v>16.736999999999998</v>
      </c>
      <c r="E216" s="75">
        <v>0</v>
      </c>
      <c r="F216" s="54">
        <f>Sheet1!F216/1000</f>
        <v>0</v>
      </c>
      <c r="G216" s="54">
        <f>Sheet1!G216/1000</f>
        <v>16.736999999999998</v>
      </c>
      <c r="H216" s="75">
        <v>0</v>
      </c>
      <c r="I216" s="54">
        <f>Sheet1!I216/1000</f>
        <v>0</v>
      </c>
      <c r="J216" s="54">
        <f>Sheet1!J216/1000</f>
        <v>0</v>
      </c>
      <c r="K216" s="75">
        <v>0</v>
      </c>
      <c r="L216" s="54">
        <f>Sheet1!L216/1000</f>
        <v>0</v>
      </c>
      <c r="M216" s="54">
        <f>Sheet1!M216/1000</f>
        <v>0</v>
      </c>
      <c r="N216" s="75">
        <v>0</v>
      </c>
      <c r="O216" s="75">
        <v>3</v>
      </c>
      <c r="P216" s="75">
        <v>143</v>
      </c>
      <c r="Q216" s="75">
        <v>3</v>
      </c>
      <c r="R216" s="44">
        <f t="shared" si="78"/>
        <v>429</v>
      </c>
    </row>
    <row r="217" spans="1:18" x14ac:dyDescent="0.25">
      <c r="A217" s="140">
        <v>7</v>
      </c>
      <c r="B217" s="141" t="s">
        <v>195</v>
      </c>
      <c r="C217" s="54">
        <f>Sheet1!C217/1000</f>
        <v>0</v>
      </c>
      <c r="D217" s="54">
        <f>Sheet1!D217/1000</f>
        <v>0</v>
      </c>
      <c r="E217" s="54">
        <v>0</v>
      </c>
      <c r="F217" s="54">
        <f>Sheet1!F217/1000</f>
        <v>0</v>
      </c>
      <c r="G217" s="54">
        <f>Sheet1!G217/1000</f>
        <v>0</v>
      </c>
      <c r="H217" s="54">
        <v>0</v>
      </c>
      <c r="I217" s="54">
        <f>Sheet1!I217/1000</f>
        <v>0</v>
      </c>
      <c r="J217" s="54">
        <f>Sheet1!J217/1000</f>
        <v>0</v>
      </c>
      <c r="K217" s="54">
        <v>0</v>
      </c>
      <c r="L217" s="54">
        <f>Sheet1!L217/1000</f>
        <v>0</v>
      </c>
      <c r="M217" s="54">
        <f>Sheet1!M217/1000</f>
        <v>0</v>
      </c>
      <c r="N217" s="54">
        <v>0</v>
      </c>
      <c r="O217" s="75"/>
      <c r="P217" s="75">
        <v>0</v>
      </c>
      <c r="Q217" s="75"/>
      <c r="R217" s="44">
        <f t="shared" si="78"/>
        <v>0</v>
      </c>
    </row>
    <row r="218" spans="1:18" x14ac:dyDescent="0.25">
      <c r="A218" s="893" t="s">
        <v>196</v>
      </c>
      <c r="B218" s="894" t="s">
        <v>155</v>
      </c>
      <c r="C218" s="87">
        <f>SUM(C211:C217)</f>
        <v>3403.5839999999998</v>
      </c>
      <c r="D218" s="87">
        <f>SUM(D211:D217)</f>
        <v>3137.9210000000003</v>
      </c>
      <c r="E218" s="168">
        <f t="shared" ref="E218" si="79">C218/D218*100-100</f>
        <v>8.4662105897503181</v>
      </c>
      <c r="F218" s="87">
        <f>SUM(F211:F217)</f>
        <v>1595.9059999999999</v>
      </c>
      <c r="G218" s="87">
        <f>SUM(G211:G217)</f>
        <v>1766.7910000000002</v>
      </c>
      <c r="H218" s="168">
        <f t="shared" ref="H218" si="80">F218/G218*100-100</f>
        <v>-9.6720551553636085</v>
      </c>
      <c r="I218" s="87">
        <f>SUM(I211:I217)</f>
        <v>3364.9139999999998</v>
      </c>
      <c r="J218" s="87">
        <f>SUM(J211:J217)</f>
        <v>3023.47</v>
      </c>
      <c r="K218" s="168">
        <f t="shared" ref="K218" si="81">I218/J218*100-100</f>
        <v>11.293116849183221</v>
      </c>
      <c r="L218" s="87">
        <f>SUM(L211:L217)</f>
        <v>2307.8029999999999</v>
      </c>
      <c r="M218" s="87">
        <f>SUM(M211:M217)</f>
        <v>2206.3719999999998</v>
      </c>
      <c r="N218" s="168">
        <f t="shared" ref="N218" si="82">L218/M218*100-100</f>
        <v>4.5971848808813718</v>
      </c>
      <c r="O218" s="87">
        <f>SUM(O211:O217)</f>
        <v>345</v>
      </c>
      <c r="P218" s="87">
        <f>R218/O218</f>
        <v>138.76231884057972</v>
      </c>
      <c r="Q218" s="87">
        <f>SUM(Q211:Q217)</f>
        <v>353</v>
      </c>
      <c r="R218" s="70">
        <f>SUM(R211:R217)</f>
        <v>47873</v>
      </c>
    </row>
    <row r="219" spans="1:18" x14ac:dyDescent="0.25">
      <c r="A219" s="71"/>
      <c r="B219" s="71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R219" s="44"/>
    </row>
    <row r="220" spans="1:18" x14ac:dyDescent="0.25">
      <c r="A220" s="957" t="s">
        <v>197</v>
      </c>
      <c r="B220" s="958"/>
      <c r="C220" s="75"/>
      <c r="D220" s="75"/>
      <c r="E220" s="54"/>
      <c r="F220" s="75"/>
      <c r="G220" s="75"/>
      <c r="H220" s="54"/>
      <c r="I220" s="75"/>
      <c r="J220" s="75"/>
      <c r="K220" s="54"/>
      <c r="L220" s="75"/>
      <c r="M220" s="75"/>
      <c r="N220" s="54"/>
      <c r="O220" s="75"/>
      <c r="P220" s="75"/>
      <c r="Q220" s="75"/>
    </row>
    <row r="221" spans="1:18" x14ac:dyDescent="0.25">
      <c r="A221" s="116">
        <v>1</v>
      </c>
      <c r="B221" s="187" t="s">
        <v>198</v>
      </c>
      <c r="C221" s="54">
        <f>Sheet1!C221/1000</f>
        <v>631.60400000000004</v>
      </c>
      <c r="D221" s="54">
        <f>Sheet1!D221/1000</f>
        <v>445.31700000000001</v>
      </c>
      <c r="E221" s="54">
        <f t="shared" ref="E221:E222" si="83">C221/D221*100-100</f>
        <v>41.832447447548617</v>
      </c>
      <c r="F221" s="54">
        <f>Sheet1!F221/1000</f>
        <v>265.36799999999999</v>
      </c>
      <c r="G221" s="54">
        <f>Sheet1!G221/1000</f>
        <v>187.886</v>
      </c>
      <c r="H221" s="54">
        <f t="shared" ref="H221:H224" si="84">F221/G221*100-100</f>
        <v>41.238836315638196</v>
      </c>
      <c r="I221" s="54">
        <f>Sheet1!I221/1000</f>
        <v>488.16300000000001</v>
      </c>
      <c r="J221" s="54">
        <f>Sheet1!J221/1000</f>
        <v>401.815</v>
      </c>
      <c r="K221" s="54">
        <f t="shared" ref="K221" si="85">I221/J221*100-100</f>
        <v>21.489491432624462</v>
      </c>
      <c r="L221" s="54">
        <f>Sheet1!L221/1000</f>
        <v>414.13900000000001</v>
      </c>
      <c r="M221" s="54">
        <f>Sheet1!M221/1000</f>
        <v>309.73700000000002</v>
      </c>
      <c r="N221" s="75">
        <f t="shared" ref="N221:N226" si="86">L221/M221*100-100</f>
        <v>33.706660812237487</v>
      </c>
      <c r="O221" s="75">
        <v>139</v>
      </c>
      <c r="P221" s="75">
        <v>121</v>
      </c>
      <c r="Q221" s="75">
        <v>152</v>
      </c>
      <c r="R221" s="44">
        <f>O221*P221</f>
        <v>16819</v>
      </c>
    </row>
    <row r="222" spans="1:18" x14ac:dyDescent="0.25">
      <c r="A222" s="116">
        <v>2</v>
      </c>
      <c r="B222" s="141" t="s">
        <v>199</v>
      </c>
      <c r="C222" s="54">
        <f>Sheet1!C222/1000</f>
        <v>1.8720000000000001</v>
      </c>
      <c r="D222" s="54">
        <f>Sheet1!D222/1000</f>
        <v>0.80700000000000005</v>
      </c>
      <c r="E222" s="54">
        <f t="shared" si="83"/>
        <v>131.97026022304831</v>
      </c>
      <c r="F222" s="54">
        <f>Sheet1!F222/1000</f>
        <v>0.85499999999999998</v>
      </c>
      <c r="G222" s="54">
        <f>Sheet1!G222/1000</f>
        <v>0.372</v>
      </c>
      <c r="H222" s="54">
        <f t="shared" si="84"/>
        <v>129.83870967741936</v>
      </c>
      <c r="I222" s="54">
        <f>Sheet1!I222/1000</f>
        <v>14.537000000000001</v>
      </c>
      <c r="J222" s="54">
        <f>Sheet1!J222/1000</f>
        <v>15.157</v>
      </c>
      <c r="K222" s="54">
        <f>I222/J222*100-100</f>
        <v>-4.0905192320379911</v>
      </c>
      <c r="L222" s="54">
        <f>Sheet1!L222/1000</f>
        <v>0</v>
      </c>
      <c r="M222" s="54">
        <f>Sheet1!M222/1000</f>
        <v>0</v>
      </c>
      <c r="N222" s="75">
        <v>0</v>
      </c>
      <c r="O222" s="75">
        <v>72</v>
      </c>
      <c r="P222" s="75">
        <v>127</v>
      </c>
      <c r="Q222" s="75">
        <v>72</v>
      </c>
      <c r="R222" s="44">
        <f>O222*P222</f>
        <v>9144</v>
      </c>
    </row>
    <row r="223" spans="1:18" x14ac:dyDescent="0.25">
      <c r="A223" s="147">
        <v>3</v>
      </c>
      <c r="B223" s="141" t="s">
        <v>200</v>
      </c>
      <c r="C223" s="54">
        <f>Sheet1!C223/1000</f>
        <v>0</v>
      </c>
      <c r="D223" s="54">
        <f>Sheet1!D223/1000</f>
        <v>0</v>
      </c>
      <c r="E223" s="54">
        <v>0</v>
      </c>
      <c r="F223" s="54">
        <f>Sheet1!F223/1000</f>
        <v>0</v>
      </c>
      <c r="G223" s="54">
        <f>Sheet1!G223/1000</f>
        <v>0</v>
      </c>
      <c r="H223" s="54">
        <v>0</v>
      </c>
      <c r="I223" s="54">
        <f>Sheet1!I223/1000</f>
        <v>0</v>
      </c>
      <c r="J223" s="54">
        <f>Sheet1!J223/1000</f>
        <v>0</v>
      </c>
      <c r="K223" s="54">
        <v>0</v>
      </c>
      <c r="L223" s="54">
        <f>Sheet1!L223/1000</f>
        <v>0</v>
      </c>
      <c r="M223" s="54">
        <f>Sheet1!M223/1000</f>
        <v>0</v>
      </c>
      <c r="N223" s="75">
        <v>0</v>
      </c>
      <c r="O223" s="60"/>
      <c r="P223" s="47">
        <v>0</v>
      </c>
      <c r="Q223" s="60">
        <v>0</v>
      </c>
      <c r="R223" s="44">
        <f>O223*P223</f>
        <v>0</v>
      </c>
    </row>
    <row r="224" spans="1:18" x14ac:dyDescent="0.25">
      <c r="A224" s="147">
        <v>4</v>
      </c>
      <c r="B224" s="141" t="s">
        <v>201</v>
      </c>
      <c r="C224" s="54">
        <f>Sheet1!C224/1000</f>
        <v>245.76900000000001</v>
      </c>
      <c r="D224" s="54">
        <f>Sheet1!D224/1000</f>
        <v>119.899</v>
      </c>
      <c r="E224" s="54">
        <f t="shared" ref="E224:E226" si="87">C224/D224*100-100</f>
        <v>104.98002485425232</v>
      </c>
      <c r="F224" s="54">
        <f>Sheet1!F224/1000</f>
        <v>0</v>
      </c>
      <c r="G224" s="54">
        <f>Sheet1!G224/1000</f>
        <v>0</v>
      </c>
      <c r="H224" s="54" t="e">
        <f t="shared" si="84"/>
        <v>#DIV/0!</v>
      </c>
      <c r="I224" s="54">
        <f>Sheet1!I224/1000</f>
        <v>245.76900000000001</v>
      </c>
      <c r="J224" s="54">
        <f>Sheet1!J224/1000</f>
        <v>119.899</v>
      </c>
      <c r="K224" s="54">
        <f t="shared" ref="K224:K226" si="88">I224/J224*100-100</f>
        <v>104.98002485425232</v>
      </c>
      <c r="L224" s="54">
        <f>Sheet1!L224/1000</f>
        <v>245.76900000000001</v>
      </c>
      <c r="M224" s="54">
        <f>Sheet1!M224/1000</f>
        <v>119.899</v>
      </c>
      <c r="N224" s="75">
        <f t="shared" si="86"/>
        <v>104.98002485425232</v>
      </c>
      <c r="O224" s="75">
        <v>30</v>
      </c>
      <c r="P224" s="75">
        <v>70</v>
      </c>
      <c r="Q224" s="75">
        <v>31</v>
      </c>
      <c r="R224" s="44">
        <f>O224*P224</f>
        <v>2100</v>
      </c>
    </row>
    <row r="225" spans="1:19" x14ac:dyDescent="0.25">
      <c r="A225" s="893" t="s">
        <v>202</v>
      </c>
      <c r="B225" s="894" t="s">
        <v>155</v>
      </c>
      <c r="C225" s="87">
        <f>SUM(C221:C224)</f>
        <v>879.245</v>
      </c>
      <c r="D225" s="87">
        <f>SUM(D221:D224)</f>
        <v>566.02300000000002</v>
      </c>
      <c r="E225" s="168">
        <f t="shared" si="87"/>
        <v>55.337327281753545</v>
      </c>
      <c r="F225" s="87">
        <f>SUM(F221:F224)</f>
        <v>266.22300000000001</v>
      </c>
      <c r="G225" s="87">
        <f>SUM(G221:G224)</f>
        <v>188.25800000000001</v>
      </c>
      <c r="H225" s="168">
        <v>0</v>
      </c>
      <c r="I225" s="87">
        <f>SUM(I221:I224)</f>
        <v>748.46900000000005</v>
      </c>
      <c r="J225" s="87">
        <f>SUM(J221:J224)</f>
        <v>536.87099999999998</v>
      </c>
      <c r="K225" s="168">
        <f t="shared" si="88"/>
        <v>39.41319236837154</v>
      </c>
      <c r="L225" s="87">
        <f>SUM(L221:L224)</f>
        <v>659.90800000000002</v>
      </c>
      <c r="M225" s="87">
        <f>SUM(M221:M224)</f>
        <v>429.63600000000002</v>
      </c>
      <c r="N225" s="168">
        <f t="shared" si="86"/>
        <v>53.596998389334232</v>
      </c>
      <c r="O225" s="87">
        <f>SUM(O221:O224)</f>
        <v>241</v>
      </c>
      <c r="P225" s="87">
        <f>R225/O225</f>
        <v>116.44398340248962</v>
      </c>
      <c r="Q225" s="87">
        <f>SUM(Q221:Q224)</f>
        <v>255</v>
      </c>
      <c r="R225" s="70">
        <f>SUM(R221:R224)</f>
        <v>28063</v>
      </c>
    </row>
    <row r="226" spans="1:19" x14ac:dyDescent="0.25">
      <c r="A226" s="135"/>
      <c r="B226" s="135" t="s">
        <v>203</v>
      </c>
      <c r="C226" s="106">
        <f>C218+C225</f>
        <v>4282.8289999999997</v>
      </c>
      <c r="D226" s="106">
        <f>D218+D225</f>
        <v>3703.9440000000004</v>
      </c>
      <c r="E226" s="236">
        <f t="shared" si="87"/>
        <v>15.628880998200813</v>
      </c>
      <c r="F226" s="106">
        <f>F218+F225</f>
        <v>1862.1289999999999</v>
      </c>
      <c r="G226" s="106">
        <f>G218+G225</f>
        <v>1955.0490000000002</v>
      </c>
      <c r="H226" s="236">
        <f t="shared" ref="H226" si="89">F226/G226*100-100</f>
        <v>-4.7528220520304245</v>
      </c>
      <c r="I226" s="106">
        <f>I218+I225</f>
        <v>4113.3829999999998</v>
      </c>
      <c r="J226" s="106">
        <f>J218+J225</f>
        <v>3560.3409999999999</v>
      </c>
      <c r="K226" s="236">
        <f t="shared" si="88"/>
        <v>15.533399750192459</v>
      </c>
      <c r="L226" s="106">
        <f>L218+L225</f>
        <v>2967.7109999999998</v>
      </c>
      <c r="M226" s="106">
        <f>M218+M225</f>
        <v>2636.0079999999998</v>
      </c>
      <c r="N226" s="236">
        <f t="shared" si="86"/>
        <v>12.583535406569339</v>
      </c>
      <c r="O226" s="106">
        <f>O218+O225</f>
        <v>586</v>
      </c>
      <c r="P226" s="106">
        <f>R226/O226</f>
        <v>129.58361774744029</v>
      </c>
      <c r="Q226" s="106">
        <f>Q218+Q225</f>
        <v>608</v>
      </c>
      <c r="R226" s="106">
        <f>R218+R225</f>
        <v>75936</v>
      </c>
      <c r="S226" s="197"/>
    </row>
    <row r="227" spans="1:19" x14ac:dyDescent="0.25">
      <c r="A227" s="71"/>
      <c r="B227" s="71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R227" s="31"/>
    </row>
    <row r="228" spans="1:19" x14ac:dyDescent="0.25">
      <c r="A228" s="955" t="s">
        <v>204</v>
      </c>
      <c r="B228" s="956"/>
      <c r="C228" s="38">
        <v>3</v>
      </c>
      <c r="D228" s="38">
        <v>4</v>
      </c>
      <c r="E228" s="38">
        <v>5</v>
      </c>
      <c r="F228" s="38">
        <v>6</v>
      </c>
      <c r="G228" s="38">
        <v>7</v>
      </c>
      <c r="H228" s="38">
        <v>8</v>
      </c>
      <c r="I228" s="38">
        <v>9</v>
      </c>
      <c r="J228" s="38">
        <v>10</v>
      </c>
      <c r="K228" s="38">
        <v>11</v>
      </c>
      <c r="L228" s="38">
        <v>12</v>
      </c>
      <c r="M228" s="38">
        <v>13</v>
      </c>
      <c r="N228" s="38">
        <v>14</v>
      </c>
      <c r="O228" s="38">
        <v>15</v>
      </c>
      <c r="P228" s="38">
        <v>16</v>
      </c>
      <c r="Q228" s="38">
        <v>17</v>
      </c>
    </row>
    <row r="229" spans="1:19" x14ac:dyDescent="0.25">
      <c r="A229" s="152">
        <v>1</v>
      </c>
      <c r="B229" s="154" t="s">
        <v>205</v>
      </c>
      <c r="C229" s="54">
        <f>Sheet1!C229/1000</f>
        <v>207.3219</v>
      </c>
      <c r="D229" s="54">
        <f>Sheet1!D229/1000</f>
        <v>154.81110000000001</v>
      </c>
      <c r="E229" s="75">
        <f t="shared" ref="E229:E238" si="90">C229/D229*100-100</f>
        <v>33.919273230407896</v>
      </c>
      <c r="F229" s="54">
        <f>Sheet1!F229/1000</f>
        <v>96.890699999999995</v>
      </c>
      <c r="G229" s="54">
        <f>Sheet1!G229/1000</f>
        <v>52.566300000000005</v>
      </c>
      <c r="H229" s="75">
        <f t="shared" ref="H229:H238" si="91">F229/G229*100-100</f>
        <v>84.320943265932726</v>
      </c>
      <c r="I229" s="54">
        <f>Sheet1!I229/1000</f>
        <v>145.75910000000002</v>
      </c>
      <c r="J229" s="54">
        <f>Sheet1!J229/1000</f>
        <v>63.329000000000001</v>
      </c>
      <c r="K229" s="75">
        <f t="shared" ref="K229:K238" si="92">I229/J229*100-100</f>
        <v>130.16169527388718</v>
      </c>
      <c r="L229" s="54">
        <f>Sheet1!L229/1000</f>
        <v>0</v>
      </c>
      <c r="M229" s="54">
        <f>Sheet1!M229/1000</f>
        <v>0</v>
      </c>
      <c r="N229" s="75">
        <v>0</v>
      </c>
      <c r="O229" s="60">
        <v>270</v>
      </c>
      <c r="P229" s="75">
        <v>261.3</v>
      </c>
      <c r="Q229" s="60">
        <v>270</v>
      </c>
      <c r="R229" s="157">
        <f t="shared" ref="R229:R237" si="93">O229*P229</f>
        <v>70551</v>
      </c>
    </row>
    <row r="230" spans="1:19" x14ac:dyDescent="0.25">
      <c r="A230" s="152">
        <v>2</v>
      </c>
      <c r="B230" s="154" t="s">
        <v>206</v>
      </c>
      <c r="C230" s="54">
        <f>Sheet1!C230/1000</f>
        <v>9.1609999999999996</v>
      </c>
      <c r="D230" s="54">
        <f>Sheet1!D230/1000</f>
        <v>1.2130000000000001</v>
      </c>
      <c r="E230" s="75">
        <f t="shared" si="90"/>
        <v>655.23495465787289</v>
      </c>
      <c r="F230" s="54">
        <f>Sheet1!F230/1000</f>
        <v>1.121</v>
      </c>
      <c r="G230" s="54">
        <f>Sheet1!G230/1000</f>
        <v>1.2130000000000001</v>
      </c>
      <c r="H230" s="75">
        <f t="shared" si="91"/>
        <v>-7.5845012366034723</v>
      </c>
      <c r="I230" s="54">
        <f>Sheet1!I230/1000</f>
        <v>9.1609999999999996</v>
      </c>
      <c r="J230" s="54">
        <f>Sheet1!J230/1000</f>
        <v>1.2130000000000001</v>
      </c>
      <c r="K230" s="75">
        <v>0</v>
      </c>
      <c r="L230" s="54">
        <f>Sheet1!L230/1000</f>
        <v>9.1609999999999996</v>
      </c>
      <c r="M230" s="54">
        <f>Sheet1!M230/1000</f>
        <v>1.2130000000000001</v>
      </c>
      <c r="N230" s="75">
        <v>0</v>
      </c>
      <c r="O230" s="60">
        <v>8</v>
      </c>
      <c r="P230" s="75">
        <v>71.2</v>
      </c>
      <c r="Q230" s="60">
        <v>88</v>
      </c>
      <c r="R230" s="157">
        <f t="shared" si="93"/>
        <v>569.6</v>
      </c>
    </row>
    <row r="231" spans="1:19" ht="24" x14ac:dyDescent="0.25">
      <c r="A231" s="158">
        <v>3</v>
      </c>
      <c r="B231" s="159" t="s">
        <v>207</v>
      </c>
      <c r="C231" s="54">
        <f>Sheet1!C231/1000</f>
        <v>25.545999999999999</v>
      </c>
      <c r="D231" s="54">
        <f>Sheet1!D231/1000</f>
        <v>28.628</v>
      </c>
      <c r="E231" s="62">
        <f t="shared" si="90"/>
        <v>-10.765683945787345</v>
      </c>
      <c r="F231" s="54">
        <f>Sheet1!F231/1000</f>
        <v>16.542000000000002</v>
      </c>
      <c r="G231" s="54">
        <f>Sheet1!G231/1000</f>
        <v>18.007999999999999</v>
      </c>
      <c r="H231" s="62">
        <v>0</v>
      </c>
      <c r="I231" s="54">
        <f>Sheet1!I231/1000</f>
        <v>0</v>
      </c>
      <c r="J231" s="54">
        <f>Sheet1!J231/1000</f>
        <v>0</v>
      </c>
      <c r="K231" s="62">
        <v>0</v>
      </c>
      <c r="L231" s="54">
        <f>Sheet1!L231/1000</f>
        <v>0</v>
      </c>
      <c r="M231" s="54">
        <f>Sheet1!M231/1000</f>
        <v>0</v>
      </c>
      <c r="N231" s="62">
        <v>0</v>
      </c>
      <c r="O231" s="54">
        <v>88</v>
      </c>
      <c r="P231" s="62">
        <v>97</v>
      </c>
      <c r="Q231" s="54">
        <v>5</v>
      </c>
      <c r="R231" s="160">
        <f t="shared" si="93"/>
        <v>8536</v>
      </c>
    </row>
    <row r="232" spans="1:19" x14ac:dyDescent="0.25">
      <c r="A232" s="152">
        <v>4</v>
      </c>
      <c r="B232" s="161" t="s">
        <v>208</v>
      </c>
      <c r="C232" s="54">
        <f>Sheet1!C232/1000</f>
        <v>0</v>
      </c>
      <c r="D232" s="54">
        <f>Sheet1!D232/1000</f>
        <v>0.307</v>
      </c>
      <c r="E232" s="75">
        <v>0</v>
      </c>
      <c r="F232" s="54">
        <f>Sheet1!F232/1000</f>
        <v>0</v>
      </c>
      <c r="G232" s="54">
        <f>Sheet1!G232/1000</f>
        <v>0.182</v>
      </c>
      <c r="H232" s="75">
        <v>0</v>
      </c>
      <c r="I232" s="54">
        <f>Sheet1!I232/1000</f>
        <v>0</v>
      </c>
      <c r="J232" s="54">
        <f>Sheet1!J232/1000</f>
        <v>0.307</v>
      </c>
      <c r="K232" s="75">
        <v>0</v>
      </c>
      <c r="L232" s="54">
        <f>Sheet1!L232/1000</f>
        <v>0</v>
      </c>
      <c r="M232" s="54">
        <f>Sheet1!M232/1000</f>
        <v>0</v>
      </c>
      <c r="N232" s="75">
        <v>0</v>
      </c>
      <c r="O232" s="60">
        <v>5</v>
      </c>
      <c r="P232" s="75">
        <v>55.7</v>
      </c>
      <c r="Q232" s="60">
        <v>16</v>
      </c>
      <c r="R232" s="162">
        <f t="shared" si="93"/>
        <v>278.5</v>
      </c>
    </row>
    <row r="233" spans="1:19" x14ac:dyDescent="0.25">
      <c r="A233" s="152">
        <v>5</v>
      </c>
      <c r="B233" s="163" t="s">
        <v>209</v>
      </c>
      <c r="C233" s="54">
        <f>Sheet1!C233/1000</f>
        <v>0</v>
      </c>
      <c r="D233" s="54">
        <f>Sheet1!D233/1000</f>
        <v>0</v>
      </c>
      <c r="E233" s="75">
        <v>0</v>
      </c>
      <c r="F233" s="54">
        <f>Sheet1!F233/1000</f>
        <v>0</v>
      </c>
      <c r="G233" s="54">
        <f>Sheet1!G233/1000</f>
        <v>0</v>
      </c>
      <c r="H233" s="75">
        <v>0</v>
      </c>
      <c r="I233" s="54">
        <f>Sheet1!I233/1000</f>
        <v>0</v>
      </c>
      <c r="J233" s="54">
        <f>Sheet1!J233/1000</f>
        <v>0</v>
      </c>
      <c r="K233" s="75">
        <v>0</v>
      </c>
      <c r="L233" s="54">
        <f>Sheet1!L233/1000</f>
        <v>0</v>
      </c>
      <c r="M233" s="54">
        <f>Sheet1!M233/1000</f>
        <v>0</v>
      </c>
      <c r="N233" s="75">
        <v>0</v>
      </c>
      <c r="O233" s="60">
        <v>16</v>
      </c>
      <c r="P233" s="75">
        <v>59</v>
      </c>
      <c r="Q233" s="60">
        <v>11</v>
      </c>
      <c r="R233" s="162">
        <f t="shared" si="93"/>
        <v>944</v>
      </c>
    </row>
    <row r="234" spans="1:19" x14ac:dyDescent="0.25">
      <c r="A234" s="152">
        <v>6</v>
      </c>
      <c r="B234" s="154" t="s">
        <v>210</v>
      </c>
      <c r="C234" s="54">
        <f>Sheet1!C234/1000</f>
        <v>2.9510000000000001</v>
      </c>
      <c r="D234" s="54">
        <f>Sheet1!D234/1000</f>
        <v>3.12</v>
      </c>
      <c r="E234" s="75">
        <f t="shared" si="90"/>
        <v>-5.4166666666666714</v>
      </c>
      <c r="F234" s="54">
        <f>Sheet1!F234/1000</f>
        <v>1.016</v>
      </c>
      <c r="G234" s="54">
        <f>Sheet1!G234/1000</f>
        <v>0.90500000000000003</v>
      </c>
      <c r="H234" s="75">
        <f t="shared" si="91"/>
        <v>12.265193370165733</v>
      </c>
      <c r="I234" s="54">
        <f>Sheet1!I234/1000</f>
        <v>0</v>
      </c>
      <c r="J234" s="54">
        <f>Sheet1!J234/1000</f>
        <v>0</v>
      </c>
      <c r="K234" s="75">
        <v>0</v>
      </c>
      <c r="L234" s="54">
        <f>Sheet1!L234/1000</f>
        <v>0</v>
      </c>
      <c r="M234" s="54">
        <f>Sheet1!M234/1000</f>
        <v>0</v>
      </c>
      <c r="N234" s="75">
        <v>0</v>
      </c>
      <c r="O234" s="60">
        <v>11</v>
      </c>
      <c r="P234" s="75">
        <v>79.400000000000006</v>
      </c>
      <c r="Q234" s="60">
        <v>23</v>
      </c>
      <c r="R234" s="162">
        <f t="shared" si="93"/>
        <v>873.40000000000009</v>
      </c>
    </row>
    <row r="235" spans="1:19" x14ac:dyDescent="0.25">
      <c r="A235" s="152">
        <v>7</v>
      </c>
      <c r="B235" s="154" t="s">
        <v>211</v>
      </c>
      <c r="C235" s="54">
        <f>Sheet1!C235/1000</f>
        <v>15.8</v>
      </c>
      <c r="D235" s="54">
        <f>Sheet1!D235/1000</f>
        <v>11.234999999999999</v>
      </c>
      <c r="E235" s="75">
        <f t="shared" si="90"/>
        <v>40.63195371606588</v>
      </c>
      <c r="F235" s="54">
        <f>Sheet1!F235/1000</f>
        <v>5</v>
      </c>
      <c r="G235" s="54">
        <f>Sheet1!G235/1000</f>
        <v>2.4350000000000001</v>
      </c>
      <c r="H235" s="75">
        <f t="shared" si="91"/>
        <v>105.33880903490757</v>
      </c>
      <c r="I235" s="54">
        <f>Sheet1!I235/1000</f>
        <v>0.99099999999999999</v>
      </c>
      <c r="J235" s="54">
        <f>Sheet1!J235/1000</f>
        <v>0.98399999999999999</v>
      </c>
      <c r="K235" s="75">
        <f t="shared" si="92"/>
        <v>0.7113821138211307</v>
      </c>
      <c r="L235" s="54">
        <f>Sheet1!L235/1000</f>
        <v>0</v>
      </c>
      <c r="M235" s="54">
        <f>Sheet1!M235/1000</f>
        <v>0</v>
      </c>
      <c r="N235" s="75">
        <v>0</v>
      </c>
      <c r="O235" s="60">
        <v>21</v>
      </c>
      <c r="P235" s="75">
        <v>177.4</v>
      </c>
      <c r="Q235" s="60">
        <v>8</v>
      </c>
      <c r="R235" s="162">
        <f t="shared" si="93"/>
        <v>3725.4</v>
      </c>
    </row>
    <row r="236" spans="1:19" x14ac:dyDescent="0.25">
      <c r="A236" s="152">
        <v>8</v>
      </c>
      <c r="B236" s="154" t="s">
        <v>212</v>
      </c>
      <c r="C236" s="54">
        <f>Sheet1!C236/1000</f>
        <v>3.5779999999999998</v>
      </c>
      <c r="D236" s="54">
        <f>Sheet1!D236/1000</f>
        <v>4.2839999999999998</v>
      </c>
      <c r="E236" s="75">
        <f t="shared" si="90"/>
        <v>-16.479925303454706</v>
      </c>
      <c r="F236" s="54">
        <f>Sheet1!F236/1000</f>
        <v>1.198</v>
      </c>
      <c r="G236" s="54">
        <f>Sheet1!G236/1000</f>
        <v>1.048</v>
      </c>
      <c r="H236" s="75">
        <f t="shared" si="91"/>
        <v>14.312977099236619</v>
      </c>
      <c r="I236" s="54">
        <f>Sheet1!I236/1000</f>
        <v>3.5779999999999998</v>
      </c>
      <c r="J236" s="54">
        <f>Sheet1!J236/1000</f>
        <v>4.2839999999999998</v>
      </c>
      <c r="K236" s="75">
        <f t="shared" si="92"/>
        <v>-16.479925303454706</v>
      </c>
      <c r="L236" s="54">
        <f>Sheet1!L236/1000</f>
        <v>0</v>
      </c>
      <c r="M236" s="54">
        <f>Sheet1!M236/1000</f>
        <v>0</v>
      </c>
      <c r="N236" s="75">
        <v>0</v>
      </c>
      <c r="O236" s="60">
        <v>9</v>
      </c>
      <c r="P236" s="75">
        <v>76.900000000000006</v>
      </c>
      <c r="Q236" s="60">
        <v>23</v>
      </c>
      <c r="R236" s="157">
        <f t="shared" si="93"/>
        <v>692.1</v>
      </c>
    </row>
    <row r="237" spans="1:19" x14ac:dyDescent="0.25">
      <c r="A237" s="152">
        <v>9</v>
      </c>
      <c r="B237" s="164" t="s">
        <v>213</v>
      </c>
      <c r="C237" s="54">
        <f>Sheet1!C237/1000</f>
        <v>8.5000000000000006E-2</v>
      </c>
      <c r="D237" s="54">
        <f>Sheet1!D237/1000</f>
        <v>0.33500000000000002</v>
      </c>
      <c r="E237" s="75">
        <f t="shared" si="90"/>
        <v>-74.626865671641795</v>
      </c>
      <c r="F237" s="54">
        <f>Sheet1!F237/1000</f>
        <v>8.5000000000000006E-2</v>
      </c>
      <c r="G237" s="54">
        <f>Sheet1!G237/1000</f>
        <v>0.33500000000000002</v>
      </c>
      <c r="H237" s="75">
        <f t="shared" si="91"/>
        <v>-74.626865671641795</v>
      </c>
      <c r="I237" s="54">
        <f>Sheet1!I237/1000</f>
        <v>0.99199999999999999</v>
      </c>
      <c r="J237" s="54">
        <f>Sheet1!J237/1000</f>
        <v>1.1419999999999999</v>
      </c>
      <c r="K237" s="75">
        <f t="shared" si="92"/>
        <v>-13.134851138353753</v>
      </c>
      <c r="L237" s="54">
        <f>Sheet1!L237/1000</f>
        <v>0</v>
      </c>
      <c r="M237" s="54">
        <f>Sheet1!M237/1000</f>
        <v>0</v>
      </c>
      <c r="N237" s="75">
        <v>0</v>
      </c>
      <c r="O237" s="60">
        <v>23</v>
      </c>
      <c r="P237" s="75">
        <v>59.7</v>
      </c>
      <c r="Q237" s="60">
        <v>8</v>
      </c>
      <c r="R237" s="162">
        <f t="shared" si="93"/>
        <v>1373.1000000000001</v>
      </c>
    </row>
    <row r="238" spans="1:19" x14ac:dyDescent="0.25">
      <c r="A238" s="56"/>
      <c r="B238" s="56" t="s">
        <v>214</v>
      </c>
      <c r="C238" s="87">
        <f>SUM(C229:C237)</f>
        <v>264.44289999999995</v>
      </c>
      <c r="D238" s="87">
        <f>SUM(D229:D237)</f>
        <v>203.9331</v>
      </c>
      <c r="E238" s="87">
        <f t="shared" si="90"/>
        <v>29.671397139552113</v>
      </c>
      <c r="F238" s="87">
        <f>SUM(F229:F237)</f>
        <v>121.85269999999998</v>
      </c>
      <c r="G238" s="87">
        <f>SUM(G229:G237)</f>
        <v>76.692300000000003</v>
      </c>
      <c r="H238" s="87">
        <f t="shared" si="91"/>
        <v>58.885181432816552</v>
      </c>
      <c r="I238" s="87">
        <f>SUM(I229:I237)</f>
        <v>160.48110000000003</v>
      </c>
      <c r="J238" s="87">
        <f>SUM(J229:J237)</f>
        <v>71.259</v>
      </c>
      <c r="K238" s="87">
        <f t="shared" si="92"/>
        <v>125.20818422936054</v>
      </c>
      <c r="L238" s="87">
        <f>SUM(L229:L237)</f>
        <v>9.1609999999999996</v>
      </c>
      <c r="M238" s="87">
        <f>SUM(M229:M237)</f>
        <v>1.2130000000000001</v>
      </c>
      <c r="N238" s="87">
        <f t="shared" ref="N238" si="94">L238/M238*100-100</f>
        <v>655.23495465787289</v>
      </c>
      <c r="O238" s="87">
        <f>SUM(O229:O237)</f>
        <v>451</v>
      </c>
      <c r="P238" s="87">
        <f>R238/O238</f>
        <v>194.1088691796009</v>
      </c>
      <c r="Q238" s="87">
        <f>SUM(Q229:Q237)</f>
        <v>452</v>
      </c>
      <c r="R238" s="188">
        <f>SUM(R229:R237)</f>
        <v>87543.1</v>
      </c>
    </row>
    <row r="239" spans="1:19" x14ac:dyDescent="0.25">
      <c r="A239" s="71"/>
      <c r="B239" s="71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R239" s="24"/>
    </row>
    <row r="240" spans="1:19" x14ac:dyDescent="0.25">
      <c r="A240" s="909" t="s">
        <v>215</v>
      </c>
      <c r="B240" s="910"/>
      <c r="C240" s="38">
        <v>3</v>
      </c>
      <c r="D240" s="38">
        <v>4</v>
      </c>
      <c r="E240" s="38">
        <v>5</v>
      </c>
      <c r="F240" s="38">
        <v>6</v>
      </c>
      <c r="G240" s="38">
        <v>7</v>
      </c>
      <c r="H240" s="38">
        <v>8</v>
      </c>
      <c r="I240" s="38">
        <v>9</v>
      </c>
      <c r="J240" s="38">
        <v>10</v>
      </c>
      <c r="K240" s="38">
        <v>11</v>
      </c>
      <c r="L240" s="38">
        <v>12</v>
      </c>
      <c r="M240" s="38">
        <v>13</v>
      </c>
      <c r="N240" s="38">
        <v>14</v>
      </c>
      <c r="O240" s="38">
        <v>15</v>
      </c>
      <c r="P240" s="38">
        <v>16</v>
      </c>
      <c r="Q240" s="38">
        <v>15</v>
      </c>
    </row>
    <row r="241" spans="1:18" x14ac:dyDescent="0.25">
      <c r="A241" s="100">
        <v>1</v>
      </c>
      <c r="B241" s="167" t="s">
        <v>216</v>
      </c>
      <c r="C241" s="54">
        <f>Sheet1!C241/1000</f>
        <v>16.271000000000001</v>
      </c>
      <c r="D241" s="54">
        <f>Sheet1!D241/1000</f>
        <v>37.843000000000004</v>
      </c>
      <c r="E241" s="75">
        <f t="shared" ref="E241:E243" si="95">C241/D241*100-100</f>
        <v>-57.003937319979919</v>
      </c>
      <c r="F241" s="54">
        <f>Sheet1!F241/1000</f>
        <v>13.827999999999999</v>
      </c>
      <c r="G241" s="54">
        <f>Sheet1!G241/1000</f>
        <v>5.6440000000000001</v>
      </c>
      <c r="H241" s="75">
        <f t="shared" ref="H241:H243" si="96">F241/G241*100-100</f>
        <v>145.00354358610915</v>
      </c>
      <c r="I241" s="54">
        <f>Sheet1!I241/1000</f>
        <v>16.271000000000001</v>
      </c>
      <c r="J241" s="54">
        <f>Sheet1!J241/1000</f>
        <v>37.843000000000004</v>
      </c>
      <c r="K241" s="75">
        <f t="shared" ref="K241:K243" si="97">I241/J241*100-100</f>
        <v>-57.003937319979919</v>
      </c>
      <c r="L241" s="54">
        <f>Sheet1!L241/1000</f>
        <v>16.271000000000001</v>
      </c>
      <c r="M241" s="54">
        <f>Sheet1!M241/1000</f>
        <v>37.843000000000004</v>
      </c>
      <c r="N241" s="75">
        <f t="shared" ref="N241:N243" si="98">L241/M241*100-100</f>
        <v>-57.003937319979919</v>
      </c>
      <c r="O241" s="34">
        <v>48</v>
      </c>
      <c r="P241" s="75">
        <v>63</v>
      </c>
      <c r="Q241" s="34">
        <v>48</v>
      </c>
      <c r="R241" s="72">
        <f>O241*P241</f>
        <v>3024</v>
      </c>
    </row>
    <row r="242" spans="1:18" x14ac:dyDescent="0.25">
      <c r="A242" s="100">
        <v>2</v>
      </c>
      <c r="B242" s="167" t="s">
        <v>217</v>
      </c>
      <c r="C242" s="54">
        <f>Sheet1!C242/1000</f>
        <v>0</v>
      </c>
      <c r="D242" s="54">
        <f>Sheet1!D242/1000</f>
        <v>17.509</v>
      </c>
      <c r="E242" s="54">
        <f t="shared" si="95"/>
        <v>-100</v>
      </c>
      <c r="F242" s="54">
        <f>Sheet1!F242/1000</f>
        <v>0</v>
      </c>
      <c r="G242" s="54">
        <f>Sheet1!G242/1000</f>
        <v>12.141</v>
      </c>
      <c r="H242" s="75">
        <f t="shared" si="96"/>
        <v>-100</v>
      </c>
      <c r="I242" s="54">
        <f>Sheet1!I242/1000</f>
        <v>2.754</v>
      </c>
      <c r="J242" s="54">
        <f>Sheet1!J242/1000</f>
        <v>17.54</v>
      </c>
      <c r="K242" s="75">
        <f t="shared" si="97"/>
        <v>-84.298745724059287</v>
      </c>
      <c r="L242" s="54">
        <f>Sheet1!L242/1000</f>
        <v>2.754</v>
      </c>
      <c r="M242" s="54">
        <f>Sheet1!M242/1000</f>
        <v>8.0180000000000007</v>
      </c>
      <c r="N242" s="75">
        <f t="shared" si="98"/>
        <v>-65.652282364679479</v>
      </c>
      <c r="O242" s="34">
        <v>164</v>
      </c>
      <c r="P242" s="75">
        <v>82</v>
      </c>
      <c r="Q242" s="34">
        <v>164</v>
      </c>
      <c r="R242" s="72">
        <f>O242*P242</f>
        <v>13448</v>
      </c>
    </row>
    <row r="243" spans="1:18" x14ac:dyDescent="0.25">
      <c r="A243" s="893" t="s">
        <v>202</v>
      </c>
      <c r="B243" s="894" t="s">
        <v>155</v>
      </c>
      <c r="C243" s="87">
        <f>SUM(C241:C242)</f>
        <v>16.271000000000001</v>
      </c>
      <c r="D243" s="87">
        <f>SUM(D241:D242)</f>
        <v>55.352000000000004</v>
      </c>
      <c r="E243" s="168">
        <f t="shared" si="95"/>
        <v>-70.604494869200749</v>
      </c>
      <c r="F243" s="87">
        <f>SUM(F241:F242)</f>
        <v>13.827999999999999</v>
      </c>
      <c r="G243" s="87">
        <f>SUM(G241:G242)</f>
        <v>17.785</v>
      </c>
      <c r="H243" s="168">
        <f t="shared" si="96"/>
        <v>-22.249086308687112</v>
      </c>
      <c r="I243" s="87">
        <f>SUM(I241:I242)</f>
        <v>19.025000000000002</v>
      </c>
      <c r="J243" s="87">
        <f>SUM(J241:J242)</f>
        <v>55.383000000000003</v>
      </c>
      <c r="K243" s="168">
        <f t="shared" si="97"/>
        <v>-65.648303631078136</v>
      </c>
      <c r="L243" s="87">
        <f>SUM(L241:L242)</f>
        <v>19.025000000000002</v>
      </c>
      <c r="M243" s="87">
        <f>SUM(M241:M242)</f>
        <v>45.861000000000004</v>
      </c>
      <c r="N243" s="168">
        <f t="shared" si="98"/>
        <v>-58.515950371775581</v>
      </c>
      <c r="O243" s="87">
        <f>SUM(O241:O242)</f>
        <v>212</v>
      </c>
      <c r="P243" s="87">
        <f>R243/O243</f>
        <v>63.433962264150942</v>
      </c>
      <c r="Q243" s="87">
        <f>SUM(Q241:Q242)</f>
        <v>212</v>
      </c>
      <c r="R243" s="188">
        <f>SUM(R242:R242)</f>
        <v>13448</v>
      </c>
    </row>
  </sheetData>
  <mergeCells count="60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29:Q31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Q32:Q33"/>
    <mergeCell ref="P32:P33"/>
    <mergeCell ref="A78:B78"/>
    <mergeCell ref="A80:B80"/>
    <mergeCell ref="A94:B94"/>
    <mergeCell ref="A68:B68"/>
    <mergeCell ref="A35:B35"/>
    <mergeCell ref="A54:B54"/>
    <mergeCell ref="A56:B56"/>
    <mergeCell ref="A66:B66"/>
    <mergeCell ref="O32:O33"/>
    <mergeCell ref="A32:A33"/>
    <mergeCell ref="B32:B33"/>
    <mergeCell ref="C32:G32"/>
    <mergeCell ref="H32:K32"/>
    <mergeCell ref="A124:B124"/>
    <mergeCell ref="A133:B133"/>
    <mergeCell ref="A206:B206"/>
    <mergeCell ref="A141:B141"/>
    <mergeCell ref="A150:B150"/>
    <mergeCell ref="A151:B151"/>
    <mergeCell ref="A153:B153"/>
    <mergeCell ref="A160:B160"/>
    <mergeCell ref="A162:C162"/>
    <mergeCell ref="A163:B163"/>
    <mergeCell ref="A182:B182"/>
    <mergeCell ref="A184:B184"/>
    <mergeCell ref="A188:B188"/>
    <mergeCell ref="A190:B190"/>
    <mergeCell ref="A139:B139"/>
    <mergeCell ref="A240:B240"/>
    <mergeCell ref="A243:B243"/>
    <mergeCell ref="A209:C209"/>
    <mergeCell ref="A210:B210"/>
    <mergeCell ref="A218:B218"/>
    <mergeCell ref="A220:B220"/>
    <mergeCell ref="A225:B225"/>
    <mergeCell ref="A228:B228"/>
  </mergeCells>
  <pageMargins left="0.7" right="0.7" top="0.5" bottom="0.5" header="0.3" footer="0.3"/>
  <pageSetup paperSize="9" scale="7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175" zoomScaleNormal="100" workbookViewId="0">
      <selection activeCell="B204" sqref="B204"/>
    </sheetView>
  </sheetViews>
  <sheetFormatPr defaultColWidth="11.28515625" defaultRowHeight="15" x14ac:dyDescent="0.25"/>
  <cols>
    <col min="1" max="1" width="5" customWidth="1"/>
    <col min="2" max="2" width="24.42578125" customWidth="1"/>
    <col min="3" max="3" width="13.5703125" customWidth="1"/>
    <col min="4" max="4" width="13.7109375" customWidth="1"/>
    <col min="5" max="5" width="7.140625" customWidth="1"/>
    <col min="6" max="6" width="11.7109375" customWidth="1"/>
    <col min="7" max="7" width="12.140625" customWidth="1"/>
    <col min="8" max="8" width="7" customWidth="1"/>
    <col min="9" max="9" width="13.5703125" customWidth="1"/>
    <col min="10" max="10" width="12.7109375" customWidth="1"/>
    <col min="11" max="11" width="7" customWidth="1"/>
    <col min="12" max="12" width="13" customWidth="1"/>
    <col min="13" max="13" width="12.85546875" customWidth="1"/>
    <col min="14" max="14" width="8.7109375" customWidth="1"/>
    <col min="15" max="15" width="8.85546875" customWidth="1"/>
    <col min="16" max="16" width="7.85546875" customWidth="1"/>
    <col min="17" max="17" width="10" customWidth="1"/>
  </cols>
  <sheetData>
    <row r="1" spans="1:18" x14ac:dyDescent="0.25">
      <c r="A1" s="941" t="s">
        <v>292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19"/>
      <c r="N1" s="919"/>
      <c r="O1" s="919"/>
      <c r="P1" s="919"/>
      <c r="Q1" s="919"/>
    </row>
    <row r="2" spans="1:18" x14ac:dyDescent="0.25">
      <c r="A2" s="920"/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1"/>
    </row>
    <row r="3" spans="1:18" x14ac:dyDescent="0.25">
      <c r="A3" s="932" t="s">
        <v>1</v>
      </c>
      <c r="B3" s="898" t="s">
        <v>2</v>
      </c>
      <c r="C3" s="929" t="s">
        <v>3</v>
      </c>
      <c r="D3" s="930"/>
      <c r="E3" s="930"/>
      <c r="F3" s="930"/>
      <c r="G3" s="930"/>
      <c r="H3" s="931"/>
      <c r="I3" s="938" t="s">
        <v>4</v>
      </c>
      <c r="J3" s="939"/>
      <c r="K3" s="940"/>
      <c r="L3" s="929" t="s">
        <v>5</v>
      </c>
      <c r="M3" s="930"/>
      <c r="N3" s="931"/>
      <c r="O3" s="898" t="s">
        <v>284</v>
      </c>
      <c r="P3" s="935" t="s">
        <v>296</v>
      </c>
      <c r="Q3" s="898" t="s">
        <v>297</v>
      </c>
      <c r="R3" s="2"/>
    </row>
    <row r="4" spans="1:18" x14ac:dyDescent="0.25">
      <c r="A4" s="933"/>
      <c r="B4" s="899"/>
      <c r="C4" s="898" t="s">
        <v>279</v>
      </c>
      <c r="D4" s="898" t="s">
        <v>280</v>
      </c>
      <c r="E4" s="895" t="s">
        <v>11</v>
      </c>
      <c r="F4" s="898" t="s">
        <v>281</v>
      </c>
      <c r="G4" s="898" t="s">
        <v>282</v>
      </c>
      <c r="H4" s="895" t="s">
        <v>11</v>
      </c>
      <c r="I4" s="898" t="s">
        <v>279</v>
      </c>
      <c r="J4" s="898" t="s">
        <v>283</v>
      </c>
      <c r="K4" s="895" t="s">
        <v>11</v>
      </c>
      <c r="L4" s="898" t="s">
        <v>279</v>
      </c>
      <c r="M4" s="898" t="s">
        <v>283</v>
      </c>
      <c r="N4" s="895" t="s">
        <v>11</v>
      </c>
      <c r="O4" s="899"/>
      <c r="P4" s="936"/>
      <c r="Q4" s="899"/>
      <c r="R4" s="2"/>
    </row>
    <row r="5" spans="1:18" x14ac:dyDescent="0.25">
      <c r="A5" s="933"/>
      <c r="B5" s="899"/>
      <c r="C5" s="899"/>
      <c r="D5" s="899"/>
      <c r="E5" s="896"/>
      <c r="F5" s="899"/>
      <c r="G5" s="899"/>
      <c r="H5" s="896"/>
      <c r="I5" s="899"/>
      <c r="J5" s="899"/>
      <c r="K5" s="896"/>
      <c r="L5" s="899"/>
      <c r="M5" s="899"/>
      <c r="N5" s="896"/>
      <c r="O5" s="899"/>
      <c r="P5" s="936"/>
      <c r="Q5" s="899"/>
      <c r="R5" s="2"/>
    </row>
    <row r="6" spans="1:18" x14ac:dyDescent="0.25">
      <c r="A6" s="933"/>
      <c r="B6" s="899"/>
      <c r="C6" s="899"/>
      <c r="D6" s="899"/>
      <c r="E6" s="896"/>
      <c r="F6" s="899"/>
      <c r="G6" s="899"/>
      <c r="H6" s="896"/>
      <c r="I6" s="899"/>
      <c r="J6" s="899"/>
      <c r="K6" s="896"/>
      <c r="L6" s="899"/>
      <c r="M6" s="899"/>
      <c r="N6" s="896"/>
      <c r="O6" s="899"/>
      <c r="P6" s="936"/>
      <c r="Q6" s="899"/>
      <c r="R6" s="2"/>
    </row>
    <row r="7" spans="1:18" x14ac:dyDescent="0.25">
      <c r="A7" s="933"/>
      <c r="B7" s="899"/>
      <c r="C7" s="899"/>
      <c r="D7" s="899"/>
      <c r="E7" s="896"/>
      <c r="F7" s="899"/>
      <c r="G7" s="899"/>
      <c r="H7" s="896"/>
      <c r="I7" s="899"/>
      <c r="J7" s="899"/>
      <c r="K7" s="896"/>
      <c r="L7" s="899"/>
      <c r="M7" s="899"/>
      <c r="N7" s="896"/>
      <c r="O7" s="899"/>
      <c r="P7" s="936"/>
      <c r="Q7" s="899"/>
      <c r="R7" s="2"/>
    </row>
    <row r="8" spans="1:18" x14ac:dyDescent="0.25">
      <c r="A8" s="934"/>
      <c r="B8" s="900"/>
      <c r="C8" s="900"/>
      <c r="D8" s="900"/>
      <c r="E8" s="897"/>
      <c r="F8" s="900"/>
      <c r="G8" s="900"/>
      <c r="H8" s="897"/>
      <c r="I8" s="900"/>
      <c r="J8" s="900"/>
      <c r="K8" s="897"/>
      <c r="L8" s="900"/>
      <c r="M8" s="900"/>
      <c r="N8" s="897"/>
      <c r="O8" s="900"/>
      <c r="P8" s="937"/>
      <c r="Q8" s="900"/>
      <c r="R8" s="2"/>
    </row>
    <row r="9" spans="1:18" x14ac:dyDescent="0.25">
      <c r="A9" s="222">
        <v>1</v>
      </c>
      <c r="B9" s="222">
        <v>2</v>
      </c>
      <c r="C9" s="223">
        <v>3</v>
      </c>
      <c r="D9" s="223">
        <v>4</v>
      </c>
      <c r="E9" s="5">
        <v>5</v>
      </c>
      <c r="F9" s="223">
        <v>6</v>
      </c>
      <c r="G9" s="223">
        <v>7</v>
      </c>
      <c r="H9" s="223">
        <v>8</v>
      </c>
      <c r="I9" s="223">
        <v>11</v>
      </c>
      <c r="J9" s="223">
        <v>12</v>
      </c>
      <c r="K9" s="223">
        <v>13</v>
      </c>
      <c r="L9" s="223">
        <v>17</v>
      </c>
      <c r="M9" s="223">
        <v>18</v>
      </c>
      <c r="N9" s="223">
        <v>19</v>
      </c>
      <c r="O9" s="223">
        <v>20</v>
      </c>
      <c r="P9" s="5">
        <v>21</v>
      </c>
      <c r="Q9" s="223">
        <v>22</v>
      </c>
      <c r="R9" s="6"/>
    </row>
    <row r="10" spans="1:18" ht="30" customHeight="1" x14ac:dyDescent="0.25">
      <c r="A10" s="7">
        <v>1</v>
      </c>
      <c r="B10" s="8" t="s">
        <v>14</v>
      </c>
      <c r="C10" s="5">
        <f>C139</f>
        <v>56102140</v>
      </c>
      <c r="D10" s="5">
        <f>D139</f>
        <v>57270326</v>
      </c>
      <c r="E10" s="9">
        <f t="shared" ref="E10:O10" si="0">E139</f>
        <v>-2.0397753628990927</v>
      </c>
      <c r="F10" s="5">
        <f>F139</f>
        <v>15477122</v>
      </c>
      <c r="G10" s="5">
        <f>G139</f>
        <v>14114144</v>
      </c>
      <c r="H10" s="11">
        <f t="shared" si="0"/>
        <v>9.6568236798490972</v>
      </c>
      <c r="I10" s="5">
        <f>I139</f>
        <v>53107228</v>
      </c>
      <c r="J10" s="5">
        <f>J139</f>
        <v>56256399</v>
      </c>
      <c r="K10" s="11">
        <f t="shared" si="0"/>
        <v>-5.5978894063233611</v>
      </c>
      <c r="L10" s="5">
        <f>L139</f>
        <v>35296397</v>
      </c>
      <c r="M10" s="5">
        <f>M139</f>
        <v>33374342</v>
      </c>
      <c r="N10" s="9">
        <f t="shared" si="0"/>
        <v>5.7590798344428862</v>
      </c>
      <c r="O10" s="5">
        <f t="shared" si="0"/>
        <v>6094</v>
      </c>
      <c r="P10" s="9">
        <f>P139</f>
        <v>178.03495241220872</v>
      </c>
      <c r="Q10" s="5">
        <f>Q139</f>
        <v>6069</v>
      </c>
      <c r="R10" s="12">
        <f>R139</f>
        <v>1084945</v>
      </c>
    </row>
    <row r="11" spans="1:18" ht="24.75" customHeight="1" x14ac:dyDescent="0.25">
      <c r="A11" s="7"/>
      <c r="B11" s="8" t="s">
        <v>15</v>
      </c>
      <c r="C11" s="5">
        <f>C150</f>
        <v>49489308</v>
      </c>
      <c r="D11" s="5">
        <f>D150</f>
        <v>56617596</v>
      </c>
      <c r="E11" s="9">
        <f t="shared" ref="E11:G11" si="1">E150</f>
        <v>-12.590234315141174</v>
      </c>
      <c r="F11" s="5">
        <f t="shared" si="1"/>
        <v>12636787</v>
      </c>
      <c r="G11" s="5">
        <f t="shared" si="1"/>
        <v>11605581</v>
      </c>
      <c r="H11" s="9">
        <f>H150</f>
        <v>8.8854319314129953</v>
      </c>
      <c r="I11" s="5">
        <f>I150</f>
        <v>49860125</v>
      </c>
      <c r="J11" s="5">
        <f>J150</f>
        <v>55744941</v>
      </c>
      <c r="K11" s="9">
        <f>K150</f>
        <v>-10.5566817265086</v>
      </c>
      <c r="L11" s="5">
        <f t="shared" ref="L11:N11" si="2">L150</f>
        <v>47145686</v>
      </c>
      <c r="M11" s="5">
        <f t="shared" si="2"/>
        <v>53187742</v>
      </c>
      <c r="N11" s="9">
        <f t="shared" si="2"/>
        <v>-11.359865587074552</v>
      </c>
      <c r="O11" s="5">
        <f>O150</f>
        <v>3693</v>
      </c>
      <c r="P11" s="5">
        <f>P150</f>
        <v>132.42350392634714</v>
      </c>
      <c r="Q11" s="5">
        <f>Q150</f>
        <v>3693</v>
      </c>
      <c r="R11" s="12">
        <f t="shared" ref="R11:R22" si="3">O11*P11</f>
        <v>489040</v>
      </c>
    </row>
    <row r="12" spans="1:18" ht="24.75" customHeight="1" x14ac:dyDescent="0.25">
      <c r="A12" s="7">
        <v>2</v>
      </c>
      <c r="B12" s="8" t="s">
        <v>16</v>
      </c>
      <c r="C12" s="5">
        <f>C160</f>
        <v>4649181</v>
      </c>
      <c r="D12" s="5">
        <f t="shared" ref="D12:Q12" si="4">D160</f>
        <v>4688066</v>
      </c>
      <c r="E12" s="9">
        <f t="shared" si="4"/>
        <v>-0.8294465137649496</v>
      </c>
      <c r="F12" s="5">
        <f t="shared" si="4"/>
        <v>1255393</v>
      </c>
      <c r="G12" s="5">
        <f t="shared" si="4"/>
        <v>1238197</v>
      </c>
      <c r="H12" s="9">
        <f t="shared" si="4"/>
        <v>1.3887935441613877</v>
      </c>
      <c r="I12" s="5">
        <f t="shared" si="4"/>
        <v>4843600</v>
      </c>
      <c r="J12" s="5">
        <f t="shared" si="4"/>
        <v>3850606</v>
      </c>
      <c r="K12" s="9">
        <f t="shared" si="4"/>
        <v>25.787992850995394</v>
      </c>
      <c r="L12" s="5">
        <f t="shared" si="4"/>
        <v>2129605</v>
      </c>
      <c r="M12" s="5">
        <f t="shared" si="4"/>
        <v>1748160</v>
      </c>
      <c r="N12" s="9">
        <f t="shared" si="4"/>
        <v>21.819799103056937</v>
      </c>
      <c r="O12" s="5">
        <f t="shared" si="4"/>
        <v>1282</v>
      </c>
      <c r="P12" s="5">
        <f t="shared" si="4"/>
        <v>103.6575663026521</v>
      </c>
      <c r="Q12" s="5">
        <f t="shared" si="4"/>
        <v>1275</v>
      </c>
      <c r="R12" s="12">
        <f t="shared" si="3"/>
        <v>132889</v>
      </c>
    </row>
    <row r="13" spans="1:18" ht="33" x14ac:dyDescent="0.25">
      <c r="A13" s="7">
        <v>3</v>
      </c>
      <c r="B13" s="8" t="s">
        <v>17</v>
      </c>
      <c r="C13" s="5">
        <f>C226</f>
        <v>5122620</v>
      </c>
      <c r="D13" s="5">
        <f t="shared" ref="D13:Q13" si="5">D226</f>
        <v>4939219</v>
      </c>
      <c r="E13" s="9">
        <f t="shared" si="5"/>
        <v>3.7131578899417121</v>
      </c>
      <c r="F13" s="5">
        <f t="shared" si="5"/>
        <v>842591</v>
      </c>
      <c r="G13" s="5">
        <f t="shared" si="5"/>
        <v>1235275</v>
      </c>
      <c r="H13" s="9">
        <f t="shared" si="5"/>
        <v>-31.78919673756856</v>
      </c>
      <c r="I13" s="5">
        <f t="shared" si="5"/>
        <v>3619160</v>
      </c>
      <c r="J13" s="5">
        <f t="shared" si="5"/>
        <v>4006657</v>
      </c>
      <c r="K13" s="9">
        <f>K226</f>
        <v>-9.6713294898964364</v>
      </c>
      <c r="L13" s="5">
        <f t="shared" si="5"/>
        <v>1723130</v>
      </c>
      <c r="M13" s="5">
        <f t="shared" si="5"/>
        <v>2136098</v>
      </c>
      <c r="N13" s="9">
        <f t="shared" si="5"/>
        <v>-19.332820872450611</v>
      </c>
      <c r="O13" s="5">
        <f t="shared" si="5"/>
        <v>571</v>
      </c>
      <c r="P13" s="5">
        <f t="shared" si="5"/>
        <v>150.19789842381786</v>
      </c>
      <c r="Q13" s="5">
        <f t="shared" si="5"/>
        <v>586</v>
      </c>
      <c r="R13" s="12">
        <f>R226</f>
        <v>85763</v>
      </c>
    </row>
    <row r="14" spans="1:18" ht="33" x14ac:dyDescent="0.25">
      <c r="A14" s="7">
        <v>4</v>
      </c>
      <c r="B14" s="8" t="s">
        <v>18</v>
      </c>
      <c r="C14" s="5">
        <f>C54</f>
        <v>668591</v>
      </c>
      <c r="D14" s="5">
        <f t="shared" ref="D14:Q14" si="6">D54</f>
        <v>1128417</v>
      </c>
      <c r="E14" s="9">
        <f t="shared" si="6"/>
        <v>-40.749651946044771</v>
      </c>
      <c r="F14" s="5">
        <f t="shared" si="6"/>
        <v>315697</v>
      </c>
      <c r="G14" s="5">
        <f t="shared" si="6"/>
        <v>401175</v>
      </c>
      <c r="H14" s="9">
        <f t="shared" si="6"/>
        <v>-21.306910949087055</v>
      </c>
      <c r="I14" s="5">
        <f t="shared" si="6"/>
        <v>823528</v>
      </c>
      <c r="J14" s="5">
        <f t="shared" si="6"/>
        <v>1080311</v>
      </c>
      <c r="K14" s="9">
        <f t="shared" si="6"/>
        <v>-23.76935900865584</v>
      </c>
      <c r="L14" s="5">
        <f t="shared" si="6"/>
        <v>456073</v>
      </c>
      <c r="M14" s="5">
        <f t="shared" si="6"/>
        <v>671156</v>
      </c>
      <c r="N14" s="9">
        <f>N54</f>
        <v>-32.04664787322173</v>
      </c>
      <c r="O14" s="5">
        <f t="shared" si="6"/>
        <v>787</v>
      </c>
      <c r="P14" s="5">
        <f t="shared" si="6"/>
        <v>109.58958068614993</v>
      </c>
      <c r="Q14" s="5">
        <f t="shared" si="6"/>
        <v>806</v>
      </c>
      <c r="R14" s="12">
        <f t="shared" si="3"/>
        <v>86247</v>
      </c>
    </row>
    <row r="15" spans="1:18" ht="21" customHeight="1" x14ac:dyDescent="0.25">
      <c r="A15" s="7">
        <v>5</v>
      </c>
      <c r="B15" s="8" t="s">
        <v>19</v>
      </c>
      <c r="C15" s="5">
        <f>C66</f>
        <v>331019</v>
      </c>
      <c r="D15" s="5">
        <f t="shared" ref="D15:Q15" si="7">D66</f>
        <v>331416</v>
      </c>
      <c r="E15" s="9">
        <f t="shared" si="7"/>
        <v>-0.11978902648030498</v>
      </c>
      <c r="F15" s="5">
        <f t="shared" si="7"/>
        <v>74522</v>
      </c>
      <c r="G15" s="5">
        <f t="shared" si="7"/>
        <v>100837</v>
      </c>
      <c r="H15" s="9">
        <f t="shared" si="7"/>
        <v>-26.096571694913578</v>
      </c>
      <c r="I15" s="5">
        <f t="shared" si="7"/>
        <v>349068</v>
      </c>
      <c r="J15" s="5">
        <f t="shared" si="7"/>
        <v>332151</v>
      </c>
      <c r="K15" s="9">
        <f t="shared" si="7"/>
        <v>5.0931654578790955</v>
      </c>
      <c r="L15" s="5">
        <f t="shared" si="7"/>
        <v>136335</v>
      </c>
      <c r="M15" s="5">
        <f t="shared" si="7"/>
        <v>159624</v>
      </c>
      <c r="N15" s="9">
        <f t="shared" si="7"/>
        <v>-14.589911291535103</v>
      </c>
      <c r="O15" s="5">
        <f t="shared" si="7"/>
        <v>517</v>
      </c>
      <c r="P15" s="5">
        <f t="shared" si="7"/>
        <v>95.862669245647965</v>
      </c>
      <c r="Q15" s="5">
        <f t="shared" si="7"/>
        <v>525</v>
      </c>
      <c r="R15" s="12">
        <f t="shared" si="3"/>
        <v>49561</v>
      </c>
    </row>
    <row r="16" spans="1:18" ht="22.5" customHeight="1" x14ac:dyDescent="0.25">
      <c r="A16" s="7">
        <v>6</v>
      </c>
      <c r="B16" s="8" t="s">
        <v>20</v>
      </c>
      <c r="C16" s="5">
        <f>C77</f>
        <v>262971</v>
      </c>
      <c r="D16" s="5">
        <f t="shared" ref="D16:Q16" si="8">D77</f>
        <v>458463</v>
      </c>
      <c r="E16" s="9">
        <f t="shared" si="8"/>
        <v>-42.640736547987515</v>
      </c>
      <c r="F16" s="5">
        <f t="shared" si="8"/>
        <v>58307</v>
      </c>
      <c r="G16" s="5">
        <f t="shared" si="8"/>
        <v>108501</v>
      </c>
      <c r="H16" s="9">
        <f t="shared" si="8"/>
        <v>-46.261324780416771</v>
      </c>
      <c r="I16" s="5">
        <f t="shared" si="8"/>
        <v>275004</v>
      </c>
      <c r="J16" s="5">
        <f t="shared" si="8"/>
        <v>509317</v>
      </c>
      <c r="K16" s="9">
        <f t="shared" si="8"/>
        <v>-46.005336558567656</v>
      </c>
      <c r="L16" s="5">
        <f t="shared" si="8"/>
        <v>109443</v>
      </c>
      <c r="M16" s="5">
        <f t="shared" si="8"/>
        <v>281561</v>
      </c>
      <c r="N16" s="9">
        <f t="shared" si="8"/>
        <v>-61.12991500953612</v>
      </c>
      <c r="O16" s="5">
        <f t="shared" si="8"/>
        <v>403</v>
      </c>
      <c r="P16" s="5">
        <f t="shared" si="8"/>
        <v>113.89826302729529</v>
      </c>
      <c r="Q16" s="5">
        <f t="shared" si="8"/>
        <v>454</v>
      </c>
      <c r="R16" s="12">
        <f t="shared" si="3"/>
        <v>45901</v>
      </c>
    </row>
    <row r="17" spans="1:18" ht="24" customHeight="1" x14ac:dyDescent="0.25">
      <c r="A17" s="7">
        <v>7</v>
      </c>
      <c r="B17" s="8" t="s">
        <v>21</v>
      </c>
      <c r="C17" s="5">
        <f>C92</f>
        <v>2264001</v>
      </c>
      <c r="D17" s="5">
        <f t="shared" ref="D17:Q17" si="9">D92</f>
        <v>1980943</v>
      </c>
      <c r="E17" s="9">
        <f t="shared" si="9"/>
        <v>14.289053243833877</v>
      </c>
      <c r="F17" s="5">
        <f t="shared" si="9"/>
        <v>570444</v>
      </c>
      <c r="G17" s="5">
        <f t="shared" si="9"/>
        <v>541561</v>
      </c>
      <c r="H17" s="9">
        <f t="shared" si="9"/>
        <v>5.3332865549771782</v>
      </c>
      <c r="I17" s="5">
        <f t="shared" si="9"/>
        <v>2891594</v>
      </c>
      <c r="J17" s="5">
        <f t="shared" si="9"/>
        <v>3401032</v>
      </c>
      <c r="K17" s="9">
        <f t="shared" si="9"/>
        <v>-14.978924044231277</v>
      </c>
      <c r="L17" s="5">
        <f t="shared" si="9"/>
        <v>1010835</v>
      </c>
      <c r="M17" s="5">
        <f t="shared" si="9"/>
        <v>1132778</v>
      </c>
      <c r="N17" s="9">
        <f t="shared" si="9"/>
        <v>-10.764951296723638</v>
      </c>
      <c r="O17" s="5">
        <f t="shared" si="9"/>
        <v>3762</v>
      </c>
      <c r="P17" s="5">
        <f t="shared" si="9"/>
        <v>114.24242424242425</v>
      </c>
      <c r="Q17" s="5">
        <f t="shared" si="9"/>
        <v>3772</v>
      </c>
      <c r="R17" s="12">
        <f t="shared" si="3"/>
        <v>429780</v>
      </c>
    </row>
    <row r="18" spans="1:18" ht="33" x14ac:dyDescent="0.25">
      <c r="A18" s="7">
        <v>8</v>
      </c>
      <c r="B18" s="8" t="s">
        <v>22</v>
      </c>
      <c r="C18" s="5">
        <f>C207</f>
        <v>54157484</v>
      </c>
      <c r="D18" s="5">
        <f t="shared" ref="D18:Q18" si="10">D207</f>
        <v>52565212</v>
      </c>
      <c r="E18" s="9">
        <f t="shared" si="10"/>
        <v>3.0291364562555145</v>
      </c>
      <c r="F18" s="5">
        <f t="shared" si="10"/>
        <v>14064305</v>
      </c>
      <c r="G18" s="5">
        <f t="shared" si="10"/>
        <v>13243218</v>
      </c>
      <c r="H18" s="9">
        <f t="shared" si="10"/>
        <v>6.2000565119444673</v>
      </c>
      <c r="I18" s="5">
        <f t="shared" si="10"/>
        <v>77273263</v>
      </c>
      <c r="J18" s="5">
        <f t="shared" si="10"/>
        <v>75460773</v>
      </c>
      <c r="K18" s="9">
        <f t="shared" si="10"/>
        <v>2.4018969431972295</v>
      </c>
      <c r="L18" s="5">
        <f t="shared" si="10"/>
        <v>24089769</v>
      </c>
      <c r="M18" s="5">
        <f t="shared" si="10"/>
        <v>44019739</v>
      </c>
      <c r="N18" s="9">
        <f t="shared" si="10"/>
        <v>-45.275075347448116</v>
      </c>
      <c r="O18" s="5">
        <f t="shared" si="10"/>
        <v>6047</v>
      </c>
      <c r="P18" s="5">
        <f t="shared" si="10"/>
        <v>86.906730610219938</v>
      </c>
      <c r="Q18" s="5">
        <f t="shared" si="10"/>
        <v>6544</v>
      </c>
      <c r="R18" s="12">
        <f t="shared" si="3"/>
        <v>525525</v>
      </c>
    </row>
    <row r="19" spans="1:18" ht="33" x14ac:dyDescent="0.25">
      <c r="A19" s="7">
        <v>9</v>
      </c>
      <c r="B19" s="8" t="s">
        <v>23</v>
      </c>
      <c r="C19" s="5">
        <f>C122</f>
        <v>1477441</v>
      </c>
      <c r="D19" s="5">
        <f t="shared" ref="D19:Q19" si="11">D122</f>
        <v>829550</v>
      </c>
      <c r="E19" s="9">
        <f t="shared" si="11"/>
        <v>78.101500813694173</v>
      </c>
      <c r="F19" s="5">
        <f t="shared" si="11"/>
        <v>462307</v>
      </c>
      <c r="G19" s="5">
        <f t="shared" si="11"/>
        <v>250638</v>
      </c>
      <c r="H19" s="9">
        <f t="shared" si="11"/>
        <v>84.45207829618812</v>
      </c>
      <c r="I19" s="5">
        <f t="shared" si="11"/>
        <v>1500280</v>
      </c>
      <c r="J19" s="5">
        <f t="shared" si="11"/>
        <v>867466</v>
      </c>
      <c r="K19" s="9">
        <f t="shared" si="11"/>
        <v>72.949717914016219</v>
      </c>
      <c r="L19" s="5">
        <f t="shared" si="11"/>
        <v>1253189</v>
      </c>
      <c r="M19" s="5">
        <f t="shared" si="11"/>
        <v>656656</v>
      </c>
      <c r="N19" s="9">
        <f t="shared" si="11"/>
        <v>90.844064472113274</v>
      </c>
      <c r="O19" s="5">
        <f t="shared" si="11"/>
        <v>1941</v>
      </c>
      <c r="P19" s="5">
        <f t="shared" si="11"/>
        <v>77.482225656877901</v>
      </c>
      <c r="Q19" s="5">
        <f t="shared" si="11"/>
        <v>2288</v>
      </c>
      <c r="R19" s="12">
        <f t="shared" si="3"/>
        <v>150393</v>
      </c>
    </row>
    <row r="20" spans="1:18" ht="21" customHeight="1" x14ac:dyDescent="0.25">
      <c r="A20" s="7">
        <v>10</v>
      </c>
      <c r="B20" s="8" t="s">
        <v>24</v>
      </c>
      <c r="C20" s="5">
        <f>C131</f>
        <v>52264</v>
      </c>
      <c r="D20" s="5">
        <f t="shared" ref="D20:Q20" si="12">D131</f>
        <v>40610</v>
      </c>
      <c r="E20" s="9">
        <f t="shared" si="12"/>
        <v>28.69736518098992</v>
      </c>
      <c r="F20" s="5">
        <f t="shared" si="12"/>
        <v>4750</v>
      </c>
      <c r="G20" s="5">
        <f t="shared" si="12"/>
        <v>3415</v>
      </c>
      <c r="H20" s="9">
        <f t="shared" si="12"/>
        <v>39.092240117130302</v>
      </c>
      <c r="I20" s="5">
        <f t="shared" si="12"/>
        <v>39172</v>
      </c>
      <c r="J20" s="5">
        <f t="shared" si="12"/>
        <v>41116</v>
      </c>
      <c r="K20" s="9">
        <f t="shared" si="12"/>
        <v>-4.7280863897266272</v>
      </c>
      <c r="L20" s="5">
        <f t="shared" si="12"/>
        <v>10266</v>
      </c>
      <c r="M20" s="5">
        <f t="shared" si="12"/>
        <v>0</v>
      </c>
      <c r="N20" s="9">
        <f t="shared" si="12"/>
        <v>0</v>
      </c>
      <c r="O20" s="5">
        <f t="shared" si="12"/>
        <v>99</v>
      </c>
      <c r="P20" s="5">
        <f t="shared" si="12"/>
        <v>83.030303030303031</v>
      </c>
      <c r="Q20" s="5">
        <f t="shared" si="12"/>
        <v>104</v>
      </c>
      <c r="R20" s="12">
        <f t="shared" si="3"/>
        <v>8220</v>
      </c>
    </row>
    <row r="21" spans="1:18" ht="33" x14ac:dyDescent="0.25">
      <c r="A21" s="7">
        <v>11</v>
      </c>
      <c r="B21" s="8" t="s">
        <v>25</v>
      </c>
      <c r="C21" s="5">
        <f>C238</f>
        <v>399757.1</v>
      </c>
      <c r="D21" s="5">
        <f t="shared" ref="D21:Q21" si="13">D238</f>
        <v>308156.59999999998</v>
      </c>
      <c r="E21" s="9">
        <f t="shared" si="13"/>
        <v>29.725308495745338</v>
      </c>
      <c r="F21" s="5">
        <f t="shared" si="13"/>
        <v>132446.20000000001</v>
      </c>
      <c r="G21" s="5">
        <f t="shared" si="13"/>
        <v>97106.5</v>
      </c>
      <c r="H21" s="9">
        <f t="shared" si="13"/>
        <v>36.392723453115934</v>
      </c>
      <c r="I21" s="5">
        <f t="shared" si="13"/>
        <v>274862.59999999998</v>
      </c>
      <c r="J21" s="5">
        <f t="shared" si="13"/>
        <v>120044.2</v>
      </c>
      <c r="K21" s="9">
        <f t="shared" si="13"/>
        <v>128.96783018254942</v>
      </c>
      <c r="L21" s="5">
        <f t="shared" si="13"/>
        <v>16393</v>
      </c>
      <c r="M21" s="5">
        <f t="shared" si="13"/>
        <v>1213</v>
      </c>
      <c r="N21" s="9">
        <f t="shared" si="13"/>
        <v>1251.4427040395713</v>
      </c>
      <c r="O21" s="5">
        <f t="shared" si="13"/>
        <v>451</v>
      </c>
      <c r="P21" s="5">
        <f t="shared" si="13"/>
        <v>187.10776053215079</v>
      </c>
      <c r="Q21" s="5">
        <f t="shared" si="13"/>
        <v>451</v>
      </c>
      <c r="R21" s="12">
        <f t="shared" si="3"/>
        <v>84385.600000000006</v>
      </c>
    </row>
    <row r="22" spans="1:18" ht="22.5" customHeight="1" x14ac:dyDescent="0.25">
      <c r="A22" s="7">
        <v>12</v>
      </c>
      <c r="B22" s="8" t="s">
        <v>26</v>
      </c>
      <c r="C22" s="5">
        <f>C243</f>
        <v>61844</v>
      </c>
      <c r="D22" s="5">
        <f t="shared" ref="D22:Q22" si="14">D243</f>
        <v>60872</v>
      </c>
      <c r="E22" s="9">
        <f t="shared" si="14"/>
        <v>1.5967932711263018</v>
      </c>
      <c r="F22" s="5">
        <f t="shared" si="14"/>
        <v>45573</v>
      </c>
      <c r="G22" s="5">
        <f t="shared" si="14"/>
        <v>5520</v>
      </c>
      <c r="H22" s="9">
        <f t="shared" si="14"/>
        <v>725.5978260869565</v>
      </c>
      <c r="I22" s="5">
        <f t="shared" si="14"/>
        <v>62019</v>
      </c>
      <c r="J22" s="5">
        <f t="shared" si="14"/>
        <v>60772</v>
      </c>
      <c r="K22" s="9">
        <f t="shared" si="14"/>
        <v>2.0519318107022855</v>
      </c>
      <c r="L22" s="5">
        <f t="shared" si="14"/>
        <v>46167</v>
      </c>
      <c r="M22" s="5">
        <f t="shared" si="14"/>
        <v>51250</v>
      </c>
      <c r="N22" s="9">
        <f t="shared" si="14"/>
        <v>-9.9180487804878084</v>
      </c>
      <c r="O22" s="5">
        <f t="shared" si="14"/>
        <v>213</v>
      </c>
      <c r="P22" s="5">
        <f t="shared" si="14"/>
        <v>63.136150234741784</v>
      </c>
      <c r="Q22" s="5">
        <f t="shared" si="14"/>
        <v>212</v>
      </c>
      <c r="R22" s="12">
        <f t="shared" si="3"/>
        <v>13448</v>
      </c>
    </row>
    <row r="23" spans="1:18" ht="28.5" customHeight="1" x14ac:dyDescent="0.25">
      <c r="A23" s="213"/>
      <c r="B23" s="296" t="s">
        <v>27</v>
      </c>
      <c r="C23" s="300">
        <f>SUM(C10:C22)</f>
        <v>175038621.09999999</v>
      </c>
      <c r="D23" s="300">
        <f>SUM(D10:D22)</f>
        <v>181218846.59999999</v>
      </c>
      <c r="E23" s="301">
        <f>C23/D23*100-100</f>
        <v>-3.4103657626965713</v>
      </c>
      <c r="F23" s="300">
        <f>SUM(F10:F22)</f>
        <v>45940244.200000003</v>
      </c>
      <c r="G23" s="300">
        <f>SUM(G10:G22)</f>
        <v>42945168.5</v>
      </c>
      <c r="H23" s="301">
        <f>F23/G23*100-100</f>
        <v>6.9741854662882474</v>
      </c>
      <c r="I23" s="300">
        <f>SUM(I10:I22)</f>
        <v>194918903.59999999</v>
      </c>
      <c r="J23" s="300">
        <f>SUM(J10:J22)</f>
        <v>201731585.19999999</v>
      </c>
      <c r="K23" s="301">
        <f>I23/J23*100-100</f>
        <v>-3.3771020999244143</v>
      </c>
      <c r="L23" s="300">
        <f>SUM(L10:L22)</f>
        <v>113423288</v>
      </c>
      <c r="M23" s="300">
        <f>SUM(M10:M22)</f>
        <v>137420319</v>
      </c>
      <c r="N23" s="301">
        <f>L23/M23*100-100</f>
        <v>-17.462505672105152</v>
      </c>
      <c r="O23" s="302">
        <f>SUM(O10:O22)</f>
        <v>25860</v>
      </c>
      <c r="P23" s="303">
        <f>R23/O23</f>
        <v>123.20563031709204</v>
      </c>
      <c r="Q23" s="302">
        <f>SUM(Q10:Q22)</f>
        <v>26779</v>
      </c>
      <c r="R23" s="297">
        <f>SUM(R10:R22)</f>
        <v>3186097.6</v>
      </c>
    </row>
    <row r="24" spans="1:18" x14ac:dyDescent="0.25">
      <c r="A24" s="19"/>
      <c r="B24" s="20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9"/>
      <c r="Q24" s="299"/>
      <c r="R24" s="298"/>
    </row>
    <row r="25" spans="1:18" x14ac:dyDescent="0.25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2"/>
      <c r="R25" s="23"/>
    </row>
    <row r="26" spans="1:18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72.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36.75" customHeight="1" x14ac:dyDescent="0.25">
      <c r="A29" s="943" t="s">
        <v>293</v>
      </c>
      <c r="B29" s="943"/>
      <c r="C29" s="943"/>
      <c r="D29" s="943"/>
      <c r="E29" s="943"/>
      <c r="F29" s="943"/>
      <c r="G29" s="943"/>
      <c r="H29" s="943"/>
      <c r="I29" s="943"/>
      <c r="J29" s="943"/>
      <c r="K29" s="943"/>
      <c r="L29" s="943"/>
      <c r="M29" s="943"/>
      <c r="N29" s="943"/>
      <c r="O29" s="943"/>
      <c r="P29" s="943"/>
      <c r="Q29" s="943"/>
      <c r="R29" s="24"/>
    </row>
    <row r="30" spans="1:18" x14ac:dyDescent="0.25">
      <c r="A30" s="943"/>
      <c r="B30" s="943"/>
      <c r="C30" s="943"/>
      <c r="D30" s="943"/>
      <c r="E30" s="943"/>
      <c r="F30" s="943"/>
      <c r="G30" s="943"/>
      <c r="H30" s="943"/>
      <c r="I30" s="943"/>
      <c r="J30" s="943"/>
      <c r="K30" s="943"/>
      <c r="L30" s="943"/>
      <c r="M30" s="943"/>
      <c r="N30" s="943"/>
      <c r="O30" s="943"/>
      <c r="P30" s="943"/>
      <c r="Q30" s="943"/>
      <c r="R30" s="24"/>
    </row>
    <row r="31" spans="1:18" ht="8.25" customHeight="1" x14ac:dyDescent="0.25">
      <c r="A31" s="944"/>
      <c r="B31" s="944"/>
      <c r="C31" s="944"/>
      <c r="D31" s="944"/>
      <c r="E31" s="944"/>
      <c r="F31" s="944"/>
      <c r="G31" s="944"/>
      <c r="H31" s="944"/>
      <c r="I31" s="944"/>
      <c r="J31" s="944"/>
      <c r="K31" s="944"/>
      <c r="L31" s="944"/>
      <c r="M31" s="944"/>
      <c r="N31" s="944"/>
      <c r="O31" s="944"/>
      <c r="P31" s="944"/>
      <c r="Q31" s="944"/>
      <c r="R31" s="25"/>
    </row>
    <row r="32" spans="1:18" x14ac:dyDescent="0.25">
      <c r="A32" s="954" t="s">
        <v>1</v>
      </c>
      <c r="B32" s="898" t="s">
        <v>29</v>
      </c>
      <c r="C32" s="929" t="s">
        <v>3</v>
      </c>
      <c r="D32" s="930"/>
      <c r="E32" s="930"/>
      <c r="F32" s="930"/>
      <c r="G32" s="931"/>
      <c r="H32" s="929" t="s">
        <v>4</v>
      </c>
      <c r="I32" s="930"/>
      <c r="J32" s="930"/>
      <c r="K32" s="931"/>
      <c r="L32" s="238"/>
      <c r="M32" s="238" t="s">
        <v>5</v>
      </c>
      <c r="N32" s="239"/>
      <c r="O32" s="898" t="s">
        <v>290</v>
      </c>
      <c r="P32" s="935" t="s">
        <v>291</v>
      </c>
      <c r="Q32" s="898" t="s">
        <v>262</v>
      </c>
      <c r="R32" s="28"/>
    </row>
    <row r="33" spans="1:18" ht="62.25" customHeight="1" x14ac:dyDescent="0.25">
      <c r="A33" s="926"/>
      <c r="B33" s="900"/>
      <c r="C33" s="240" t="s">
        <v>285</v>
      </c>
      <c r="D33" s="240" t="s">
        <v>286</v>
      </c>
      <c r="E33" s="241" t="s">
        <v>11</v>
      </c>
      <c r="F33" s="240" t="s">
        <v>281</v>
      </c>
      <c r="G33" s="240" t="s">
        <v>287</v>
      </c>
      <c r="H33" s="241" t="s">
        <v>11</v>
      </c>
      <c r="I33" s="240" t="s">
        <v>285</v>
      </c>
      <c r="J33" s="240" t="s">
        <v>288</v>
      </c>
      <c r="K33" s="241" t="s">
        <v>11</v>
      </c>
      <c r="L33" s="240" t="s">
        <v>285</v>
      </c>
      <c r="M33" s="240" t="s">
        <v>289</v>
      </c>
      <c r="N33" s="241" t="s">
        <v>11</v>
      </c>
      <c r="O33" s="900"/>
      <c r="P33" s="937"/>
      <c r="Q33" s="900"/>
      <c r="R33" s="31"/>
    </row>
    <row r="34" spans="1:18" x14ac:dyDescent="0.25">
      <c r="A34" s="242"/>
      <c r="B34" s="243" t="s">
        <v>294</v>
      </c>
      <c r="C34" s="242"/>
      <c r="D34" s="32"/>
      <c r="E34" s="32"/>
      <c r="F34" s="32"/>
      <c r="G34" s="32"/>
      <c r="H34" s="32"/>
      <c r="I34" s="32"/>
      <c r="J34" s="32"/>
      <c r="K34" s="34"/>
      <c r="L34" s="32"/>
      <c r="M34" s="32"/>
      <c r="N34" s="32"/>
      <c r="O34" s="32"/>
      <c r="P34" s="35"/>
      <c r="Q34" s="35"/>
      <c r="R34" s="36"/>
    </row>
    <row r="35" spans="1:18" x14ac:dyDescent="0.25">
      <c r="A35" s="981" t="s">
        <v>36</v>
      </c>
      <c r="B35" s="982"/>
      <c r="C35" s="244">
        <v>3</v>
      </c>
      <c r="D35" s="37">
        <v>4</v>
      </c>
      <c r="E35" s="38">
        <v>5</v>
      </c>
      <c r="F35" s="37">
        <v>6</v>
      </c>
      <c r="G35" s="37">
        <v>7</v>
      </c>
      <c r="H35" s="37">
        <v>8</v>
      </c>
      <c r="I35" s="37">
        <v>9</v>
      </c>
      <c r="J35" s="37">
        <v>10</v>
      </c>
      <c r="K35" s="37">
        <v>11</v>
      </c>
      <c r="L35" s="37">
        <v>12</v>
      </c>
      <c r="M35" s="37">
        <v>13</v>
      </c>
      <c r="N35" s="37">
        <v>14</v>
      </c>
      <c r="O35" s="37">
        <v>15</v>
      </c>
      <c r="P35" s="38">
        <v>16</v>
      </c>
      <c r="Q35" s="37">
        <v>17</v>
      </c>
      <c r="R35" s="39"/>
    </row>
    <row r="36" spans="1:18" x14ac:dyDescent="0.25">
      <c r="A36" s="245">
        <v>1</v>
      </c>
      <c r="B36" s="246" t="s">
        <v>37</v>
      </c>
      <c r="C36" s="54">
        <v>29817</v>
      </c>
      <c r="D36" s="54">
        <v>43036</v>
      </c>
      <c r="E36" s="43">
        <f>C36/D36*100-100</f>
        <v>-30.716144623106231</v>
      </c>
      <c r="F36" s="54">
        <v>11246</v>
      </c>
      <c r="G36" s="54">
        <v>13627</v>
      </c>
      <c r="H36" s="43">
        <f>F36/G36*100-100</f>
        <v>-17.472664562999924</v>
      </c>
      <c r="I36" s="54">
        <v>16151</v>
      </c>
      <c r="J36" s="54">
        <v>43036</v>
      </c>
      <c r="K36" s="43">
        <f>I36/J36*100-100</f>
        <v>-62.470954549679334</v>
      </c>
      <c r="L36" s="54">
        <v>0</v>
      </c>
      <c r="M36" s="54">
        <v>1672</v>
      </c>
      <c r="N36" s="43">
        <v>0</v>
      </c>
      <c r="O36" s="42">
        <v>71</v>
      </c>
      <c r="P36" s="42">
        <v>115</v>
      </c>
      <c r="Q36" s="42">
        <v>72</v>
      </c>
      <c r="R36" s="44">
        <f>O36*P36</f>
        <v>8165</v>
      </c>
    </row>
    <row r="37" spans="1:18" x14ac:dyDescent="0.25">
      <c r="A37" s="245">
        <v>2</v>
      </c>
      <c r="B37" s="246" t="s">
        <v>38</v>
      </c>
      <c r="C37" s="54">
        <v>114957</v>
      </c>
      <c r="D37" s="54">
        <v>99808</v>
      </c>
      <c r="E37" s="43">
        <f>C37/D37*100-100</f>
        <v>15.17814203270278</v>
      </c>
      <c r="F37" s="54">
        <v>47407</v>
      </c>
      <c r="G37" s="54">
        <v>80765</v>
      </c>
      <c r="H37" s="43">
        <f>F37/G37*100-100</f>
        <v>-41.302544418993378</v>
      </c>
      <c r="I37" s="54">
        <v>114957</v>
      </c>
      <c r="J37" s="54">
        <v>99808</v>
      </c>
      <c r="K37" s="43">
        <f>I37/J37*100-100</f>
        <v>15.17814203270278</v>
      </c>
      <c r="L37" s="54">
        <f>59582+7884</f>
        <v>67466</v>
      </c>
      <c r="M37" s="54">
        <v>66497</v>
      </c>
      <c r="N37" s="43">
        <f t="shared" ref="N37" si="15">L37/M37*100-100</f>
        <v>1.4572085958765086</v>
      </c>
      <c r="O37" s="45">
        <v>72</v>
      </c>
      <c r="P37" s="46">
        <v>212</v>
      </c>
      <c r="Q37" s="45">
        <v>74</v>
      </c>
      <c r="R37" s="44">
        <f t="shared" ref="R37:R53" si="16">O37*P37</f>
        <v>15264</v>
      </c>
    </row>
    <row r="38" spans="1:18" x14ac:dyDescent="0.25">
      <c r="A38" s="245">
        <v>3</v>
      </c>
      <c r="B38" s="246" t="s">
        <v>39</v>
      </c>
      <c r="C38" s="54">
        <v>9444</v>
      </c>
      <c r="D38" s="54">
        <v>23916</v>
      </c>
      <c r="E38" s="43">
        <f t="shared" ref="E38:E53" si="17">C38/D38*100-100</f>
        <v>-60.511791269443052</v>
      </c>
      <c r="F38" s="54">
        <v>4250</v>
      </c>
      <c r="G38" s="54">
        <v>5060</v>
      </c>
      <c r="H38" s="43">
        <f t="shared" ref="H38:H54" si="18">F38/G38*100-100</f>
        <v>-16.007905138339922</v>
      </c>
      <c r="I38" s="54">
        <v>13008</v>
      </c>
      <c r="J38" s="54">
        <v>29574</v>
      </c>
      <c r="K38" s="43">
        <f t="shared" ref="K38:K54" si="19">I38/J38*100-100</f>
        <v>-56.015418949076889</v>
      </c>
      <c r="L38" s="54"/>
      <c r="M38" s="54"/>
      <c r="N38" s="43">
        <v>0</v>
      </c>
      <c r="O38" s="45">
        <v>23</v>
      </c>
      <c r="P38" s="46">
        <v>90</v>
      </c>
      <c r="Q38" s="45">
        <v>23</v>
      </c>
      <c r="R38" s="44">
        <f t="shared" si="16"/>
        <v>2070</v>
      </c>
    </row>
    <row r="39" spans="1:18" x14ac:dyDescent="0.25">
      <c r="A39" s="245">
        <v>4</v>
      </c>
      <c r="B39" s="246" t="s">
        <v>40</v>
      </c>
      <c r="C39" s="54">
        <v>3160</v>
      </c>
      <c r="D39" s="54">
        <v>5030</v>
      </c>
      <c r="E39" s="43">
        <f t="shared" si="17"/>
        <v>-37.176938369781311</v>
      </c>
      <c r="F39" s="54">
        <v>3160</v>
      </c>
      <c r="G39" s="54">
        <v>0</v>
      </c>
      <c r="H39" s="43">
        <v>0</v>
      </c>
      <c r="I39" s="54">
        <v>0</v>
      </c>
      <c r="J39" s="54">
        <v>5312</v>
      </c>
      <c r="K39" s="43">
        <f t="shared" si="19"/>
        <v>-100</v>
      </c>
      <c r="L39" s="54">
        <v>0</v>
      </c>
      <c r="M39" s="54">
        <v>5312</v>
      </c>
      <c r="N39" s="43">
        <v>0</v>
      </c>
      <c r="O39" s="45">
        <v>9</v>
      </c>
      <c r="P39" s="46">
        <v>60</v>
      </c>
      <c r="Q39" s="45">
        <v>9</v>
      </c>
      <c r="R39" s="44">
        <f t="shared" si="16"/>
        <v>540</v>
      </c>
    </row>
    <row r="40" spans="1:18" x14ac:dyDescent="0.25">
      <c r="A40" s="245">
        <v>5</v>
      </c>
      <c r="B40" s="246" t="s">
        <v>41</v>
      </c>
      <c r="C40" s="54">
        <v>12461</v>
      </c>
      <c r="D40" s="54">
        <v>15119</v>
      </c>
      <c r="E40" s="43">
        <f t="shared" si="17"/>
        <v>-17.580527812686014</v>
      </c>
      <c r="F40" s="54">
        <v>2250</v>
      </c>
      <c r="G40" s="54">
        <v>5054</v>
      </c>
      <c r="H40" s="43">
        <f t="shared" si="18"/>
        <v>-55.480807281361301</v>
      </c>
      <c r="I40" s="54">
        <v>13692</v>
      </c>
      <c r="J40" s="54">
        <v>21689</v>
      </c>
      <c r="K40" s="43">
        <f t="shared" si="19"/>
        <v>-36.871225044953661</v>
      </c>
      <c r="L40" s="54"/>
      <c r="M40" s="54">
        <v>1345</v>
      </c>
      <c r="N40" s="43">
        <f t="shared" ref="N40:N54" si="20">L40/M40*100-100</f>
        <v>-100</v>
      </c>
      <c r="O40" s="45">
        <v>55</v>
      </c>
      <c r="P40" s="46">
        <v>72</v>
      </c>
      <c r="Q40" s="45">
        <v>55</v>
      </c>
      <c r="R40" s="44">
        <f t="shared" si="16"/>
        <v>3960</v>
      </c>
    </row>
    <row r="41" spans="1:18" x14ac:dyDescent="0.25">
      <c r="A41" s="245">
        <v>6</v>
      </c>
      <c r="B41" s="246" t="s">
        <v>42</v>
      </c>
      <c r="C41" s="54">
        <v>28238</v>
      </c>
      <c r="D41" s="54">
        <v>36349</v>
      </c>
      <c r="E41" s="43">
        <f t="shared" si="17"/>
        <v>-22.314231478169972</v>
      </c>
      <c r="F41" s="54">
        <v>14029</v>
      </c>
      <c r="G41" s="54">
        <v>11758</v>
      </c>
      <c r="H41" s="43">
        <f t="shared" si="18"/>
        <v>19.314509270284063</v>
      </c>
      <c r="I41" s="54">
        <v>32209</v>
      </c>
      <c r="J41" s="54">
        <v>33148</v>
      </c>
      <c r="K41" s="43">
        <f t="shared" si="19"/>
        <v>-2.8327500905031968</v>
      </c>
      <c r="L41" s="54">
        <v>0</v>
      </c>
      <c r="M41" s="54">
        <v>0</v>
      </c>
      <c r="N41" s="43">
        <v>0</v>
      </c>
      <c r="O41" s="45">
        <v>65</v>
      </c>
      <c r="P41" s="46">
        <v>80</v>
      </c>
      <c r="Q41" s="45">
        <v>65</v>
      </c>
      <c r="R41" s="44">
        <f t="shared" si="16"/>
        <v>5200</v>
      </c>
    </row>
    <row r="42" spans="1:18" x14ac:dyDescent="0.25">
      <c r="A42" s="245">
        <v>7</v>
      </c>
      <c r="B42" s="246" t="s">
        <v>43</v>
      </c>
      <c r="C42" s="54">
        <v>0</v>
      </c>
      <c r="D42" s="54">
        <v>0</v>
      </c>
      <c r="E42" s="43">
        <v>0</v>
      </c>
      <c r="F42" s="54">
        <v>0</v>
      </c>
      <c r="G42" s="54">
        <v>0</v>
      </c>
      <c r="H42" s="43">
        <v>0</v>
      </c>
      <c r="I42" s="54">
        <v>0</v>
      </c>
      <c r="J42" s="54">
        <v>0</v>
      </c>
      <c r="K42" s="43">
        <v>0</v>
      </c>
      <c r="L42" s="54">
        <v>0</v>
      </c>
      <c r="M42" s="54">
        <v>0</v>
      </c>
      <c r="N42" s="43">
        <v>0</v>
      </c>
      <c r="O42" s="45">
        <v>0</v>
      </c>
      <c r="P42" s="46">
        <v>0</v>
      </c>
      <c r="Q42" s="45">
        <v>0</v>
      </c>
      <c r="R42" s="44">
        <f t="shared" si="16"/>
        <v>0</v>
      </c>
    </row>
    <row r="43" spans="1:18" x14ac:dyDescent="0.25">
      <c r="A43" s="245">
        <v>8</v>
      </c>
      <c r="B43" s="246" t="s">
        <v>44</v>
      </c>
      <c r="C43" s="54">
        <v>41351</v>
      </c>
      <c r="D43" s="54">
        <v>41260</v>
      </c>
      <c r="E43" s="43">
        <f t="shared" si="17"/>
        <v>0.22055259331071397</v>
      </c>
      <c r="F43" s="54">
        <v>7582</v>
      </c>
      <c r="G43" s="54">
        <v>9092</v>
      </c>
      <c r="H43" s="43">
        <f t="shared" si="18"/>
        <v>-16.608007039155297</v>
      </c>
      <c r="I43" s="54">
        <v>41539</v>
      </c>
      <c r="J43" s="54">
        <v>41057</v>
      </c>
      <c r="K43" s="43">
        <f t="shared" si="19"/>
        <v>1.1739776408407749</v>
      </c>
      <c r="L43" s="54">
        <v>0</v>
      </c>
      <c r="M43" s="54">
        <v>0</v>
      </c>
      <c r="N43" s="43">
        <v>0</v>
      </c>
      <c r="O43" s="45">
        <v>43</v>
      </c>
      <c r="P43" s="46">
        <v>98</v>
      </c>
      <c r="Q43" s="45">
        <v>43</v>
      </c>
      <c r="R43" s="44">
        <f t="shared" si="16"/>
        <v>4214</v>
      </c>
    </row>
    <row r="44" spans="1:18" x14ac:dyDescent="0.25">
      <c r="A44" s="245">
        <v>9</v>
      </c>
      <c r="B44" s="246" t="s">
        <v>45</v>
      </c>
      <c r="C44" s="54">
        <v>42274</v>
      </c>
      <c r="D44" s="54">
        <v>57107</v>
      </c>
      <c r="E44" s="43">
        <f t="shared" si="17"/>
        <v>-25.974048715569026</v>
      </c>
      <c r="F44" s="54">
        <v>11812</v>
      </c>
      <c r="G44" s="54">
        <v>22061</v>
      </c>
      <c r="H44" s="43">
        <f t="shared" si="18"/>
        <v>-46.457549521780514</v>
      </c>
      <c r="I44" s="54">
        <v>51753</v>
      </c>
      <c r="J44" s="54">
        <v>47301</v>
      </c>
      <c r="K44" s="43">
        <f t="shared" si="19"/>
        <v>9.412063169911832</v>
      </c>
      <c r="L44" s="54">
        <v>0</v>
      </c>
      <c r="M44" s="54">
        <v>0</v>
      </c>
      <c r="N44" s="43">
        <v>0</v>
      </c>
      <c r="O44" s="45">
        <v>57</v>
      </c>
      <c r="P44" s="46">
        <v>130</v>
      </c>
      <c r="Q44" s="45">
        <v>56</v>
      </c>
      <c r="R44" s="44">
        <f t="shared" si="16"/>
        <v>7410</v>
      </c>
    </row>
    <row r="45" spans="1:18" x14ac:dyDescent="0.25">
      <c r="A45" s="248">
        <v>10</v>
      </c>
      <c r="B45" s="246" t="s">
        <v>46</v>
      </c>
      <c r="C45" s="54">
        <v>179553</v>
      </c>
      <c r="D45" s="54">
        <v>277739</v>
      </c>
      <c r="E45" s="43">
        <f t="shared" si="17"/>
        <v>-35.351895124559391</v>
      </c>
      <c r="F45" s="54">
        <v>84637</v>
      </c>
      <c r="G45" s="54">
        <v>80909</v>
      </c>
      <c r="H45" s="43">
        <f t="shared" si="18"/>
        <v>4.6076456265681287</v>
      </c>
      <c r="I45" s="54">
        <v>183341</v>
      </c>
      <c r="J45" s="54">
        <v>204938</v>
      </c>
      <c r="K45" s="43">
        <f t="shared" si="19"/>
        <v>-10.538309147156696</v>
      </c>
      <c r="L45" s="54">
        <v>183324</v>
      </c>
      <c r="M45" s="54">
        <v>202655</v>
      </c>
      <c r="N45" s="43">
        <f t="shared" si="20"/>
        <v>-9.5388714810885489</v>
      </c>
      <c r="O45" s="45">
        <v>127</v>
      </c>
      <c r="P45" s="46">
        <v>84</v>
      </c>
      <c r="Q45" s="45">
        <v>127</v>
      </c>
      <c r="R45" s="44">
        <f t="shared" si="16"/>
        <v>10668</v>
      </c>
    </row>
    <row r="46" spans="1:18" x14ac:dyDescent="0.25">
      <c r="A46" s="245">
        <v>11</v>
      </c>
      <c r="B46" s="246" t="s">
        <v>47</v>
      </c>
      <c r="C46" s="54">
        <v>0</v>
      </c>
      <c r="D46" s="54">
        <v>0</v>
      </c>
      <c r="E46" s="43">
        <v>0</v>
      </c>
      <c r="F46" s="54">
        <v>0</v>
      </c>
      <c r="G46" s="54">
        <v>0</v>
      </c>
      <c r="H46" s="43">
        <v>0</v>
      </c>
      <c r="I46" s="54">
        <v>5769</v>
      </c>
      <c r="J46" s="54">
        <v>0</v>
      </c>
      <c r="K46" s="43">
        <v>0</v>
      </c>
      <c r="L46" s="54">
        <v>5769</v>
      </c>
      <c r="M46" s="54">
        <v>0</v>
      </c>
      <c r="N46" s="43">
        <v>0</v>
      </c>
      <c r="O46" s="45">
        <v>21</v>
      </c>
      <c r="P46" s="46">
        <v>80</v>
      </c>
      <c r="Q46" s="45">
        <v>21</v>
      </c>
      <c r="R46" s="44">
        <f t="shared" si="16"/>
        <v>1680</v>
      </c>
    </row>
    <row r="47" spans="1:18" x14ac:dyDescent="0.25">
      <c r="A47" s="245">
        <v>12</v>
      </c>
      <c r="B47" s="246" t="s">
        <v>48</v>
      </c>
      <c r="C47" s="54">
        <v>5685</v>
      </c>
      <c r="D47" s="54">
        <v>26203</v>
      </c>
      <c r="E47" s="43">
        <f t="shared" si="17"/>
        <v>-78.304010991107887</v>
      </c>
      <c r="F47" s="54">
        <v>872</v>
      </c>
      <c r="G47" s="54">
        <v>882</v>
      </c>
      <c r="H47" s="43">
        <f t="shared" ref="H47" si="21">F47/G47*100-100</f>
        <v>-1.1337868480725604</v>
      </c>
      <c r="I47" s="54">
        <v>5685</v>
      </c>
      <c r="J47" s="54">
        <v>31115</v>
      </c>
      <c r="K47" s="43">
        <f t="shared" ref="K47" si="22">I47/J47*100-100</f>
        <v>-81.729069580588146</v>
      </c>
      <c r="L47" s="54">
        <v>2199</v>
      </c>
      <c r="M47" s="54">
        <v>27298</v>
      </c>
      <c r="N47" s="43">
        <f t="shared" ref="N47" si="23">L47/M47*100-100</f>
        <v>-91.944464795955753</v>
      </c>
      <c r="O47" s="45">
        <v>21</v>
      </c>
      <c r="P47" s="46">
        <v>145</v>
      </c>
      <c r="Q47" s="45">
        <v>21</v>
      </c>
      <c r="R47" s="44">
        <f t="shared" si="16"/>
        <v>3045</v>
      </c>
    </row>
    <row r="48" spans="1:18" x14ac:dyDescent="0.25">
      <c r="A48" s="245">
        <v>13</v>
      </c>
      <c r="B48" s="246" t="s">
        <v>49</v>
      </c>
      <c r="C48" s="54">
        <v>49619</v>
      </c>
      <c r="D48" s="54">
        <v>107902</v>
      </c>
      <c r="E48" s="43">
        <f t="shared" si="17"/>
        <v>-54.014754128746453</v>
      </c>
      <c r="F48" s="54">
        <v>14031</v>
      </c>
      <c r="G48" s="54">
        <v>12172</v>
      </c>
      <c r="H48" s="43">
        <f t="shared" si="18"/>
        <v>15.272757147551758</v>
      </c>
      <c r="I48" s="54">
        <v>88991</v>
      </c>
      <c r="J48" s="54">
        <v>96041</v>
      </c>
      <c r="K48" s="43">
        <f t="shared" si="19"/>
        <v>-7.3406149457002812</v>
      </c>
      <c r="L48" s="54">
        <v>0</v>
      </c>
      <c r="M48" s="54">
        <v>0</v>
      </c>
      <c r="N48" s="43">
        <v>0</v>
      </c>
      <c r="O48" s="45">
        <v>45</v>
      </c>
      <c r="P48" s="46">
        <v>100</v>
      </c>
      <c r="Q48" s="45">
        <v>65</v>
      </c>
      <c r="R48" s="44">
        <f t="shared" si="16"/>
        <v>4500</v>
      </c>
    </row>
    <row r="49" spans="1:18" x14ac:dyDescent="0.25">
      <c r="A49" s="245">
        <v>14</v>
      </c>
      <c r="B49" s="246" t="s">
        <v>50</v>
      </c>
      <c r="C49" s="54">
        <v>7390</v>
      </c>
      <c r="D49" s="54">
        <v>7656</v>
      </c>
      <c r="E49" s="43">
        <f t="shared" si="17"/>
        <v>-3.4743991640543328</v>
      </c>
      <c r="F49" s="54">
        <v>1719</v>
      </c>
      <c r="G49" s="54">
        <v>1348</v>
      </c>
      <c r="H49" s="43">
        <f t="shared" si="18"/>
        <v>27.522255192878347</v>
      </c>
      <c r="I49" s="54">
        <v>6161</v>
      </c>
      <c r="J49" s="54">
        <v>5350</v>
      </c>
      <c r="K49" s="43">
        <f t="shared" si="19"/>
        <v>15.158878504672899</v>
      </c>
      <c r="L49" s="54">
        <v>0</v>
      </c>
      <c r="M49" s="54">
        <v>1576</v>
      </c>
      <c r="N49" s="43">
        <v>0</v>
      </c>
      <c r="O49" s="45">
        <v>11</v>
      </c>
      <c r="P49" s="46">
        <v>80</v>
      </c>
      <c r="Q49" s="45">
        <v>14</v>
      </c>
      <c r="R49" s="44">
        <f t="shared" si="16"/>
        <v>880</v>
      </c>
    </row>
    <row r="50" spans="1:18" x14ac:dyDescent="0.25">
      <c r="A50" s="245">
        <v>15</v>
      </c>
      <c r="B50" s="246" t="s">
        <v>51</v>
      </c>
      <c r="C50" s="54">
        <v>57980</v>
      </c>
      <c r="D50" s="54">
        <v>52048</v>
      </c>
      <c r="E50" s="43">
        <f t="shared" si="17"/>
        <v>11.397171841377187</v>
      </c>
      <c r="F50" s="54">
        <v>26040</v>
      </c>
      <c r="G50" s="54">
        <v>52084</v>
      </c>
      <c r="H50" s="43">
        <f t="shared" si="18"/>
        <v>-50.003839950848629</v>
      </c>
      <c r="I50" s="54">
        <v>128025</v>
      </c>
      <c r="J50" s="54">
        <v>86698</v>
      </c>
      <c r="K50" s="43">
        <f t="shared" si="19"/>
        <v>47.66776626911809</v>
      </c>
      <c r="L50" s="54">
        <v>116001</v>
      </c>
      <c r="M50" s="54">
        <v>50865</v>
      </c>
      <c r="N50" s="43">
        <v>0</v>
      </c>
      <c r="O50" s="45">
        <v>60</v>
      </c>
      <c r="P50" s="46">
        <v>160</v>
      </c>
      <c r="Q50" s="45">
        <v>55</v>
      </c>
      <c r="R50" s="44">
        <f t="shared" si="16"/>
        <v>9600</v>
      </c>
    </row>
    <row r="51" spans="1:18" x14ac:dyDescent="0.25">
      <c r="A51" s="245">
        <v>16</v>
      </c>
      <c r="B51" s="246" t="s">
        <v>52</v>
      </c>
      <c r="C51" s="54">
        <v>0</v>
      </c>
      <c r="D51" s="54">
        <v>0</v>
      </c>
      <c r="E51" s="43">
        <v>0</v>
      </c>
      <c r="F51" s="54">
        <v>0</v>
      </c>
      <c r="G51" s="54">
        <v>0</v>
      </c>
      <c r="H51" s="43">
        <v>0</v>
      </c>
      <c r="I51" s="54">
        <v>0</v>
      </c>
      <c r="J51" s="54">
        <v>0</v>
      </c>
      <c r="K51" s="43">
        <v>0</v>
      </c>
      <c r="L51" s="54">
        <v>0</v>
      </c>
      <c r="M51" s="54">
        <v>0</v>
      </c>
      <c r="N51" s="43">
        <v>0</v>
      </c>
      <c r="O51" s="45">
        <v>0</v>
      </c>
      <c r="P51" s="46">
        <v>45</v>
      </c>
      <c r="Q51" s="45">
        <v>0</v>
      </c>
      <c r="R51" s="44">
        <f t="shared" si="16"/>
        <v>0</v>
      </c>
    </row>
    <row r="52" spans="1:18" x14ac:dyDescent="0.25">
      <c r="A52" s="245">
        <v>17</v>
      </c>
      <c r="B52" s="246" t="s">
        <v>53</v>
      </c>
      <c r="C52" s="54">
        <v>5348</v>
      </c>
      <c r="D52" s="54">
        <v>12110</v>
      </c>
      <c r="E52" s="43">
        <f t="shared" si="17"/>
        <v>-55.838150289017342</v>
      </c>
      <c r="F52" s="54">
        <v>5348</v>
      </c>
      <c r="G52" s="54">
        <v>0</v>
      </c>
      <c r="H52" s="43">
        <v>0</v>
      </c>
      <c r="I52" s="54">
        <v>5348</v>
      </c>
      <c r="J52" s="54">
        <v>12110</v>
      </c>
      <c r="K52" s="43">
        <f t="shared" si="19"/>
        <v>-55.838150289017342</v>
      </c>
      <c r="L52" s="54">
        <v>0</v>
      </c>
      <c r="M52" s="54">
        <v>0</v>
      </c>
      <c r="N52" s="43">
        <v>0</v>
      </c>
      <c r="O52" s="45">
        <v>2</v>
      </c>
      <c r="P52" s="46">
        <v>63</v>
      </c>
      <c r="Q52" s="45">
        <v>1</v>
      </c>
      <c r="R52" s="44">
        <f t="shared" si="16"/>
        <v>126</v>
      </c>
    </row>
    <row r="53" spans="1:18" x14ac:dyDescent="0.25">
      <c r="A53" s="245">
        <v>18</v>
      </c>
      <c r="B53" s="249" t="s">
        <v>54</v>
      </c>
      <c r="C53" s="54">
        <v>81314</v>
      </c>
      <c r="D53" s="54">
        <v>323134</v>
      </c>
      <c r="E53" s="43">
        <f t="shared" si="17"/>
        <v>-74.835826623010888</v>
      </c>
      <c r="F53" s="54">
        <v>81314</v>
      </c>
      <c r="G53" s="54">
        <v>106363</v>
      </c>
      <c r="H53" s="43">
        <f t="shared" si="18"/>
        <v>-23.550482780666201</v>
      </c>
      <c r="I53" s="54">
        <v>116899</v>
      </c>
      <c r="J53" s="54">
        <v>323134</v>
      </c>
      <c r="K53" s="43">
        <f t="shared" si="19"/>
        <v>-63.82336739556964</v>
      </c>
      <c r="L53" s="54">
        <v>81314</v>
      </c>
      <c r="M53" s="54">
        <f>309061+4875</f>
        <v>313936</v>
      </c>
      <c r="N53" s="43">
        <v>0</v>
      </c>
      <c r="O53" s="45">
        <v>105</v>
      </c>
      <c r="P53" s="46">
        <v>85</v>
      </c>
      <c r="Q53" s="45">
        <v>105</v>
      </c>
      <c r="R53" s="44">
        <f t="shared" si="16"/>
        <v>8925</v>
      </c>
    </row>
    <row r="54" spans="1:18" x14ac:dyDescent="0.25">
      <c r="A54" s="976" t="s">
        <v>55</v>
      </c>
      <c r="B54" s="977"/>
      <c r="C54" s="250">
        <f>SUM(C36:C53)</f>
        <v>668591</v>
      </c>
      <c r="D54" s="87">
        <f>SUM(D36:D53)</f>
        <v>1128417</v>
      </c>
      <c r="E54" s="57">
        <f>C54/D54*100-100</f>
        <v>-40.749651946044771</v>
      </c>
      <c r="F54" s="87">
        <f>SUM(F36:F53)</f>
        <v>315697</v>
      </c>
      <c r="G54" s="87">
        <f>SUM(G36:G53)</f>
        <v>401175</v>
      </c>
      <c r="H54" s="57">
        <f t="shared" si="18"/>
        <v>-21.306910949087055</v>
      </c>
      <c r="I54" s="87">
        <f>SUM(I36:I53)</f>
        <v>823528</v>
      </c>
      <c r="J54" s="87">
        <f>SUM(J36:J53)</f>
        <v>1080311</v>
      </c>
      <c r="K54" s="57">
        <f t="shared" si="19"/>
        <v>-23.76935900865584</v>
      </c>
      <c r="L54" s="87">
        <f>SUM(L36:L53)</f>
        <v>456073</v>
      </c>
      <c r="M54" s="87">
        <f>SUM(M36:M53)</f>
        <v>671156</v>
      </c>
      <c r="N54" s="57">
        <f t="shared" si="20"/>
        <v>-32.04664787322173</v>
      </c>
      <c r="O54" s="56">
        <f>SUM(O36:O53)</f>
        <v>787</v>
      </c>
      <c r="P54" s="58">
        <f>R54/O54</f>
        <v>109.58958068614993</v>
      </c>
      <c r="Q54" s="56">
        <f>SUM(Q36:Q53)</f>
        <v>806</v>
      </c>
      <c r="R54" s="56">
        <f>SUM(R36:R53)</f>
        <v>86247</v>
      </c>
    </row>
    <row r="55" spans="1:18" x14ac:dyDescent="0.25">
      <c r="A55" s="251"/>
      <c r="B55" s="251"/>
      <c r="C55" s="25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45"/>
      <c r="R55" s="71"/>
    </row>
    <row r="56" spans="1:18" x14ac:dyDescent="0.25">
      <c r="A56" s="981" t="s">
        <v>56</v>
      </c>
      <c r="B56" s="982"/>
      <c r="C56" s="244">
        <v>3</v>
      </c>
      <c r="D56" s="37">
        <v>4</v>
      </c>
      <c r="E56" s="38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38">
        <v>16</v>
      </c>
      <c r="Q56" s="37">
        <v>15</v>
      </c>
      <c r="R56" s="39"/>
    </row>
    <row r="57" spans="1:18" x14ac:dyDescent="0.25">
      <c r="A57" s="252">
        <v>1</v>
      </c>
      <c r="B57" s="249" t="s">
        <v>57</v>
      </c>
      <c r="C57" s="247">
        <v>81374</v>
      </c>
      <c r="D57" s="54">
        <v>119413</v>
      </c>
      <c r="E57" s="43">
        <f t="shared" ref="E57:E66" si="24">C57/D57*100-100</f>
        <v>-31.854990662658167</v>
      </c>
      <c r="F57" s="54">
        <v>21989</v>
      </c>
      <c r="G57" s="54">
        <v>33615</v>
      </c>
      <c r="H57" s="54">
        <f t="shared" ref="H57:H66" si="25">F57/G57*100-100</f>
        <v>-34.585750409043584</v>
      </c>
      <c r="I57" s="54">
        <v>84944</v>
      </c>
      <c r="J57" s="54">
        <v>122838</v>
      </c>
      <c r="K57" s="43">
        <f t="shared" ref="K57:K66" si="26">I57/J57*100-100</f>
        <v>-30.848760155652158</v>
      </c>
      <c r="L57" s="54">
        <v>84445</v>
      </c>
      <c r="M57" s="54">
        <v>122370</v>
      </c>
      <c r="N57" s="43">
        <f t="shared" ref="N57:N66" si="27">L57/M57*100-100</f>
        <v>-30.992073220560584</v>
      </c>
      <c r="O57" s="54">
        <v>138</v>
      </c>
      <c r="P57" s="62">
        <v>94</v>
      </c>
      <c r="Q57" s="54">
        <v>146</v>
      </c>
      <c r="R57" s="44">
        <f>O57*P57</f>
        <v>12972</v>
      </c>
    </row>
    <row r="58" spans="1:18" x14ac:dyDescent="0.25">
      <c r="A58" s="253">
        <v>2</v>
      </c>
      <c r="B58" s="249" t="s">
        <v>58</v>
      </c>
      <c r="C58" s="247">
        <v>12965</v>
      </c>
      <c r="D58" s="54">
        <v>20628</v>
      </c>
      <c r="E58" s="43">
        <f t="shared" si="24"/>
        <v>-37.148535970525501</v>
      </c>
      <c r="F58" s="54">
        <v>316</v>
      </c>
      <c r="G58" s="54">
        <v>344</v>
      </c>
      <c r="H58" s="54">
        <f t="shared" si="25"/>
        <v>-8.1395348837209269</v>
      </c>
      <c r="I58" s="54">
        <v>27779</v>
      </c>
      <c r="J58" s="54">
        <v>20628</v>
      </c>
      <c r="K58" s="43">
        <f t="shared" si="26"/>
        <v>34.666472755477997</v>
      </c>
      <c r="L58" s="54">
        <v>0</v>
      </c>
      <c r="M58" s="54">
        <v>0</v>
      </c>
      <c r="N58" s="43">
        <v>0</v>
      </c>
      <c r="O58" s="54">
        <v>105</v>
      </c>
      <c r="P58" s="54">
        <v>105</v>
      </c>
      <c r="Q58" s="54">
        <v>105</v>
      </c>
      <c r="R58" s="44">
        <f t="shared" ref="R58:R65" si="28">O58*P58</f>
        <v>11025</v>
      </c>
    </row>
    <row r="59" spans="1:18" x14ac:dyDescent="0.25">
      <c r="A59" s="253">
        <v>3</v>
      </c>
      <c r="B59" s="249" t="s">
        <v>59</v>
      </c>
      <c r="C59" s="247">
        <v>68615</v>
      </c>
      <c r="D59" s="54">
        <v>77595</v>
      </c>
      <c r="E59" s="43">
        <f t="shared" si="24"/>
        <v>-11.572910625684642</v>
      </c>
      <c r="F59" s="54">
        <v>20632</v>
      </c>
      <c r="G59" s="54">
        <v>26156</v>
      </c>
      <c r="H59" s="43">
        <f t="shared" si="25"/>
        <v>-21.119437222816941</v>
      </c>
      <c r="I59" s="54">
        <v>68615</v>
      </c>
      <c r="J59" s="54">
        <v>77595</v>
      </c>
      <c r="K59" s="43">
        <f t="shared" si="26"/>
        <v>-11.572910625684642</v>
      </c>
      <c r="L59" s="54">
        <v>0</v>
      </c>
      <c r="M59" s="54">
        <v>0</v>
      </c>
      <c r="N59" s="43">
        <v>0</v>
      </c>
      <c r="O59" s="54">
        <v>108</v>
      </c>
      <c r="P59" s="54">
        <v>92</v>
      </c>
      <c r="Q59" s="54">
        <v>108</v>
      </c>
      <c r="R59" s="44">
        <f t="shared" si="28"/>
        <v>9936</v>
      </c>
    </row>
    <row r="60" spans="1:18" x14ac:dyDescent="0.25">
      <c r="A60" s="252">
        <v>4</v>
      </c>
      <c r="B60" s="249" t="s">
        <v>60</v>
      </c>
      <c r="C60" s="247">
        <v>122925</v>
      </c>
      <c r="D60" s="54">
        <v>88206</v>
      </c>
      <c r="E60" s="43">
        <f t="shared" si="24"/>
        <v>39.361267940956395</v>
      </c>
      <c r="F60" s="54">
        <v>22754</v>
      </c>
      <c r="G60" s="54">
        <v>36279</v>
      </c>
      <c r="H60" s="43">
        <f t="shared" si="25"/>
        <v>-37.2805204112572</v>
      </c>
      <c r="I60" s="54">
        <v>122342</v>
      </c>
      <c r="J60" s="54">
        <v>73821</v>
      </c>
      <c r="K60" s="43">
        <f t="shared" si="26"/>
        <v>65.727909402473557</v>
      </c>
      <c r="L60" s="54">
        <f>4405+2625</f>
        <v>7030</v>
      </c>
      <c r="M60" s="54">
        <v>0</v>
      </c>
      <c r="N60" s="43">
        <v>0</v>
      </c>
      <c r="O60" s="54">
        <v>68</v>
      </c>
      <c r="P60" s="54">
        <v>124</v>
      </c>
      <c r="Q60" s="54">
        <v>67</v>
      </c>
      <c r="R60" s="44">
        <f t="shared" si="28"/>
        <v>8432</v>
      </c>
    </row>
    <row r="61" spans="1:18" x14ac:dyDescent="0.25">
      <c r="A61" s="253">
        <v>5</v>
      </c>
      <c r="B61" s="249" t="s">
        <v>61</v>
      </c>
      <c r="C61" s="247">
        <v>0</v>
      </c>
      <c r="D61" s="54">
        <v>0</v>
      </c>
      <c r="E61" s="43">
        <v>0</v>
      </c>
      <c r="F61" s="54">
        <v>0</v>
      </c>
      <c r="G61" s="54">
        <v>0</v>
      </c>
      <c r="H61" s="43">
        <v>0</v>
      </c>
      <c r="I61" s="54">
        <v>0</v>
      </c>
      <c r="J61" s="54">
        <v>0</v>
      </c>
      <c r="K61" s="43">
        <v>0</v>
      </c>
      <c r="L61" s="54">
        <v>0</v>
      </c>
      <c r="M61" s="54">
        <v>0</v>
      </c>
      <c r="N61" s="43">
        <v>0</v>
      </c>
      <c r="O61" s="45">
        <v>0</v>
      </c>
      <c r="P61" s="46">
        <v>0</v>
      </c>
      <c r="Q61" s="45">
        <v>0</v>
      </c>
      <c r="R61" s="44">
        <f t="shared" si="28"/>
        <v>0</v>
      </c>
    </row>
    <row r="62" spans="1:18" x14ac:dyDescent="0.25">
      <c r="A62" s="253">
        <v>6</v>
      </c>
      <c r="B62" s="249" t="s">
        <v>62</v>
      </c>
      <c r="C62" s="247">
        <v>15230</v>
      </c>
      <c r="D62" s="54">
        <v>19267</v>
      </c>
      <c r="E62" s="43">
        <f t="shared" si="24"/>
        <v>-20.952924689884256</v>
      </c>
      <c r="F62" s="54">
        <v>2780</v>
      </c>
      <c r="G62" s="54">
        <v>4443</v>
      </c>
      <c r="H62" s="43">
        <f t="shared" si="25"/>
        <v>-37.42966464100833</v>
      </c>
      <c r="I62" s="54">
        <v>17468</v>
      </c>
      <c r="J62" s="54">
        <v>18336</v>
      </c>
      <c r="K62" s="43">
        <f t="shared" si="26"/>
        <v>-4.7338568935427503</v>
      </c>
      <c r="L62" s="54">
        <v>17468</v>
      </c>
      <c r="M62" s="54">
        <v>18336</v>
      </c>
      <c r="N62" s="43">
        <f t="shared" si="27"/>
        <v>-4.7338568935427503</v>
      </c>
      <c r="O62" s="54">
        <v>32</v>
      </c>
      <c r="P62" s="54">
        <v>67</v>
      </c>
      <c r="Q62" s="54">
        <v>31</v>
      </c>
      <c r="R62" s="44">
        <f t="shared" si="28"/>
        <v>2144</v>
      </c>
    </row>
    <row r="63" spans="1:18" x14ac:dyDescent="0.25">
      <c r="A63" s="252">
        <v>7</v>
      </c>
      <c r="B63" s="249" t="s">
        <v>63</v>
      </c>
      <c r="C63" s="247">
        <v>29910</v>
      </c>
      <c r="D63" s="54">
        <v>6307</v>
      </c>
      <c r="E63" s="43">
        <f t="shared" si="24"/>
        <v>374.23497700967181</v>
      </c>
      <c r="F63" s="54">
        <v>6051</v>
      </c>
      <c r="G63" s="54">
        <v>0</v>
      </c>
      <c r="H63" s="43">
        <v>0</v>
      </c>
      <c r="I63" s="54">
        <v>27920</v>
      </c>
      <c r="J63" s="54">
        <v>18933</v>
      </c>
      <c r="K63" s="43">
        <f t="shared" si="26"/>
        <v>47.467384989172331</v>
      </c>
      <c r="L63" s="54">
        <v>27392</v>
      </c>
      <c r="M63" s="54">
        <v>18918</v>
      </c>
      <c r="N63" s="43">
        <f t="shared" si="27"/>
        <v>44.793318532614421</v>
      </c>
      <c r="O63" s="54">
        <v>31</v>
      </c>
      <c r="P63" s="54">
        <v>67</v>
      </c>
      <c r="Q63" s="54">
        <v>33</v>
      </c>
      <c r="R63" s="44">
        <f t="shared" si="28"/>
        <v>2077</v>
      </c>
    </row>
    <row r="64" spans="1:18" x14ac:dyDescent="0.25">
      <c r="A64" s="253">
        <v>8</v>
      </c>
      <c r="B64" s="249" t="s">
        <v>64</v>
      </c>
      <c r="C64" s="247">
        <v>0</v>
      </c>
      <c r="D64" s="54">
        <v>0</v>
      </c>
      <c r="E64" s="43">
        <v>0</v>
      </c>
      <c r="F64" s="54">
        <v>0</v>
      </c>
      <c r="G64" s="54">
        <v>0</v>
      </c>
      <c r="H64" s="43">
        <v>0</v>
      </c>
      <c r="I64" s="54">
        <v>0</v>
      </c>
      <c r="J64" s="54">
        <v>0</v>
      </c>
      <c r="K64" s="43">
        <v>0</v>
      </c>
      <c r="L64" s="54">
        <v>0</v>
      </c>
      <c r="M64" s="54">
        <v>0</v>
      </c>
      <c r="N64" s="43">
        <v>0</v>
      </c>
      <c r="O64" s="54">
        <v>35</v>
      </c>
      <c r="P64" s="62">
        <v>85</v>
      </c>
      <c r="Q64" s="54">
        <v>35</v>
      </c>
      <c r="R64" s="44">
        <f t="shared" si="28"/>
        <v>2975</v>
      </c>
    </row>
    <row r="65" spans="1:18" x14ac:dyDescent="0.25">
      <c r="A65" s="253">
        <v>9</v>
      </c>
      <c r="B65" s="249" t="s">
        <v>65</v>
      </c>
      <c r="C65" s="247">
        <v>0</v>
      </c>
      <c r="D65" s="54">
        <v>0</v>
      </c>
      <c r="E65" s="43">
        <v>0</v>
      </c>
      <c r="F65" s="54">
        <v>0</v>
      </c>
      <c r="G65" s="54">
        <v>0</v>
      </c>
      <c r="H65" s="43">
        <v>0</v>
      </c>
      <c r="I65" s="54">
        <v>0</v>
      </c>
      <c r="J65" s="54">
        <v>0</v>
      </c>
      <c r="K65" s="43">
        <v>0</v>
      </c>
      <c r="L65" s="54">
        <v>0</v>
      </c>
      <c r="M65" s="54">
        <v>0</v>
      </c>
      <c r="N65" s="43">
        <v>0</v>
      </c>
      <c r="O65" s="45">
        <v>0</v>
      </c>
      <c r="P65" s="46">
        <v>0</v>
      </c>
      <c r="Q65" s="45">
        <v>0</v>
      </c>
      <c r="R65" s="44">
        <f t="shared" si="28"/>
        <v>0</v>
      </c>
    </row>
    <row r="66" spans="1:18" x14ac:dyDescent="0.25">
      <c r="A66" s="996" t="s">
        <v>66</v>
      </c>
      <c r="B66" s="997"/>
      <c r="C66" s="254">
        <f>SUM(C57:C65)</f>
        <v>331019</v>
      </c>
      <c r="D66" s="68">
        <f>SUM(D57:D65)</f>
        <v>331416</v>
      </c>
      <c r="E66" s="57">
        <f t="shared" si="24"/>
        <v>-0.11978902648030498</v>
      </c>
      <c r="F66" s="68">
        <f>SUM(F57:F65)</f>
        <v>74522</v>
      </c>
      <c r="G66" s="68">
        <f>SUM(G57:G65)</f>
        <v>100837</v>
      </c>
      <c r="H66" s="57">
        <f t="shared" si="25"/>
        <v>-26.096571694913578</v>
      </c>
      <c r="I66" s="68">
        <f>SUM(I57:I65)</f>
        <v>349068</v>
      </c>
      <c r="J66" s="68">
        <f>SUM(J57:J65)</f>
        <v>332151</v>
      </c>
      <c r="K66" s="57">
        <f t="shared" si="26"/>
        <v>5.0931654578790955</v>
      </c>
      <c r="L66" s="68">
        <f>SUM(L57:L65)</f>
        <v>136335</v>
      </c>
      <c r="M66" s="68">
        <f>SUM(M57:M65)</f>
        <v>159624</v>
      </c>
      <c r="N66" s="57">
        <f t="shared" si="27"/>
        <v>-14.589911291535103</v>
      </c>
      <c r="O66" s="68">
        <f>SUM(O57:O65)</f>
        <v>517</v>
      </c>
      <c r="P66" s="69">
        <f>R66/O66</f>
        <v>95.862669245647965</v>
      </c>
      <c r="Q66" s="68">
        <f>SUM(Q57:Q65)</f>
        <v>525</v>
      </c>
      <c r="R66" s="70">
        <f>SUM(R57:R65)</f>
        <v>49561</v>
      </c>
    </row>
    <row r="67" spans="1:18" x14ac:dyDescent="0.25">
      <c r="A67" s="255"/>
      <c r="B67" s="251"/>
      <c r="C67" s="255"/>
      <c r="D67" s="39"/>
      <c r="E67" s="39"/>
      <c r="F67" s="39"/>
      <c r="G67" s="39"/>
      <c r="H67" s="39"/>
      <c r="I67" s="39"/>
      <c r="J67" s="39"/>
      <c r="K67" s="72"/>
      <c r="L67" s="39"/>
      <c r="M67" s="39"/>
      <c r="N67" s="39"/>
      <c r="O67" s="39"/>
      <c r="P67" s="73"/>
      <c r="Q67" s="39"/>
      <c r="R67" s="39"/>
    </row>
    <row r="68" spans="1:18" x14ac:dyDescent="0.25">
      <c r="A68" s="981" t="s">
        <v>67</v>
      </c>
      <c r="B68" s="982"/>
      <c r="C68" s="244">
        <v>3</v>
      </c>
      <c r="D68" s="37">
        <v>4</v>
      </c>
      <c r="E68" s="38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38">
        <v>16</v>
      </c>
      <c r="Q68" s="37">
        <v>15</v>
      </c>
      <c r="R68" s="39"/>
    </row>
    <row r="69" spans="1:18" x14ac:dyDescent="0.25">
      <c r="A69" s="245">
        <v>1</v>
      </c>
      <c r="B69" s="246" t="s">
        <v>68</v>
      </c>
      <c r="C69" s="256">
        <v>576</v>
      </c>
      <c r="D69" s="60">
        <v>4197</v>
      </c>
      <c r="E69" s="43">
        <f t="shared" ref="E69:E78" si="29">C69/D69*100-100</f>
        <v>-86.275911365260896</v>
      </c>
      <c r="F69" s="60">
        <v>22</v>
      </c>
      <c r="G69" s="60">
        <v>3297</v>
      </c>
      <c r="H69" s="54">
        <f t="shared" ref="H69:H78" si="30">F69/G69*100-100</f>
        <v>-99.33272672126175</v>
      </c>
      <c r="I69" s="60">
        <v>576</v>
      </c>
      <c r="J69" s="60">
        <v>4243</v>
      </c>
      <c r="K69" s="74">
        <f>I69/J69*100</f>
        <v>13.575300494932829</v>
      </c>
      <c r="L69" s="60">
        <v>0</v>
      </c>
      <c r="M69" s="60">
        <v>0</v>
      </c>
      <c r="N69" s="43">
        <v>0</v>
      </c>
      <c r="O69" s="45">
        <v>142</v>
      </c>
      <c r="P69" s="60">
        <v>55</v>
      </c>
      <c r="Q69" s="45">
        <v>142</v>
      </c>
      <c r="R69" s="44">
        <f t="shared" ref="R69:R76" si="31">O69*P69</f>
        <v>7810</v>
      </c>
    </row>
    <row r="70" spans="1:18" x14ac:dyDescent="0.25">
      <c r="A70" s="245">
        <v>2</v>
      </c>
      <c r="B70" s="246" t="s">
        <v>69</v>
      </c>
      <c r="C70" s="256">
        <v>40591</v>
      </c>
      <c r="D70" s="60">
        <v>198704</v>
      </c>
      <c r="E70" s="43">
        <f t="shared" si="29"/>
        <v>-79.572127385457762</v>
      </c>
      <c r="F70" s="60">
        <v>0</v>
      </c>
      <c r="G70" s="60">
        <v>29347</v>
      </c>
      <c r="H70" s="43">
        <f t="shared" si="30"/>
        <v>-100</v>
      </c>
      <c r="I70" s="60">
        <v>40687</v>
      </c>
      <c r="J70" s="60">
        <v>199037</v>
      </c>
      <c r="K70" s="43">
        <f t="shared" ref="K70:K78" si="32">I70/J70*100-100</f>
        <v>-79.558072117244535</v>
      </c>
      <c r="L70" s="60">
        <v>40687</v>
      </c>
      <c r="M70" s="60">
        <v>199037</v>
      </c>
      <c r="N70" s="43">
        <f t="shared" ref="N70:N78" si="33">L70/M70*100-100</f>
        <v>-79.558072117244535</v>
      </c>
      <c r="O70" s="45">
        <v>4</v>
      </c>
      <c r="P70" s="46">
        <v>102</v>
      </c>
      <c r="Q70" s="45">
        <v>13</v>
      </c>
      <c r="R70" s="44">
        <f t="shared" si="31"/>
        <v>408</v>
      </c>
    </row>
    <row r="71" spans="1:18" x14ac:dyDescent="0.25">
      <c r="A71" s="245">
        <v>3</v>
      </c>
      <c r="B71" s="246" t="s">
        <v>70</v>
      </c>
      <c r="C71" s="256">
        <f>Փետրվար!C71/1000</f>
        <v>0</v>
      </c>
      <c r="D71" s="60">
        <f>Փետրվար!D71/1000</f>
        <v>0</v>
      </c>
      <c r="E71" s="43">
        <v>0</v>
      </c>
      <c r="F71" s="60">
        <f>Փետրվար!F71/1000</f>
        <v>0</v>
      </c>
      <c r="G71" s="60">
        <f>Փետրվար!G71/1000</f>
        <v>0</v>
      </c>
      <c r="H71" s="43">
        <v>0</v>
      </c>
      <c r="I71" s="60">
        <f>Փետրվար!I71/1000</f>
        <v>0</v>
      </c>
      <c r="J71" s="60">
        <f>Փետրվար!J71/1000</f>
        <v>0</v>
      </c>
      <c r="K71" s="43">
        <v>0</v>
      </c>
      <c r="L71" s="60">
        <f>Փետրվար!L71/1000</f>
        <v>0</v>
      </c>
      <c r="M71" s="60">
        <f>Փետրվար!M71/1000</f>
        <v>0</v>
      </c>
      <c r="N71" s="43">
        <v>0</v>
      </c>
      <c r="O71" s="45">
        <v>25</v>
      </c>
      <c r="P71" s="60">
        <v>71</v>
      </c>
      <c r="Q71" s="45">
        <v>25</v>
      </c>
      <c r="R71" s="44">
        <f t="shared" si="31"/>
        <v>1775</v>
      </c>
    </row>
    <row r="72" spans="1:18" x14ac:dyDescent="0.25">
      <c r="A72" s="245">
        <v>4</v>
      </c>
      <c r="B72" s="246" t="s">
        <v>71</v>
      </c>
      <c r="C72" s="256">
        <v>3795</v>
      </c>
      <c r="D72" s="60">
        <v>22175</v>
      </c>
      <c r="E72" s="43">
        <f t="shared" si="29"/>
        <v>-82.886133032694474</v>
      </c>
      <c r="F72" s="60">
        <v>239</v>
      </c>
      <c r="G72" s="60">
        <v>5996</v>
      </c>
      <c r="H72" s="43">
        <f t="shared" si="30"/>
        <v>-96.014009339559706</v>
      </c>
      <c r="I72" s="60">
        <v>865</v>
      </c>
      <c r="J72" s="60">
        <v>27765</v>
      </c>
      <c r="K72" s="43">
        <f t="shared" si="32"/>
        <v>-96.88456690077436</v>
      </c>
      <c r="L72" s="60">
        <v>0</v>
      </c>
      <c r="M72" s="60">
        <v>22158</v>
      </c>
      <c r="N72" s="43">
        <v>0</v>
      </c>
      <c r="O72" s="45"/>
      <c r="P72" s="75">
        <v>50</v>
      </c>
      <c r="Q72" s="45">
        <v>43</v>
      </c>
      <c r="R72" s="44">
        <f t="shared" si="31"/>
        <v>0</v>
      </c>
    </row>
    <row r="73" spans="1:18" x14ac:dyDescent="0.25">
      <c r="A73" s="245">
        <v>5</v>
      </c>
      <c r="B73" s="246" t="s">
        <v>72</v>
      </c>
      <c r="C73" s="256">
        <v>833</v>
      </c>
      <c r="D73" s="60">
        <v>475</v>
      </c>
      <c r="E73" s="43">
        <f t="shared" si="29"/>
        <v>75.368421052631561</v>
      </c>
      <c r="F73" s="60">
        <v>208</v>
      </c>
      <c r="G73" s="60">
        <v>150</v>
      </c>
      <c r="H73" s="43">
        <f t="shared" si="30"/>
        <v>38.666666666666686</v>
      </c>
      <c r="I73" s="60">
        <v>833</v>
      </c>
      <c r="J73" s="60">
        <v>475</v>
      </c>
      <c r="K73" s="43">
        <f t="shared" si="32"/>
        <v>75.368421052631561</v>
      </c>
      <c r="L73" s="60">
        <v>0</v>
      </c>
      <c r="M73" s="60">
        <v>0</v>
      </c>
      <c r="N73" s="43">
        <v>0</v>
      </c>
      <c r="O73" s="45">
        <v>64</v>
      </c>
      <c r="P73" s="60">
        <v>120</v>
      </c>
      <c r="Q73" s="45">
        <v>63</v>
      </c>
      <c r="R73" s="44">
        <f t="shared" si="31"/>
        <v>7680</v>
      </c>
    </row>
    <row r="74" spans="1:18" x14ac:dyDescent="0.25">
      <c r="A74" s="248">
        <v>6</v>
      </c>
      <c r="B74" s="246" t="s">
        <v>73</v>
      </c>
      <c r="C74" s="256">
        <v>186</v>
      </c>
      <c r="D74" s="60">
        <v>35824</v>
      </c>
      <c r="E74" s="54">
        <f t="shared" si="29"/>
        <v>-99.480794997766864</v>
      </c>
      <c r="F74" s="60">
        <v>186</v>
      </c>
      <c r="G74" s="60">
        <v>33649</v>
      </c>
      <c r="H74" s="43">
        <f t="shared" si="30"/>
        <v>-99.447234687509294</v>
      </c>
      <c r="I74" s="60">
        <v>262</v>
      </c>
      <c r="J74" s="60">
        <v>54566</v>
      </c>
      <c r="K74" s="54">
        <f t="shared" si="32"/>
        <v>-99.519847524099262</v>
      </c>
      <c r="L74" s="60">
        <v>53</v>
      </c>
      <c r="M74" s="60">
        <v>33647</v>
      </c>
      <c r="N74" s="43">
        <f t="shared" si="33"/>
        <v>-99.842482242101823</v>
      </c>
      <c r="O74" s="45">
        <v>6</v>
      </c>
      <c r="P74" s="60">
        <v>78</v>
      </c>
      <c r="Q74" s="45">
        <v>6</v>
      </c>
      <c r="R74" s="44">
        <f t="shared" si="31"/>
        <v>468</v>
      </c>
    </row>
    <row r="75" spans="1:18" x14ac:dyDescent="0.25">
      <c r="A75" s="245">
        <v>7</v>
      </c>
      <c r="B75" s="246" t="s">
        <v>74</v>
      </c>
      <c r="C75" s="256">
        <v>173097</v>
      </c>
      <c r="D75" s="60">
        <v>165691</v>
      </c>
      <c r="E75" s="43">
        <f t="shared" si="29"/>
        <v>4.4697660102238359</v>
      </c>
      <c r="F75" s="60">
        <v>45607</v>
      </c>
      <c r="G75" s="60">
        <v>30934</v>
      </c>
      <c r="H75" s="43">
        <f t="shared" si="30"/>
        <v>47.433244973168684</v>
      </c>
      <c r="I75" s="60">
        <v>187888</v>
      </c>
      <c r="J75" s="60">
        <v>191834</v>
      </c>
      <c r="K75" s="43">
        <f t="shared" si="32"/>
        <v>-2.0569867698114024</v>
      </c>
      <c r="L75" s="60">
        <f>20732+47971</f>
        <v>68703</v>
      </c>
      <c r="M75" s="60">
        <v>25674</v>
      </c>
      <c r="N75" s="43">
        <f t="shared" si="33"/>
        <v>167.59756952559013</v>
      </c>
      <c r="O75" s="45">
        <v>133</v>
      </c>
      <c r="P75" s="46">
        <v>200</v>
      </c>
      <c r="Q75" s="45">
        <v>133</v>
      </c>
      <c r="R75" s="44">
        <f t="shared" si="31"/>
        <v>26600</v>
      </c>
    </row>
    <row r="76" spans="1:18" x14ac:dyDescent="0.25">
      <c r="A76" s="245">
        <v>8</v>
      </c>
      <c r="B76" s="246" t="s">
        <v>75</v>
      </c>
      <c r="C76" s="256">
        <v>43893</v>
      </c>
      <c r="D76" s="60">
        <v>31397</v>
      </c>
      <c r="E76" s="54">
        <f t="shared" si="29"/>
        <v>39.799980889893931</v>
      </c>
      <c r="F76" s="60">
        <v>12045</v>
      </c>
      <c r="G76" s="60">
        <v>5128</v>
      </c>
      <c r="H76" s="43">
        <f t="shared" si="30"/>
        <v>134.88689547581902</v>
      </c>
      <c r="I76" s="60">
        <v>43893</v>
      </c>
      <c r="J76" s="60">
        <v>31397</v>
      </c>
      <c r="K76" s="54">
        <f t="shared" si="32"/>
        <v>39.799980889893931</v>
      </c>
      <c r="L76" s="60">
        <v>0</v>
      </c>
      <c r="M76" s="60">
        <v>1045</v>
      </c>
      <c r="N76" s="43">
        <v>0</v>
      </c>
      <c r="O76" s="45">
        <v>29</v>
      </c>
      <c r="P76" s="60">
        <v>40</v>
      </c>
      <c r="Q76" s="45">
        <v>29</v>
      </c>
      <c r="R76" s="44">
        <f t="shared" si="31"/>
        <v>1160</v>
      </c>
    </row>
    <row r="77" spans="1:18" x14ac:dyDescent="0.25">
      <c r="A77" s="257"/>
      <c r="B77" s="258" t="s">
        <v>77</v>
      </c>
      <c r="C77" s="250">
        <f>SUM(C69:C76)</f>
        <v>262971</v>
      </c>
      <c r="D77" s="87">
        <f>SUM(D69:D76)</f>
        <v>458463</v>
      </c>
      <c r="E77" s="57">
        <f t="shared" si="29"/>
        <v>-42.640736547987515</v>
      </c>
      <c r="F77" s="87">
        <f>SUM(F69:F76)</f>
        <v>58307</v>
      </c>
      <c r="G77" s="87">
        <f>SUM(G69:G76)</f>
        <v>108501</v>
      </c>
      <c r="H77" s="57">
        <f t="shared" si="30"/>
        <v>-46.261324780416771</v>
      </c>
      <c r="I77" s="87">
        <f>SUM(I69:I76)</f>
        <v>275004</v>
      </c>
      <c r="J77" s="87">
        <f>SUM(J69:J76)</f>
        <v>509317</v>
      </c>
      <c r="K77" s="57">
        <f t="shared" si="32"/>
        <v>-46.005336558567656</v>
      </c>
      <c r="L77" s="87">
        <f>SUM(L69:L76)</f>
        <v>109443</v>
      </c>
      <c r="M77" s="87">
        <f>SUM(M69:M76)</f>
        <v>281561</v>
      </c>
      <c r="N77" s="57">
        <f t="shared" si="33"/>
        <v>-61.12991500953612</v>
      </c>
      <c r="O77" s="56">
        <f>SUM(O69:O76)</f>
        <v>403</v>
      </c>
      <c r="P77" s="58">
        <f>R77/O77</f>
        <v>113.89826302729529</v>
      </c>
      <c r="Q77" s="56">
        <f>SUM(Q69:Q76)</f>
        <v>454</v>
      </c>
      <c r="R77" s="70">
        <f>SUM(R69:R76)</f>
        <v>45901</v>
      </c>
    </row>
    <row r="78" spans="1:18" x14ac:dyDescent="0.25">
      <c r="A78" s="994" t="s">
        <v>78</v>
      </c>
      <c r="B78" s="995" t="s">
        <v>78</v>
      </c>
      <c r="C78" s="259">
        <f>C54+C66+C77</f>
        <v>1262581</v>
      </c>
      <c r="D78" s="227">
        <f>D54+D66+D77</f>
        <v>1918296</v>
      </c>
      <c r="E78" s="77">
        <f t="shared" si="29"/>
        <v>-34.182159583296851</v>
      </c>
      <c r="F78" s="227">
        <f>F54+F66+F77</f>
        <v>448526</v>
      </c>
      <c r="G78" s="227">
        <f>G54+G66+G77</f>
        <v>610513</v>
      </c>
      <c r="H78" s="77">
        <f t="shared" si="30"/>
        <v>-26.532932140675143</v>
      </c>
      <c r="I78" s="227">
        <f>I54+I66+I77</f>
        <v>1447600</v>
      </c>
      <c r="J78" s="227">
        <f>J54+J66+J77</f>
        <v>1921779</v>
      </c>
      <c r="K78" s="77">
        <f t="shared" si="32"/>
        <v>-24.673960949724176</v>
      </c>
      <c r="L78" s="227">
        <f>L54+L66+L77</f>
        <v>701851</v>
      </c>
      <c r="M78" s="227">
        <f>M54+M66+M77</f>
        <v>1112341</v>
      </c>
      <c r="N78" s="77">
        <f t="shared" si="33"/>
        <v>-36.903251790592996</v>
      </c>
      <c r="O78" s="76">
        <f>O54+O66+O77</f>
        <v>1707</v>
      </c>
      <c r="P78" s="78">
        <f>R78/O78</f>
        <v>106.44932630345636</v>
      </c>
      <c r="Q78" s="76">
        <f>Q54+Q66+Q77</f>
        <v>1785</v>
      </c>
      <c r="R78" s="79">
        <f>R54+R66+R77</f>
        <v>181709</v>
      </c>
    </row>
    <row r="79" spans="1:18" x14ac:dyDescent="0.25">
      <c r="A79" s="251"/>
      <c r="B79" s="251"/>
      <c r="C79" s="25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45"/>
      <c r="R79" s="71"/>
    </row>
    <row r="80" spans="1:18" x14ac:dyDescent="0.25">
      <c r="A80" s="987" t="s">
        <v>79</v>
      </c>
      <c r="B80" s="988"/>
      <c r="C80" s="244">
        <v>3</v>
      </c>
      <c r="D80" s="37">
        <v>4</v>
      </c>
      <c r="E80" s="38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38">
        <v>16</v>
      </c>
      <c r="Q80" s="37">
        <v>15</v>
      </c>
      <c r="R80" s="39"/>
    </row>
    <row r="81" spans="1:18" x14ac:dyDescent="0.25">
      <c r="A81" s="260">
        <v>1</v>
      </c>
      <c r="B81" s="132" t="s">
        <v>80</v>
      </c>
      <c r="C81" s="256">
        <v>173</v>
      </c>
      <c r="D81" s="60">
        <v>1412</v>
      </c>
      <c r="E81" s="43">
        <f t="shared" ref="E81:E92" si="34">C81/D81*100-100</f>
        <v>-87.747875354107649</v>
      </c>
      <c r="F81" s="60">
        <v>21</v>
      </c>
      <c r="G81" s="60">
        <v>438</v>
      </c>
      <c r="H81" s="43">
        <f t="shared" ref="H81:H92" si="35">F81/G81*100-100</f>
        <v>-95.205479452054789</v>
      </c>
      <c r="I81" s="60">
        <v>173</v>
      </c>
      <c r="J81" s="60">
        <v>1412</v>
      </c>
      <c r="K81" s="43">
        <v>0</v>
      </c>
      <c r="L81" s="60">
        <v>0</v>
      </c>
      <c r="M81" s="60">
        <v>0</v>
      </c>
      <c r="N81" s="43">
        <v>0</v>
      </c>
      <c r="O81" s="45">
        <v>2501</v>
      </c>
      <c r="P81" s="49">
        <v>113</v>
      </c>
      <c r="Q81" s="45">
        <v>2501</v>
      </c>
      <c r="R81" s="44">
        <f t="shared" ref="R81:R91" si="36">O81*P81</f>
        <v>282613</v>
      </c>
    </row>
    <row r="82" spans="1:18" x14ac:dyDescent="0.25">
      <c r="A82" s="261">
        <v>2</v>
      </c>
      <c r="B82" s="132" t="s">
        <v>81</v>
      </c>
      <c r="C82" s="256">
        <v>1708</v>
      </c>
      <c r="D82" s="60">
        <v>256969</v>
      </c>
      <c r="E82" s="43">
        <f t="shared" si="34"/>
        <v>-99.335328385914252</v>
      </c>
      <c r="F82" s="60">
        <v>1708</v>
      </c>
      <c r="G82" s="60">
        <v>59644</v>
      </c>
      <c r="H82" s="43">
        <f t="shared" si="35"/>
        <v>-97.136342297632623</v>
      </c>
      <c r="I82" s="60">
        <v>2228</v>
      </c>
      <c r="J82" s="60">
        <v>292398</v>
      </c>
      <c r="K82" s="43">
        <f t="shared" ref="K82:K92" si="37">I82/J82*100-100</f>
        <v>-99.238024883891129</v>
      </c>
      <c r="L82" s="60">
        <v>0</v>
      </c>
      <c r="M82" s="60">
        <v>287264</v>
      </c>
      <c r="N82" s="43">
        <f t="shared" ref="N82:N92" si="38">L82/M82*100-100</f>
        <v>-100</v>
      </c>
      <c r="O82" s="45">
        <v>679</v>
      </c>
      <c r="P82" s="49">
        <v>105</v>
      </c>
      <c r="Q82" s="45">
        <v>688</v>
      </c>
      <c r="R82" s="44">
        <f t="shared" si="36"/>
        <v>71295</v>
      </c>
    </row>
    <row r="83" spans="1:18" x14ac:dyDescent="0.25">
      <c r="A83" s="260">
        <v>3</v>
      </c>
      <c r="B83" s="132" t="s">
        <v>82</v>
      </c>
      <c r="C83" s="256">
        <v>456412</v>
      </c>
      <c r="D83" s="60">
        <v>256341</v>
      </c>
      <c r="E83" s="43">
        <f t="shared" si="34"/>
        <v>78.048770973039808</v>
      </c>
      <c r="F83" s="60">
        <v>87192</v>
      </c>
      <c r="G83" s="60">
        <v>50600</v>
      </c>
      <c r="H83" s="43">
        <f t="shared" si="35"/>
        <v>72.316205533596843</v>
      </c>
      <c r="I83" s="60">
        <v>403963</v>
      </c>
      <c r="J83" s="60">
        <v>420213</v>
      </c>
      <c r="K83" s="43">
        <f t="shared" si="37"/>
        <v>-3.8670864537746326</v>
      </c>
      <c r="L83" s="60">
        <v>92646</v>
      </c>
      <c r="M83" s="60">
        <v>118552</v>
      </c>
      <c r="N83" s="43">
        <f t="shared" si="38"/>
        <v>-21.852014305958562</v>
      </c>
      <c r="O83" s="45">
        <v>34</v>
      </c>
      <c r="P83" s="49">
        <v>347</v>
      </c>
      <c r="Q83" s="45">
        <v>33</v>
      </c>
      <c r="R83" s="44">
        <f t="shared" si="36"/>
        <v>11798</v>
      </c>
    </row>
    <row r="84" spans="1:18" x14ac:dyDescent="0.25">
      <c r="A84" s="261">
        <v>4</v>
      </c>
      <c r="B84" s="132" t="s">
        <v>83</v>
      </c>
      <c r="C84" s="256">
        <v>371908</v>
      </c>
      <c r="D84" s="60">
        <v>324754</v>
      </c>
      <c r="E84" s="43">
        <f t="shared" si="34"/>
        <v>14.519913534552302</v>
      </c>
      <c r="F84" s="60">
        <v>72779</v>
      </c>
      <c r="G84" s="60">
        <v>112116</v>
      </c>
      <c r="H84" s="43">
        <f t="shared" si="35"/>
        <v>-35.08598237539691</v>
      </c>
      <c r="I84" s="60">
        <v>372391</v>
      </c>
      <c r="J84" s="60">
        <v>328427</v>
      </c>
      <c r="K84" s="43">
        <f t="shared" si="37"/>
        <v>13.386231948043246</v>
      </c>
      <c r="L84" s="60">
        <v>276164</v>
      </c>
      <c r="M84" s="60">
        <v>208149</v>
      </c>
      <c r="N84" s="43">
        <f t="shared" si="38"/>
        <v>32.67611182374165</v>
      </c>
      <c r="O84" s="45">
        <v>174</v>
      </c>
      <c r="P84" s="49">
        <v>40</v>
      </c>
      <c r="Q84" s="45">
        <v>174</v>
      </c>
      <c r="R84" s="44">
        <f t="shared" si="36"/>
        <v>6960</v>
      </c>
    </row>
    <row r="85" spans="1:18" x14ac:dyDescent="0.25">
      <c r="A85" s="260">
        <v>5</v>
      </c>
      <c r="B85" s="132" t="s">
        <v>84</v>
      </c>
      <c r="C85" s="256">
        <v>96089</v>
      </c>
      <c r="D85" s="60">
        <v>113546</v>
      </c>
      <c r="E85" s="43">
        <f t="shared" si="34"/>
        <v>-15.374385711517803</v>
      </c>
      <c r="F85" s="60">
        <v>20773</v>
      </c>
      <c r="G85" s="60">
        <v>23139</v>
      </c>
      <c r="H85" s="43">
        <f t="shared" si="35"/>
        <v>-10.225160983620725</v>
      </c>
      <c r="I85" s="60">
        <v>84808</v>
      </c>
      <c r="J85" s="60">
        <v>117450</v>
      </c>
      <c r="K85" s="43">
        <f t="shared" si="37"/>
        <v>-27.792252022137077</v>
      </c>
      <c r="L85" s="60">
        <v>41133</v>
      </c>
      <c r="M85" s="60">
        <v>63442</v>
      </c>
      <c r="N85" s="43">
        <f t="shared" si="38"/>
        <v>-35.164402131080351</v>
      </c>
      <c r="O85" s="45">
        <v>89</v>
      </c>
      <c r="P85" s="60">
        <v>70</v>
      </c>
      <c r="Q85" s="45">
        <v>89</v>
      </c>
      <c r="R85" s="44">
        <f t="shared" si="36"/>
        <v>6230</v>
      </c>
    </row>
    <row r="86" spans="1:18" x14ac:dyDescent="0.25">
      <c r="A86" s="261">
        <v>6</v>
      </c>
      <c r="B86" s="132" t="s">
        <v>85</v>
      </c>
      <c r="C86" s="256">
        <v>0</v>
      </c>
      <c r="D86" s="60">
        <v>0</v>
      </c>
      <c r="E86" s="43" t="e">
        <f t="shared" si="34"/>
        <v>#DIV/0!</v>
      </c>
      <c r="F86" s="60">
        <v>0</v>
      </c>
      <c r="G86" s="60">
        <v>0</v>
      </c>
      <c r="H86" s="43" t="e">
        <f t="shared" si="35"/>
        <v>#DIV/0!</v>
      </c>
      <c r="I86" s="60">
        <v>0</v>
      </c>
      <c r="J86" s="60">
        <v>0</v>
      </c>
      <c r="K86" s="43" t="e">
        <f t="shared" si="37"/>
        <v>#DIV/0!</v>
      </c>
      <c r="L86" s="60">
        <v>0</v>
      </c>
      <c r="M86" s="60">
        <v>0</v>
      </c>
      <c r="N86" s="43" t="e">
        <f t="shared" si="38"/>
        <v>#DIV/0!</v>
      </c>
      <c r="O86" s="45">
        <v>0</v>
      </c>
      <c r="P86" s="46">
        <v>0</v>
      </c>
      <c r="Q86" s="45">
        <v>0</v>
      </c>
      <c r="R86" s="44">
        <f t="shared" si="36"/>
        <v>0</v>
      </c>
    </row>
    <row r="87" spans="1:18" x14ac:dyDescent="0.25">
      <c r="A87" s="261">
        <v>7</v>
      </c>
      <c r="B87" s="262" t="s">
        <v>86</v>
      </c>
      <c r="C87" s="256">
        <v>178288</v>
      </c>
      <c r="D87" s="60">
        <v>162099</v>
      </c>
      <c r="E87" s="43">
        <f t="shared" si="34"/>
        <v>9.9871066447047667</v>
      </c>
      <c r="F87" s="60">
        <v>56371</v>
      </c>
      <c r="G87" s="60">
        <v>60620</v>
      </c>
      <c r="H87" s="43">
        <f t="shared" si="35"/>
        <v>-7.0092378752886901</v>
      </c>
      <c r="I87" s="60">
        <v>202489</v>
      </c>
      <c r="J87" s="60">
        <v>309473</v>
      </c>
      <c r="K87" s="43">
        <f t="shared" si="37"/>
        <v>-34.569736293634662</v>
      </c>
      <c r="L87" s="60">
        <v>35584</v>
      </c>
      <c r="M87" s="60">
        <v>99700</v>
      </c>
      <c r="N87" s="43">
        <f t="shared" si="38"/>
        <v>-64.308926780341025</v>
      </c>
      <c r="O87" s="45">
        <v>0</v>
      </c>
      <c r="P87" s="49">
        <v>0</v>
      </c>
      <c r="Q87" s="45">
        <v>0</v>
      </c>
      <c r="R87" s="44">
        <f t="shared" si="36"/>
        <v>0</v>
      </c>
    </row>
    <row r="88" spans="1:18" x14ac:dyDescent="0.25">
      <c r="A88" s="260">
        <v>8</v>
      </c>
      <c r="B88" s="132" t="s">
        <v>87</v>
      </c>
      <c r="C88" s="256">
        <v>652034</v>
      </c>
      <c r="D88" s="60">
        <v>435145</v>
      </c>
      <c r="E88" s="43">
        <f t="shared" si="34"/>
        <v>49.842925921244642</v>
      </c>
      <c r="F88" s="60">
        <v>191121</v>
      </c>
      <c r="G88" s="60">
        <v>113011</v>
      </c>
      <c r="H88" s="43">
        <f t="shared" si="35"/>
        <v>69.117165585650952</v>
      </c>
      <c r="I88" s="60">
        <v>625531</v>
      </c>
      <c r="J88" s="60">
        <v>433672</v>
      </c>
      <c r="K88" s="43">
        <f t="shared" si="37"/>
        <v>44.24057813278236</v>
      </c>
      <c r="L88" s="60">
        <f>179243+223626</f>
        <v>402869</v>
      </c>
      <c r="M88" s="60">
        <f>56227+181486</f>
        <v>237713</v>
      </c>
      <c r="N88" s="43">
        <f t="shared" si="38"/>
        <v>69.477058469667213</v>
      </c>
      <c r="O88" s="45">
        <v>104</v>
      </c>
      <c r="P88" s="49">
        <v>231</v>
      </c>
      <c r="Q88" s="45">
        <v>107</v>
      </c>
      <c r="R88" s="44">
        <f t="shared" si="36"/>
        <v>24024</v>
      </c>
    </row>
    <row r="89" spans="1:18" x14ac:dyDescent="0.25">
      <c r="A89" s="260">
        <v>9</v>
      </c>
      <c r="B89" s="132" t="s">
        <v>88</v>
      </c>
      <c r="C89" s="256">
        <v>316358</v>
      </c>
      <c r="D89" s="60">
        <v>259646</v>
      </c>
      <c r="E89" s="43">
        <f t="shared" si="34"/>
        <v>21.8420464786671</v>
      </c>
      <c r="F89" s="60">
        <v>74545</v>
      </c>
      <c r="G89" s="60">
        <v>81658</v>
      </c>
      <c r="H89" s="43">
        <f t="shared" si="35"/>
        <v>-8.7107203213402329</v>
      </c>
      <c r="I89" s="60">
        <v>294052</v>
      </c>
      <c r="J89" s="60">
        <v>301424</v>
      </c>
      <c r="K89" s="43">
        <f t="shared" si="37"/>
        <v>-2.4457242953447604</v>
      </c>
      <c r="L89" s="60">
        <f>70044+27441</f>
        <v>97485</v>
      </c>
      <c r="M89" s="60">
        <f>50984+23912</f>
        <v>74896</v>
      </c>
      <c r="N89" s="43">
        <f t="shared" si="38"/>
        <v>30.160489211706903</v>
      </c>
      <c r="O89" s="45">
        <v>83</v>
      </c>
      <c r="P89" s="49">
        <v>170</v>
      </c>
      <c r="Q89" s="45">
        <v>83</v>
      </c>
      <c r="R89" s="44">
        <f t="shared" si="36"/>
        <v>14110</v>
      </c>
    </row>
    <row r="90" spans="1:18" x14ac:dyDescent="0.25">
      <c r="A90" s="260">
        <v>10</v>
      </c>
      <c r="B90" s="132" t="s">
        <v>89</v>
      </c>
      <c r="C90" s="256">
        <v>59912</v>
      </c>
      <c r="D90" s="60">
        <v>54341</v>
      </c>
      <c r="E90" s="43">
        <f t="shared" si="34"/>
        <v>10.251927642111852</v>
      </c>
      <c r="F90" s="60">
        <v>28161</v>
      </c>
      <c r="G90" s="60">
        <v>14055</v>
      </c>
      <c r="H90" s="43">
        <f t="shared" si="35"/>
        <v>100.36286019210246</v>
      </c>
      <c r="I90" s="60">
        <v>59912</v>
      </c>
      <c r="J90" s="60">
        <v>54341</v>
      </c>
      <c r="K90" s="43">
        <f t="shared" si="37"/>
        <v>10.251927642111852</v>
      </c>
      <c r="L90" s="60">
        <v>36251</v>
      </c>
      <c r="M90" s="60">
        <v>18648</v>
      </c>
      <c r="N90" s="43">
        <f t="shared" si="38"/>
        <v>94.396181896181872</v>
      </c>
      <c r="O90" s="45">
        <v>47</v>
      </c>
      <c r="P90" s="49"/>
      <c r="Q90" s="45">
        <v>47</v>
      </c>
      <c r="R90" s="44">
        <f t="shared" si="36"/>
        <v>0</v>
      </c>
    </row>
    <row r="91" spans="1:18" x14ac:dyDescent="0.25">
      <c r="A91" s="261">
        <v>11</v>
      </c>
      <c r="B91" s="132" t="s">
        <v>90</v>
      </c>
      <c r="C91" s="256">
        <v>131119</v>
      </c>
      <c r="D91" s="60">
        <v>116690</v>
      </c>
      <c r="E91" s="43">
        <f t="shared" si="34"/>
        <v>12.36524123746679</v>
      </c>
      <c r="F91" s="60">
        <v>37773</v>
      </c>
      <c r="G91" s="60">
        <v>26280</v>
      </c>
      <c r="H91" s="43">
        <f t="shared" si="35"/>
        <v>43.732876712328761</v>
      </c>
      <c r="I91" s="134">
        <v>846047</v>
      </c>
      <c r="J91" s="134">
        <v>1142222</v>
      </c>
      <c r="K91" s="43">
        <f t="shared" si="37"/>
        <v>-25.929722943525874</v>
      </c>
      <c r="L91" s="60">
        <v>28703</v>
      </c>
      <c r="M91" s="60">
        <v>24414</v>
      </c>
      <c r="N91" s="43">
        <f t="shared" si="38"/>
        <v>17.567788973539763</v>
      </c>
      <c r="O91" s="45">
        <v>51</v>
      </c>
      <c r="P91" s="49">
        <v>250</v>
      </c>
      <c r="Q91" s="45">
        <v>50</v>
      </c>
      <c r="R91" s="44">
        <f t="shared" si="36"/>
        <v>12750</v>
      </c>
    </row>
    <row r="92" spans="1:18" x14ac:dyDescent="0.25">
      <c r="A92" s="263"/>
      <c r="B92" s="263" t="s">
        <v>92</v>
      </c>
      <c r="C92" s="250">
        <f>SUM(C81:C91)</f>
        <v>2264001</v>
      </c>
      <c r="D92" s="87">
        <f>SUM(D81:D91)</f>
        <v>1980943</v>
      </c>
      <c r="E92" s="57">
        <f t="shared" si="34"/>
        <v>14.289053243833877</v>
      </c>
      <c r="F92" s="87">
        <f>SUM(F81:F91)</f>
        <v>570444</v>
      </c>
      <c r="G92" s="87">
        <f>SUM(G81:G91)</f>
        <v>541561</v>
      </c>
      <c r="H92" s="57">
        <f t="shared" si="35"/>
        <v>5.3332865549771782</v>
      </c>
      <c r="I92" s="87">
        <f>SUM(I81:I91)</f>
        <v>2891594</v>
      </c>
      <c r="J92" s="87">
        <f>SUM(J81:J91)</f>
        <v>3401032</v>
      </c>
      <c r="K92" s="57">
        <f t="shared" si="37"/>
        <v>-14.978924044231277</v>
      </c>
      <c r="L92" s="87">
        <f>SUM(L81:L91)</f>
        <v>1010835</v>
      </c>
      <c r="M92" s="87">
        <f>SUM(M81:M91)</f>
        <v>1132778</v>
      </c>
      <c r="N92" s="57">
        <f t="shared" si="38"/>
        <v>-10.764951296723638</v>
      </c>
      <c r="O92" s="56">
        <f>SUM(O81:O91)</f>
        <v>3762</v>
      </c>
      <c r="P92" s="58">
        <f>R92/O92</f>
        <v>114.24242424242425</v>
      </c>
      <c r="Q92" s="56">
        <f>SUM(Q81:Q91)</f>
        <v>3772</v>
      </c>
      <c r="R92" s="70">
        <f>SUM(R81:R91)</f>
        <v>429780</v>
      </c>
    </row>
    <row r="93" spans="1:18" x14ac:dyDescent="0.25">
      <c r="A93" s="251"/>
      <c r="B93" s="251"/>
      <c r="C93" s="25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45"/>
      <c r="R93" s="71"/>
    </row>
    <row r="94" spans="1:18" x14ac:dyDescent="0.25">
      <c r="A94" s="987" t="s">
        <v>93</v>
      </c>
      <c r="B94" s="988"/>
      <c r="C94" s="244">
        <v>3</v>
      </c>
      <c r="D94" s="37">
        <v>4</v>
      </c>
      <c r="E94" s="38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38">
        <v>16</v>
      </c>
      <c r="Q94" s="37">
        <v>15</v>
      </c>
      <c r="R94" s="39"/>
    </row>
    <row r="95" spans="1:18" x14ac:dyDescent="0.25">
      <c r="A95" s="264">
        <v>1</v>
      </c>
      <c r="B95" s="262" t="s">
        <v>94</v>
      </c>
      <c r="C95" s="256">
        <v>165520</v>
      </c>
      <c r="D95" s="60">
        <v>65617</v>
      </c>
      <c r="E95" s="43">
        <f t="shared" ref="E95" si="39">C95/D95*100-100</f>
        <v>152.25170306475457</v>
      </c>
      <c r="F95" s="60">
        <v>56923</v>
      </c>
      <c r="G95" s="60">
        <v>38857</v>
      </c>
      <c r="H95" s="43">
        <f t="shared" ref="H95" si="40">F95/G95*100-100</f>
        <v>46.493553285122374</v>
      </c>
      <c r="I95" s="60">
        <v>152981</v>
      </c>
      <c r="J95" s="60">
        <v>51614</v>
      </c>
      <c r="K95" s="54">
        <f t="shared" ref="K95:K122" si="41">I95/J95*100-100</f>
        <v>196.39438911923122</v>
      </c>
      <c r="L95" s="60">
        <v>145055</v>
      </c>
      <c r="M95" s="60">
        <v>51594</v>
      </c>
      <c r="N95" s="43">
        <f t="shared" ref="N95:N122" si="42">L95/M95*100-100</f>
        <v>181.14703260069001</v>
      </c>
      <c r="O95" s="89">
        <v>318</v>
      </c>
      <c r="P95" s="89">
        <v>126</v>
      </c>
      <c r="Q95" s="89">
        <v>315</v>
      </c>
      <c r="R95" s="44">
        <f t="shared" ref="R95:R121" si="43">O95*P95</f>
        <v>40068</v>
      </c>
    </row>
    <row r="96" spans="1:18" x14ac:dyDescent="0.25">
      <c r="A96" s="264">
        <v>2</v>
      </c>
      <c r="B96" s="262" t="s">
        <v>95</v>
      </c>
      <c r="C96" s="256">
        <v>0</v>
      </c>
      <c r="D96" s="60">
        <v>0</v>
      </c>
      <c r="E96" s="43">
        <v>0</v>
      </c>
      <c r="F96" s="60">
        <v>0</v>
      </c>
      <c r="G96" s="60">
        <v>0</v>
      </c>
      <c r="H96" s="43">
        <v>0</v>
      </c>
      <c r="I96" s="60">
        <v>0</v>
      </c>
      <c r="J96" s="60">
        <v>0</v>
      </c>
      <c r="K96" s="43">
        <v>0</v>
      </c>
      <c r="L96" s="60">
        <v>0</v>
      </c>
      <c r="M96" s="60">
        <v>0</v>
      </c>
      <c r="N96" s="43">
        <v>0</v>
      </c>
      <c r="O96" s="89">
        <v>0</v>
      </c>
      <c r="P96" s="89">
        <v>0</v>
      </c>
      <c r="Q96" s="89">
        <v>0</v>
      </c>
      <c r="R96" s="44">
        <f t="shared" si="43"/>
        <v>0</v>
      </c>
    </row>
    <row r="97" spans="1:19" x14ac:dyDescent="0.25">
      <c r="A97" s="264">
        <v>3</v>
      </c>
      <c r="B97" s="132" t="s">
        <v>96</v>
      </c>
      <c r="C97" s="256">
        <v>0</v>
      </c>
      <c r="D97" s="60">
        <v>0</v>
      </c>
      <c r="E97" s="43">
        <v>0</v>
      </c>
      <c r="F97" s="60">
        <v>0</v>
      </c>
      <c r="G97" s="60">
        <v>0</v>
      </c>
      <c r="H97" s="43">
        <v>0</v>
      </c>
      <c r="I97" s="60">
        <v>0</v>
      </c>
      <c r="J97" s="60">
        <v>0</v>
      </c>
      <c r="K97" s="43">
        <v>0</v>
      </c>
      <c r="L97" s="60">
        <v>0</v>
      </c>
      <c r="M97" s="60">
        <v>0</v>
      </c>
      <c r="N97" s="43">
        <v>0</v>
      </c>
      <c r="O97" s="89">
        <v>0</v>
      </c>
      <c r="P97" s="89">
        <v>0</v>
      </c>
      <c r="Q97" s="89">
        <v>0</v>
      </c>
      <c r="R97" s="192">
        <v>0</v>
      </c>
      <c r="S97" s="191"/>
    </row>
    <row r="98" spans="1:19" x14ac:dyDescent="0.25">
      <c r="A98" s="264">
        <v>4</v>
      </c>
      <c r="B98" s="132" t="s">
        <v>97</v>
      </c>
      <c r="C98" s="256">
        <v>19069</v>
      </c>
      <c r="D98" s="60">
        <v>0</v>
      </c>
      <c r="E98" s="43">
        <v>0</v>
      </c>
      <c r="F98" s="60">
        <v>6116</v>
      </c>
      <c r="G98" s="60">
        <v>0</v>
      </c>
      <c r="H98" s="43">
        <v>0</v>
      </c>
      <c r="I98" s="60">
        <v>473</v>
      </c>
      <c r="J98" s="60">
        <v>6582</v>
      </c>
      <c r="K98" s="43">
        <v>0</v>
      </c>
      <c r="L98" s="60">
        <v>0</v>
      </c>
      <c r="M98" s="60">
        <v>0</v>
      </c>
      <c r="N98" s="43">
        <v>0</v>
      </c>
      <c r="O98" s="89">
        <v>27</v>
      </c>
      <c r="P98" s="89">
        <v>100</v>
      </c>
      <c r="Q98" s="89">
        <v>29</v>
      </c>
      <c r="R98" s="44">
        <f t="shared" si="43"/>
        <v>2700</v>
      </c>
    </row>
    <row r="99" spans="1:19" x14ac:dyDescent="0.25">
      <c r="A99" s="264">
        <v>5</v>
      </c>
      <c r="B99" s="262" t="s">
        <v>98</v>
      </c>
      <c r="C99" s="256">
        <v>191811</v>
      </c>
      <c r="D99" s="60">
        <v>245788</v>
      </c>
      <c r="E99" s="43">
        <f t="shared" ref="E99:E122" si="44">C99/D99*100-100</f>
        <v>-21.960795482285548</v>
      </c>
      <c r="F99" s="60">
        <v>44209</v>
      </c>
      <c r="G99" s="60">
        <v>32290</v>
      </c>
      <c r="H99" s="43">
        <f t="shared" ref="H99:H122" si="45">F99/G99*100-100</f>
        <v>36.912356766800883</v>
      </c>
      <c r="I99" s="60">
        <v>235635</v>
      </c>
      <c r="J99" s="60">
        <v>214580</v>
      </c>
      <c r="K99" s="43">
        <f t="shared" si="41"/>
        <v>9.8121912573399186</v>
      </c>
      <c r="L99" s="60">
        <f>3169+232466</f>
        <v>235635</v>
      </c>
      <c r="M99" s="60">
        <v>214580</v>
      </c>
      <c r="N99" s="43">
        <f t="shared" si="42"/>
        <v>9.8121912573399186</v>
      </c>
      <c r="O99" s="89">
        <v>357</v>
      </c>
      <c r="P99" s="89">
        <v>52</v>
      </c>
      <c r="Q99" s="89">
        <v>357</v>
      </c>
      <c r="R99" s="44">
        <f t="shared" si="43"/>
        <v>18564</v>
      </c>
    </row>
    <row r="100" spans="1:19" x14ac:dyDescent="0.25">
      <c r="A100" s="264">
        <v>6</v>
      </c>
      <c r="B100" s="262" t="s">
        <v>99</v>
      </c>
      <c r="C100" s="256">
        <v>0</v>
      </c>
      <c r="D100" s="60">
        <v>0</v>
      </c>
      <c r="E100" s="43">
        <v>0</v>
      </c>
      <c r="F100" s="60">
        <v>0</v>
      </c>
      <c r="G100" s="60">
        <v>0</v>
      </c>
      <c r="H100" s="43">
        <v>0</v>
      </c>
      <c r="I100" s="60">
        <v>0</v>
      </c>
      <c r="J100" s="60">
        <v>0</v>
      </c>
      <c r="K100" s="43">
        <v>0</v>
      </c>
      <c r="L100" s="60">
        <v>0</v>
      </c>
      <c r="M100" s="60">
        <v>0</v>
      </c>
      <c r="N100" s="43">
        <v>0</v>
      </c>
      <c r="O100" s="89">
        <v>0</v>
      </c>
      <c r="P100" s="89">
        <v>0</v>
      </c>
      <c r="Q100" s="89">
        <v>0</v>
      </c>
      <c r="R100" s="44">
        <f t="shared" si="43"/>
        <v>0</v>
      </c>
    </row>
    <row r="101" spans="1:19" x14ac:dyDescent="0.25">
      <c r="A101" s="264">
        <v>7</v>
      </c>
      <c r="B101" s="132" t="s">
        <v>100</v>
      </c>
      <c r="C101" s="256">
        <v>0</v>
      </c>
      <c r="D101" s="60">
        <v>0</v>
      </c>
      <c r="E101" s="43">
        <v>0</v>
      </c>
      <c r="F101" s="60">
        <v>0</v>
      </c>
      <c r="G101" s="60">
        <v>0</v>
      </c>
      <c r="H101" s="43">
        <v>0</v>
      </c>
      <c r="I101" s="60">
        <v>0</v>
      </c>
      <c r="J101" s="60">
        <v>0</v>
      </c>
      <c r="K101" s="43">
        <v>0</v>
      </c>
      <c r="L101" s="60">
        <v>0</v>
      </c>
      <c r="M101" s="60">
        <v>0</v>
      </c>
      <c r="N101" s="43">
        <v>0</v>
      </c>
      <c r="O101" s="89">
        <v>0</v>
      </c>
      <c r="P101" s="89">
        <v>0</v>
      </c>
      <c r="Q101" s="89">
        <v>0</v>
      </c>
      <c r="R101" s="44">
        <f t="shared" si="43"/>
        <v>0</v>
      </c>
    </row>
    <row r="102" spans="1:19" x14ac:dyDescent="0.25">
      <c r="A102" s="264">
        <v>8</v>
      </c>
      <c r="B102" s="262" t="s">
        <v>101</v>
      </c>
      <c r="C102" s="256">
        <v>60214</v>
      </c>
      <c r="D102" s="60">
        <v>16166</v>
      </c>
      <c r="E102" s="43">
        <f t="shared" si="44"/>
        <v>272.47309167388346</v>
      </c>
      <c r="F102" s="60">
        <v>16471</v>
      </c>
      <c r="G102" s="60">
        <v>31319</v>
      </c>
      <c r="H102" s="43">
        <f t="shared" si="45"/>
        <v>-47.408921102206328</v>
      </c>
      <c r="I102" s="60">
        <v>72351</v>
      </c>
      <c r="J102" s="60">
        <v>152672</v>
      </c>
      <c r="K102" s="43">
        <f t="shared" si="41"/>
        <v>-52.610170823726683</v>
      </c>
      <c r="L102" s="60">
        <v>10196</v>
      </c>
      <c r="M102" s="60">
        <v>67551</v>
      </c>
      <c r="N102" s="54">
        <f t="shared" si="42"/>
        <v>-84.906219004900009</v>
      </c>
      <c r="O102" s="89">
        <v>107</v>
      </c>
      <c r="P102" s="89">
        <v>90</v>
      </c>
      <c r="Q102" s="89">
        <v>109</v>
      </c>
      <c r="R102" s="44">
        <f t="shared" si="43"/>
        <v>9630</v>
      </c>
    </row>
    <row r="103" spans="1:19" x14ac:dyDescent="0.25">
      <c r="A103" s="264">
        <v>9</v>
      </c>
      <c r="B103" s="262" t="s">
        <v>102</v>
      </c>
      <c r="C103" s="256">
        <v>0</v>
      </c>
      <c r="D103" s="60">
        <v>0</v>
      </c>
      <c r="E103" s="43">
        <v>0</v>
      </c>
      <c r="F103" s="60">
        <v>0</v>
      </c>
      <c r="G103" s="60">
        <v>0</v>
      </c>
      <c r="H103" s="43">
        <v>0</v>
      </c>
      <c r="I103" s="60">
        <v>0</v>
      </c>
      <c r="J103" s="60">
        <v>0</v>
      </c>
      <c r="K103" s="43">
        <v>0</v>
      </c>
      <c r="L103" s="60">
        <v>0</v>
      </c>
      <c r="M103" s="60">
        <v>0</v>
      </c>
      <c r="N103" s="43">
        <v>0</v>
      </c>
      <c r="O103" s="89">
        <v>0</v>
      </c>
      <c r="P103" s="89">
        <v>0</v>
      </c>
      <c r="Q103" s="89">
        <v>0</v>
      </c>
      <c r="R103" s="44">
        <f t="shared" si="43"/>
        <v>0</v>
      </c>
    </row>
    <row r="104" spans="1:19" x14ac:dyDescent="0.25">
      <c r="A104" s="264">
        <v>10</v>
      </c>
      <c r="B104" s="132" t="s">
        <v>103</v>
      </c>
      <c r="C104" s="256">
        <v>19223</v>
      </c>
      <c r="D104" s="60">
        <v>50011</v>
      </c>
      <c r="E104" s="43">
        <f t="shared" si="44"/>
        <v>-61.562456259622884</v>
      </c>
      <c r="F104" s="60">
        <v>0</v>
      </c>
      <c r="G104" s="60">
        <v>15128</v>
      </c>
      <c r="H104" s="43">
        <v>0</v>
      </c>
      <c r="I104" s="60">
        <v>19223</v>
      </c>
      <c r="J104" s="60">
        <v>50011</v>
      </c>
      <c r="K104" s="43">
        <f t="shared" si="41"/>
        <v>-61.562456259622884</v>
      </c>
      <c r="L104" s="60">
        <v>19223</v>
      </c>
      <c r="M104" s="60">
        <v>50011</v>
      </c>
      <c r="N104" s="43">
        <f t="shared" si="42"/>
        <v>-61.562456259622884</v>
      </c>
      <c r="O104" s="89">
        <v>89</v>
      </c>
      <c r="P104" s="89">
        <v>69</v>
      </c>
      <c r="Q104" s="89">
        <v>84</v>
      </c>
      <c r="R104" s="44">
        <f t="shared" si="43"/>
        <v>6141</v>
      </c>
    </row>
    <row r="105" spans="1:19" x14ac:dyDescent="0.25">
      <c r="A105" s="264">
        <v>11</v>
      </c>
      <c r="B105" s="262" t="s">
        <v>104</v>
      </c>
      <c r="C105" s="256">
        <v>0</v>
      </c>
      <c r="D105" s="60">
        <v>0</v>
      </c>
      <c r="E105" s="43">
        <v>0</v>
      </c>
      <c r="F105" s="60">
        <v>0</v>
      </c>
      <c r="G105" s="60">
        <v>0</v>
      </c>
      <c r="H105" s="43">
        <v>0</v>
      </c>
      <c r="I105" s="60">
        <v>0</v>
      </c>
      <c r="J105" s="60">
        <v>0</v>
      </c>
      <c r="K105" s="43">
        <v>0</v>
      </c>
      <c r="L105" s="60">
        <v>0</v>
      </c>
      <c r="M105" s="60">
        <v>0</v>
      </c>
      <c r="N105" s="43">
        <v>0</v>
      </c>
      <c r="O105" s="89">
        <v>0</v>
      </c>
      <c r="P105" s="89">
        <v>0</v>
      </c>
      <c r="Q105" s="89">
        <v>0</v>
      </c>
      <c r="R105" s="44">
        <f t="shared" si="43"/>
        <v>0</v>
      </c>
    </row>
    <row r="106" spans="1:19" x14ac:dyDescent="0.25">
      <c r="A106" s="264">
        <v>12</v>
      </c>
      <c r="B106" s="262" t="s">
        <v>105</v>
      </c>
      <c r="C106" s="256">
        <v>0</v>
      </c>
      <c r="D106" s="60">
        <v>21230</v>
      </c>
      <c r="E106" s="43">
        <f t="shared" si="44"/>
        <v>-100</v>
      </c>
      <c r="F106" s="60">
        <v>0</v>
      </c>
      <c r="G106" s="60">
        <v>8500</v>
      </c>
      <c r="H106" s="43">
        <v>0</v>
      </c>
      <c r="I106" s="60">
        <v>0</v>
      </c>
      <c r="J106" s="60">
        <v>17500</v>
      </c>
      <c r="K106" s="43">
        <v>0</v>
      </c>
      <c r="L106" s="60"/>
      <c r="M106" s="60"/>
      <c r="N106" s="43">
        <v>0</v>
      </c>
      <c r="O106" s="89">
        <v>8</v>
      </c>
      <c r="P106" s="89">
        <v>58</v>
      </c>
      <c r="Q106" s="89">
        <v>8</v>
      </c>
      <c r="R106" s="44">
        <f t="shared" si="43"/>
        <v>464</v>
      </c>
    </row>
    <row r="107" spans="1:19" x14ac:dyDescent="0.25">
      <c r="A107" s="264">
        <v>13</v>
      </c>
      <c r="B107" s="262" t="s">
        <v>106</v>
      </c>
      <c r="C107" s="256">
        <v>6733</v>
      </c>
      <c r="D107" s="60">
        <v>3940</v>
      </c>
      <c r="E107" s="43">
        <f t="shared" si="44"/>
        <v>70.888324873096451</v>
      </c>
      <c r="F107" s="60">
        <v>0</v>
      </c>
      <c r="G107" s="60">
        <v>1241</v>
      </c>
      <c r="H107" s="43">
        <v>0</v>
      </c>
      <c r="I107" s="60">
        <v>17968</v>
      </c>
      <c r="J107" s="60">
        <v>5978</v>
      </c>
      <c r="K107" s="92">
        <f t="shared" si="41"/>
        <v>200.56875209100031</v>
      </c>
      <c r="L107" s="60">
        <v>16736</v>
      </c>
      <c r="M107" s="60">
        <v>1529</v>
      </c>
      <c r="N107" s="43">
        <v>0</v>
      </c>
      <c r="O107" s="90">
        <v>11</v>
      </c>
      <c r="P107" s="90">
        <v>72</v>
      </c>
      <c r="Q107" s="90">
        <v>81</v>
      </c>
      <c r="R107" s="44">
        <f t="shared" si="43"/>
        <v>792</v>
      </c>
    </row>
    <row r="108" spans="1:19" x14ac:dyDescent="0.25">
      <c r="A108" s="264">
        <v>14</v>
      </c>
      <c r="B108" s="262" t="s">
        <v>107</v>
      </c>
      <c r="C108" s="256">
        <v>0</v>
      </c>
      <c r="D108" s="60">
        <v>0</v>
      </c>
      <c r="E108" s="43">
        <v>0</v>
      </c>
      <c r="F108" s="60">
        <v>0</v>
      </c>
      <c r="G108" s="60">
        <v>0</v>
      </c>
      <c r="H108" s="43">
        <v>0</v>
      </c>
      <c r="I108" s="60">
        <v>0</v>
      </c>
      <c r="J108" s="60">
        <v>0</v>
      </c>
      <c r="K108" s="43">
        <v>0</v>
      </c>
      <c r="L108" s="60">
        <v>0</v>
      </c>
      <c r="M108" s="60">
        <v>0</v>
      </c>
      <c r="N108" s="43">
        <v>0</v>
      </c>
      <c r="O108" s="89">
        <v>0</v>
      </c>
      <c r="P108" s="89">
        <v>0</v>
      </c>
      <c r="Q108" s="89">
        <v>0</v>
      </c>
      <c r="R108" s="44">
        <f t="shared" si="43"/>
        <v>0</v>
      </c>
    </row>
    <row r="109" spans="1:19" x14ac:dyDescent="0.25">
      <c r="A109" s="264">
        <v>15</v>
      </c>
      <c r="B109" s="262" t="s">
        <v>108</v>
      </c>
      <c r="C109" s="256">
        <v>53096</v>
      </c>
      <c r="D109" s="60">
        <v>68395</v>
      </c>
      <c r="E109" s="43">
        <f t="shared" si="44"/>
        <v>-22.368594195482132</v>
      </c>
      <c r="F109" s="60">
        <v>8733</v>
      </c>
      <c r="G109" s="60">
        <v>17036</v>
      </c>
      <c r="H109" s="43">
        <f t="shared" si="45"/>
        <v>-48.737966658840101</v>
      </c>
      <c r="I109" s="60">
        <v>53096</v>
      </c>
      <c r="J109" s="60">
        <v>68395</v>
      </c>
      <c r="K109" s="43">
        <v>0</v>
      </c>
      <c r="L109" s="60">
        <v>53096</v>
      </c>
      <c r="M109" s="60">
        <v>68395</v>
      </c>
      <c r="N109" s="43">
        <f t="shared" si="42"/>
        <v>-22.368594195482132</v>
      </c>
      <c r="O109" s="89">
        <v>85</v>
      </c>
      <c r="P109" s="89">
        <v>95</v>
      </c>
      <c r="Q109" s="89">
        <v>85</v>
      </c>
      <c r="R109" s="44">
        <f t="shared" si="43"/>
        <v>8075</v>
      </c>
    </row>
    <row r="110" spans="1:19" x14ac:dyDescent="0.25">
      <c r="A110" s="264">
        <v>16</v>
      </c>
      <c r="B110" s="262" t="s">
        <v>109</v>
      </c>
      <c r="C110" s="256">
        <v>68876</v>
      </c>
      <c r="D110" s="60">
        <v>56010</v>
      </c>
      <c r="E110" s="43">
        <f t="shared" si="44"/>
        <v>22.970898053918944</v>
      </c>
      <c r="F110" s="60">
        <v>29846</v>
      </c>
      <c r="G110" s="60">
        <v>28455</v>
      </c>
      <c r="H110" s="43">
        <f t="shared" si="45"/>
        <v>4.8884203127745707</v>
      </c>
      <c r="I110" s="60">
        <v>63909</v>
      </c>
      <c r="J110" s="60">
        <v>57589</v>
      </c>
      <c r="K110" s="43">
        <f t="shared" si="41"/>
        <v>10.974318012120364</v>
      </c>
      <c r="L110" s="60">
        <v>176629</v>
      </c>
      <c r="M110" s="60">
        <v>181978</v>
      </c>
      <c r="N110" s="43">
        <f t="shared" si="42"/>
        <v>-2.9393662970249181</v>
      </c>
      <c r="O110" s="89">
        <v>68</v>
      </c>
      <c r="P110" s="89">
        <v>63</v>
      </c>
      <c r="Q110" s="89">
        <v>63</v>
      </c>
      <c r="R110" s="44">
        <f t="shared" si="43"/>
        <v>4284</v>
      </c>
    </row>
    <row r="111" spans="1:19" x14ac:dyDescent="0.25">
      <c r="A111" s="264">
        <v>17</v>
      </c>
      <c r="B111" s="262" t="s">
        <v>110</v>
      </c>
      <c r="C111" s="256">
        <v>176629</v>
      </c>
      <c r="D111" s="60">
        <v>181978</v>
      </c>
      <c r="E111" s="43">
        <f t="shared" si="44"/>
        <v>-2.9393662970249181</v>
      </c>
      <c r="F111" s="60">
        <v>58452</v>
      </c>
      <c r="G111" s="60">
        <v>37910</v>
      </c>
      <c r="H111" s="43">
        <f t="shared" si="45"/>
        <v>54.18623054603006</v>
      </c>
      <c r="I111" s="60">
        <v>163521</v>
      </c>
      <c r="J111" s="60">
        <v>105563</v>
      </c>
      <c r="K111" s="43">
        <f t="shared" si="41"/>
        <v>54.903706791205252</v>
      </c>
      <c r="L111" s="60">
        <v>0</v>
      </c>
      <c r="M111" s="60">
        <v>0</v>
      </c>
      <c r="N111" s="90">
        <v>0</v>
      </c>
      <c r="O111" s="89">
        <v>166</v>
      </c>
      <c r="P111" s="89">
        <v>85</v>
      </c>
      <c r="Q111" s="89">
        <v>167</v>
      </c>
      <c r="R111" s="44">
        <f t="shared" si="43"/>
        <v>14110</v>
      </c>
    </row>
    <row r="112" spans="1:19" ht="27" x14ac:dyDescent="0.25">
      <c r="A112" s="265">
        <v>18</v>
      </c>
      <c r="B112" s="266" t="s">
        <v>258</v>
      </c>
      <c r="C112" s="247">
        <v>576008</v>
      </c>
      <c r="D112" s="54">
        <v>0</v>
      </c>
      <c r="E112" s="43">
        <v>0</v>
      </c>
      <c r="F112" s="54">
        <v>197042</v>
      </c>
      <c r="G112" s="54">
        <v>0</v>
      </c>
      <c r="H112" s="43">
        <v>0</v>
      </c>
      <c r="I112" s="54">
        <v>576008</v>
      </c>
      <c r="J112" s="54">
        <v>0</v>
      </c>
      <c r="K112" s="43">
        <v>0</v>
      </c>
      <c r="L112" s="54">
        <v>576008</v>
      </c>
      <c r="M112" s="54">
        <v>0</v>
      </c>
      <c r="N112" s="43">
        <v>0</v>
      </c>
      <c r="O112" s="125">
        <v>522</v>
      </c>
      <c r="P112" s="125">
        <v>70</v>
      </c>
      <c r="Q112" s="125">
        <v>820</v>
      </c>
      <c r="R112" s="44">
        <f t="shared" si="43"/>
        <v>36540</v>
      </c>
    </row>
    <row r="113" spans="1:18" x14ac:dyDescent="0.25">
      <c r="A113" s="264">
        <v>19</v>
      </c>
      <c r="B113" s="262" t="s">
        <v>112</v>
      </c>
      <c r="C113" s="256">
        <v>0</v>
      </c>
      <c r="D113" s="60">
        <v>0</v>
      </c>
      <c r="E113" s="43">
        <v>0</v>
      </c>
      <c r="F113" s="60">
        <v>0</v>
      </c>
      <c r="G113" s="60">
        <v>0</v>
      </c>
      <c r="H113" s="43">
        <v>0</v>
      </c>
      <c r="I113" s="60">
        <v>0</v>
      </c>
      <c r="J113" s="60">
        <v>0</v>
      </c>
      <c r="K113" s="43">
        <v>0</v>
      </c>
      <c r="L113" s="60">
        <v>0</v>
      </c>
      <c r="M113" s="60">
        <v>0</v>
      </c>
      <c r="N113" s="43">
        <v>0</v>
      </c>
      <c r="O113" s="90"/>
      <c r="P113" s="90">
        <v>0</v>
      </c>
      <c r="Q113" s="90"/>
      <c r="R113" s="44">
        <f t="shared" si="43"/>
        <v>0</v>
      </c>
    </row>
    <row r="114" spans="1:18" x14ac:dyDescent="0.25">
      <c r="A114" s="264">
        <v>20</v>
      </c>
      <c r="B114" s="262" t="s">
        <v>113</v>
      </c>
      <c r="C114" s="256">
        <v>0</v>
      </c>
      <c r="D114" s="60">
        <v>0</v>
      </c>
      <c r="E114" s="43">
        <v>0</v>
      </c>
      <c r="F114" s="60">
        <v>0</v>
      </c>
      <c r="G114" s="60">
        <v>0</v>
      </c>
      <c r="H114" s="43">
        <v>0</v>
      </c>
      <c r="I114" s="60">
        <v>0</v>
      </c>
      <c r="J114" s="60">
        <v>0</v>
      </c>
      <c r="K114" s="43">
        <v>0</v>
      </c>
      <c r="L114" s="60">
        <v>0</v>
      </c>
      <c r="M114" s="60">
        <v>0</v>
      </c>
      <c r="N114" s="43">
        <v>0</v>
      </c>
      <c r="O114" s="90"/>
      <c r="P114" s="90">
        <v>0</v>
      </c>
      <c r="Q114" s="90"/>
      <c r="R114" s="44">
        <f t="shared" si="43"/>
        <v>0</v>
      </c>
    </row>
    <row r="115" spans="1:18" x14ac:dyDescent="0.25">
      <c r="A115" s="264">
        <v>21</v>
      </c>
      <c r="B115" s="262" t="s">
        <v>114</v>
      </c>
      <c r="C115" s="256">
        <v>21093</v>
      </c>
      <c r="D115" s="60">
        <v>21872</v>
      </c>
      <c r="E115" s="43">
        <f t="shared" si="44"/>
        <v>-3.56163130943672</v>
      </c>
      <c r="F115" s="60">
        <v>5109</v>
      </c>
      <c r="G115" s="60">
        <v>7884</v>
      </c>
      <c r="H115" s="43">
        <f t="shared" si="45"/>
        <v>-35.197869101978696</v>
      </c>
      <c r="I115" s="60">
        <v>21093</v>
      </c>
      <c r="J115" s="60">
        <v>21872</v>
      </c>
      <c r="K115" s="43">
        <f t="shared" si="41"/>
        <v>-3.56163130943672</v>
      </c>
      <c r="L115" s="60">
        <v>20611</v>
      </c>
      <c r="M115" s="60">
        <v>21018</v>
      </c>
      <c r="N115" s="43">
        <f t="shared" si="42"/>
        <v>-1.9364354362927116</v>
      </c>
      <c r="O115" s="90">
        <v>14</v>
      </c>
      <c r="P115" s="90">
        <v>68</v>
      </c>
      <c r="Q115" s="90">
        <v>14</v>
      </c>
      <c r="R115" s="44">
        <f t="shared" si="43"/>
        <v>952</v>
      </c>
    </row>
    <row r="116" spans="1:18" x14ac:dyDescent="0.25">
      <c r="A116" s="264">
        <v>22</v>
      </c>
      <c r="B116" s="132" t="s">
        <v>115</v>
      </c>
      <c r="C116" s="256">
        <v>5880</v>
      </c>
      <c r="D116" s="60">
        <v>7130</v>
      </c>
      <c r="E116" s="43">
        <f t="shared" si="44"/>
        <v>-17.53155680224404</v>
      </c>
      <c r="F116" s="60">
        <v>2940</v>
      </c>
      <c r="G116" s="60">
        <v>2640</v>
      </c>
      <c r="H116" s="43">
        <f t="shared" si="45"/>
        <v>11.36363636363636</v>
      </c>
      <c r="I116" s="60">
        <v>13440</v>
      </c>
      <c r="J116" s="60">
        <v>13384</v>
      </c>
      <c r="K116" s="43">
        <f t="shared" si="41"/>
        <v>0.41841004184099972</v>
      </c>
      <c r="L116" s="60">
        <v>0</v>
      </c>
      <c r="M116" s="60">
        <v>0</v>
      </c>
      <c r="N116" s="43">
        <v>0</v>
      </c>
      <c r="O116" s="90">
        <v>13</v>
      </c>
      <c r="P116" s="90">
        <v>95</v>
      </c>
      <c r="Q116" s="90">
        <v>13</v>
      </c>
      <c r="R116" s="44">
        <f t="shared" si="43"/>
        <v>1235</v>
      </c>
    </row>
    <row r="117" spans="1:18" x14ac:dyDescent="0.25">
      <c r="A117" s="264">
        <v>23</v>
      </c>
      <c r="B117" s="132" t="s">
        <v>116</v>
      </c>
      <c r="C117" s="256">
        <v>46799</v>
      </c>
      <c r="D117" s="60">
        <v>36154</v>
      </c>
      <c r="E117" s="43">
        <f t="shared" si="44"/>
        <v>29.443491729822426</v>
      </c>
      <c r="F117" s="60">
        <v>13088</v>
      </c>
      <c r="G117" s="60">
        <v>11335</v>
      </c>
      <c r="H117" s="43">
        <f t="shared" si="45"/>
        <v>15.465372739303035</v>
      </c>
      <c r="I117" s="60">
        <v>45861</v>
      </c>
      <c r="J117" s="60">
        <v>35574</v>
      </c>
      <c r="K117" s="43">
        <v>0</v>
      </c>
      <c r="L117" s="60">
        <v>0</v>
      </c>
      <c r="M117" s="60">
        <v>0</v>
      </c>
      <c r="N117" s="43">
        <v>0</v>
      </c>
      <c r="O117" s="90">
        <v>35</v>
      </c>
      <c r="P117" s="90">
        <v>70</v>
      </c>
      <c r="Q117" s="90">
        <v>20</v>
      </c>
      <c r="R117" s="44">
        <f t="shared" si="43"/>
        <v>2450</v>
      </c>
    </row>
    <row r="118" spans="1:18" x14ac:dyDescent="0.25">
      <c r="A118" s="264">
        <v>24</v>
      </c>
      <c r="B118" s="262" t="s">
        <v>117</v>
      </c>
      <c r="C118" s="256">
        <v>22172</v>
      </c>
      <c r="D118" s="60">
        <v>21623</v>
      </c>
      <c r="E118" s="43">
        <f t="shared" si="44"/>
        <v>2.5389631410997566</v>
      </c>
      <c r="F118" s="60">
        <v>2893</v>
      </c>
      <c r="G118" s="60">
        <v>4630</v>
      </c>
      <c r="H118" s="43">
        <f t="shared" si="45"/>
        <v>-37.516198704103672</v>
      </c>
      <c r="I118" s="60">
        <v>26642</v>
      </c>
      <c r="J118" s="60">
        <v>31874</v>
      </c>
      <c r="K118" s="43">
        <f t="shared" si="41"/>
        <v>-16.4146326159252</v>
      </c>
      <c r="L118" s="60">
        <v>0</v>
      </c>
      <c r="M118" s="60">
        <v>0</v>
      </c>
      <c r="N118" s="43">
        <v>0</v>
      </c>
      <c r="O118" s="90">
        <v>48</v>
      </c>
      <c r="P118" s="90">
        <v>63</v>
      </c>
      <c r="Q118" s="90">
        <v>49</v>
      </c>
      <c r="R118" s="44">
        <f t="shared" si="43"/>
        <v>3024</v>
      </c>
    </row>
    <row r="119" spans="1:18" x14ac:dyDescent="0.25">
      <c r="A119" s="264">
        <v>25</v>
      </c>
      <c r="B119" s="262" t="s">
        <v>118</v>
      </c>
      <c r="C119" s="256">
        <v>7932</v>
      </c>
      <c r="D119" s="60">
        <v>4793</v>
      </c>
      <c r="E119" s="43">
        <f t="shared" si="44"/>
        <v>65.491341539745463</v>
      </c>
      <c r="F119" s="60">
        <v>2473</v>
      </c>
      <c r="G119" s="60">
        <v>1635</v>
      </c>
      <c r="H119" s="43">
        <f t="shared" si="45"/>
        <v>51.25382262996942</v>
      </c>
      <c r="I119" s="60">
        <v>8032</v>
      </c>
      <c r="J119" s="60">
        <v>4665</v>
      </c>
      <c r="K119" s="43">
        <f t="shared" si="41"/>
        <v>72.175777063236865</v>
      </c>
      <c r="L119" s="60">
        <v>0</v>
      </c>
      <c r="M119" s="60">
        <v>0</v>
      </c>
      <c r="N119" s="43">
        <v>0</v>
      </c>
      <c r="O119" s="90">
        <v>22</v>
      </c>
      <c r="P119" s="90">
        <v>62</v>
      </c>
      <c r="Q119" s="90">
        <v>22</v>
      </c>
      <c r="R119" s="44">
        <f t="shared" si="43"/>
        <v>1364</v>
      </c>
    </row>
    <row r="120" spans="1:18" x14ac:dyDescent="0.25">
      <c r="A120" s="264">
        <v>26</v>
      </c>
      <c r="B120" s="267" t="s">
        <v>228</v>
      </c>
      <c r="C120" s="256">
        <v>11654</v>
      </c>
      <c r="D120" s="60">
        <v>10676</v>
      </c>
      <c r="E120" s="43">
        <f t="shared" si="44"/>
        <v>9.1607343574372493</v>
      </c>
      <c r="F120" s="60">
        <v>5676</v>
      </c>
      <c r="G120" s="60">
        <v>2871</v>
      </c>
      <c r="H120" s="43">
        <f t="shared" si="45"/>
        <v>97.701149425287355</v>
      </c>
      <c r="I120" s="60">
        <v>5315</v>
      </c>
      <c r="J120" s="60">
        <v>11446</v>
      </c>
      <c r="K120" s="43">
        <f t="shared" si="41"/>
        <v>-53.564564039839247</v>
      </c>
      <c r="L120" s="60">
        <v>0</v>
      </c>
      <c r="M120" s="60">
        <v>0</v>
      </c>
      <c r="N120" s="43">
        <v>0</v>
      </c>
      <c r="O120" s="90">
        <v>18</v>
      </c>
      <c r="P120" s="90"/>
      <c r="Q120" s="90">
        <v>19</v>
      </c>
      <c r="R120" s="44">
        <f t="shared" si="43"/>
        <v>0</v>
      </c>
    </row>
    <row r="121" spans="1:18" x14ac:dyDescent="0.25">
      <c r="A121" s="264">
        <v>27</v>
      </c>
      <c r="B121" s="267" t="s">
        <v>238</v>
      </c>
      <c r="C121" s="256">
        <v>24732</v>
      </c>
      <c r="D121" s="60">
        <v>18167</v>
      </c>
      <c r="E121" s="43">
        <f t="shared" si="44"/>
        <v>36.136951615566687</v>
      </c>
      <c r="F121" s="60">
        <v>12336</v>
      </c>
      <c r="G121" s="60">
        <v>8907</v>
      </c>
      <c r="H121" s="43">
        <f t="shared" si="45"/>
        <v>38.497810710676987</v>
      </c>
      <c r="I121" s="60">
        <v>24732</v>
      </c>
      <c r="J121" s="60">
        <v>18167</v>
      </c>
      <c r="K121" s="43">
        <f t="shared" si="41"/>
        <v>36.136951615566687</v>
      </c>
      <c r="L121" s="60">
        <v>0</v>
      </c>
      <c r="M121" s="60">
        <v>0</v>
      </c>
      <c r="N121" s="43">
        <v>0</v>
      </c>
      <c r="O121" s="90">
        <v>33</v>
      </c>
      <c r="P121" s="90"/>
      <c r="Q121" s="90">
        <v>33</v>
      </c>
      <c r="R121" s="44">
        <f t="shared" si="43"/>
        <v>0</v>
      </c>
    </row>
    <row r="122" spans="1:18" x14ac:dyDescent="0.25">
      <c r="A122" s="263"/>
      <c r="B122" s="263" t="s">
        <v>119</v>
      </c>
      <c r="C122" s="250">
        <f>SUM(C95:C121)</f>
        <v>1477441</v>
      </c>
      <c r="D122" s="87">
        <f>SUM(D95:D121)</f>
        <v>829550</v>
      </c>
      <c r="E122" s="57">
        <f t="shared" si="44"/>
        <v>78.101500813694173</v>
      </c>
      <c r="F122" s="87">
        <f>SUM(F95:F121)</f>
        <v>462307</v>
      </c>
      <c r="G122" s="87">
        <f>SUM(G95:G121)</f>
        <v>250638</v>
      </c>
      <c r="H122" s="57">
        <f t="shared" si="45"/>
        <v>84.45207829618812</v>
      </c>
      <c r="I122" s="87">
        <f>SUM(I95:I121)</f>
        <v>1500280</v>
      </c>
      <c r="J122" s="87">
        <f>SUM(J95:J121)</f>
        <v>867466</v>
      </c>
      <c r="K122" s="57">
        <f t="shared" si="41"/>
        <v>72.949717914016219</v>
      </c>
      <c r="L122" s="87">
        <f>SUM(L95:L121)</f>
        <v>1253189</v>
      </c>
      <c r="M122" s="87">
        <f>SUM(M95:M121)</f>
        <v>656656</v>
      </c>
      <c r="N122" s="57">
        <f t="shared" si="42"/>
        <v>90.844064472113274</v>
      </c>
      <c r="O122" s="87">
        <f>SUM(O95:O121)</f>
        <v>1941</v>
      </c>
      <c r="P122" s="58">
        <f>R122/O122</f>
        <v>77.482225656877901</v>
      </c>
      <c r="Q122" s="87">
        <f>SUM(Q95:Q121)</f>
        <v>2288</v>
      </c>
      <c r="R122" s="87">
        <f>SUM(R95:R121)</f>
        <v>150393</v>
      </c>
    </row>
    <row r="123" spans="1:18" x14ac:dyDescent="0.25">
      <c r="A123" s="251"/>
      <c r="B123" s="251"/>
      <c r="C123" s="25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37">
        <v>15</v>
      </c>
      <c r="R123" s="39">
        <f t="shared" ref="R123:R130" si="46">O123*P123</f>
        <v>0</v>
      </c>
    </row>
    <row r="124" spans="1:18" x14ac:dyDescent="0.25">
      <c r="A124" s="929" t="s">
        <v>120</v>
      </c>
      <c r="B124" s="931"/>
      <c r="C124" s="244">
        <v>3</v>
      </c>
      <c r="D124" s="37">
        <v>4</v>
      </c>
      <c r="E124" s="38">
        <v>5</v>
      </c>
      <c r="F124" s="37">
        <v>6</v>
      </c>
      <c r="G124" s="37">
        <v>7</v>
      </c>
      <c r="H124" s="37">
        <v>8</v>
      </c>
      <c r="I124" s="37">
        <v>9</v>
      </c>
      <c r="J124" s="37">
        <v>10</v>
      </c>
      <c r="K124" s="37">
        <v>11</v>
      </c>
      <c r="L124" s="37">
        <v>12</v>
      </c>
      <c r="M124" s="37">
        <v>13</v>
      </c>
      <c r="N124" s="37">
        <v>14</v>
      </c>
      <c r="O124" s="37">
        <v>15</v>
      </c>
      <c r="P124" s="38">
        <v>16</v>
      </c>
      <c r="Q124" s="45"/>
      <c r="R124" s="44">
        <f t="shared" si="46"/>
        <v>240</v>
      </c>
    </row>
    <row r="125" spans="1:18" x14ac:dyDescent="0.25">
      <c r="A125" s="248">
        <v>1</v>
      </c>
      <c r="B125" s="268" t="s">
        <v>121</v>
      </c>
      <c r="C125" s="256">
        <v>30049</v>
      </c>
      <c r="D125" s="60">
        <v>33834</v>
      </c>
      <c r="E125" s="43">
        <f t="shared" ref="E125:E131" si="47">C125/D125*100-100</f>
        <v>-11.186971685286991</v>
      </c>
      <c r="F125" s="60">
        <v>3925</v>
      </c>
      <c r="G125" s="60">
        <v>3415</v>
      </c>
      <c r="H125" s="43">
        <f t="shared" ref="H125:H131" si="48">F125/G125*100-100</f>
        <v>14.93411420204977</v>
      </c>
      <c r="I125" s="60">
        <v>18407</v>
      </c>
      <c r="J125" s="60">
        <v>35390</v>
      </c>
      <c r="K125" s="43">
        <f t="shared" ref="K125:K131" si="49">I125/J125*100-100</f>
        <v>-47.988132240745976</v>
      </c>
      <c r="L125" s="60">
        <v>0</v>
      </c>
      <c r="M125" s="60">
        <v>0</v>
      </c>
      <c r="N125" s="34">
        <v>0</v>
      </c>
      <c r="O125" s="60">
        <v>72</v>
      </c>
      <c r="P125" s="46">
        <v>80</v>
      </c>
      <c r="Q125" s="60">
        <v>73</v>
      </c>
      <c r="R125" s="44">
        <f t="shared" si="46"/>
        <v>5760</v>
      </c>
    </row>
    <row r="126" spans="1:18" x14ac:dyDescent="0.25">
      <c r="A126" s="248">
        <v>2</v>
      </c>
      <c r="B126" s="268" t="s">
        <v>122</v>
      </c>
      <c r="C126" s="256">
        <v>0</v>
      </c>
      <c r="D126" s="60">
        <v>0</v>
      </c>
      <c r="E126" s="43">
        <v>0</v>
      </c>
      <c r="F126" s="60">
        <v>0</v>
      </c>
      <c r="G126" s="60">
        <v>0</v>
      </c>
      <c r="H126" s="43">
        <v>0</v>
      </c>
      <c r="I126" s="60">
        <v>0</v>
      </c>
      <c r="J126" s="60">
        <v>0</v>
      </c>
      <c r="K126" s="43">
        <v>0</v>
      </c>
      <c r="L126" s="60">
        <v>0</v>
      </c>
      <c r="M126" s="60">
        <v>0</v>
      </c>
      <c r="N126" s="43">
        <v>0</v>
      </c>
      <c r="O126" s="45">
        <v>0</v>
      </c>
      <c r="P126" s="46">
        <v>0</v>
      </c>
      <c r="Q126" s="45">
        <v>0</v>
      </c>
      <c r="R126" s="44">
        <f t="shared" si="46"/>
        <v>0</v>
      </c>
    </row>
    <row r="127" spans="1:18" x14ac:dyDescent="0.25">
      <c r="A127" s="248">
        <v>3</v>
      </c>
      <c r="B127" s="268" t="s">
        <v>123</v>
      </c>
      <c r="C127" s="256">
        <v>0</v>
      </c>
      <c r="D127" s="60">
        <v>0</v>
      </c>
      <c r="E127" s="43">
        <v>0</v>
      </c>
      <c r="F127" s="60">
        <v>0</v>
      </c>
      <c r="G127" s="60">
        <v>0</v>
      </c>
      <c r="H127" s="43">
        <v>0</v>
      </c>
      <c r="I127" s="60">
        <v>0</v>
      </c>
      <c r="J127" s="60">
        <v>0</v>
      </c>
      <c r="K127" s="43">
        <v>0</v>
      </c>
      <c r="L127" s="60">
        <v>0</v>
      </c>
      <c r="M127" s="60">
        <v>0</v>
      </c>
      <c r="N127" s="43">
        <v>0</v>
      </c>
      <c r="O127" s="45">
        <v>0</v>
      </c>
      <c r="P127" s="46">
        <v>0</v>
      </c>
      <c r="Q127" s="45">
        <v>0</v>
      </c>
      <c r="R127" s="44">
        <f t="shared" si="46"/>
        <v>0</v>
      </c>
    </row>
    <row r="128" spans="1:18" x14ac:dyDescent="0.25">
      <c r="A128" s="248">
        <v>4</v>
      </c>
      <c r="B128" s="269" t="s">
        <v>124</v>
      </c>
      <c r="C128" s="256">
        <v>1450</v>
      </c>
      <c r="D128" s="60">
        <v>1050</v>
      </c>
      <c r="E128" s="43">
        <v>0</v>
      </c>
      <c r="F128" s="60">
        <v>825</v>
      </c>
      <c r="G128" s="60">
        <v>0</v>
      </c>
      <c r="H128" s="43">
        <v>0</v>
      </c>
      <c r="I128" s="60">
        <v>0</v>
      </c>
      <c r="J128" s="60">
        <v>0</v>
      </c>
      <c r="K128" s="43">
        <v>0</v>
      </c>
      <c r="L128" s="60">
        <v>0</v>
      </c>
      <c r="M128" s="60">
        <v>0</v>
      </c>
      <c r="N128" s="90">
        <v>0</v>
      </c>
      <c r="O128" s="60">
        <v>8</v>
      </c>
      <c r="P128" s="99">
        <v>70</v>
      </c>
      <c r="Q128" s="60">
        <v>8</v>
      </c>
      <c r="R128" s="44">
        <f t="shared" si="46"/>
        <v>560</v>
      </c>
    </row>
    <row r="129" spans="1:18" x14ac:dyDescent="0.25">
      <c r="A129" s="248">
        <v>5</v>
      </c>
      <c r="B129" s="269" t="s">
        <v>125</v>
      </c>
      <c r="C129" s="256">
        <v>0</v>
      </c>
      <c r="D129" s="60">
        <v>0</v>
      </c>
      <c r="E129" s="43">
        <v>0</v>
      </c>
      <c r="F129" s="60">
        <v>0</v>
      </c>
      <c r="G129" s="60">
        <v>0</v>
      </c>
      <c r="H129" s="43">
        <v>0</v>
      </c>
      <c r="I129" s="60">
        <v>0</v>
      </c>
      <c r="J129" s="60">
        <v>0</v>
      </c>
      <c r="K129" s="43">
        <v>0</v>
      </c>
      <c r="L129" s="60">
        <v>0</v>
      </c>
      <c r="M129" s="60">
        <v>0</v>
      </c>
      <c r="N129" s="43">
        <v>0</v>
      </c>
      <c r="O129" s="45">
        <v>0</v>
      </c>
      <c r="P129" s="46">
        <v>0</v>
      </c>
      <c r="Q129" s="45">
        <v>0</v>
      </c>
      <c r="R129" s="44">
        <f t="shared" si="46"/>
        <v>0</v>
      </c>
    </row>
    <row r="130" spans="1:18" x14ac:dyDescent="0.25">
      <c r="A130" s="248">
        <v>6</v>
      </c>
      <c r="B130" s="268" t="s">
        <v>126</v>
      </c>
      <c r="C130" s="256">
        <v>20765</v>
      </c>
      <c r="D130" s="60">
        <v>5726</v>
      </c>
      <c r="E130" s="43">
        <f t="shared" si="47"/>
        <v>262.64407963674466</v>
      </c>
      <c r="F130" s="60">
        <v>0</v>
      </c>
      <c r="G130" s="60">
        <v>0</v>
      </c>
      <c r="H130" s="43">
        <v>0</v>
      </c>
      <c r="I130" s="60">
        <v>20765</v>
      </c>
      <c r="J130" s="60">
        <v>5726</v>
      </c>
      <c r="K130" s="43">
        <f t="shared" si="49"/>
        <v>262.64407963674466</v>
      </c>
      <c r="L130" s="60">
        <v>10266</v>
      </c>
      <c r="M130" s="60">
        <v>0</v>
      </c>
      <c r="N130" s="34">
        <v>0</v>
      </c>
      <c r="O130" s="60">
        <v>19</v>
      </c>
      <c r="P130" s="89">
        <v>100</v>
      </c>
      <c r="Q130" s="60">
        <v>23</v>
      </c>
      <c r="R130" s="44">
        <f t="shared" si="46"/>
        <v>1900</v>
      </c>
    </row>
    <row r="131" spans="1:18" x14ac:dyDescent="0.25">
      <c r="A131" s="263"/>
      <c r="B131" s="263" t="s">
        <v>127</v>
      </c>
      <c r="C131" s="270">
        <f>SUM(C125:C130)</f>
        <v>52264</v>
      </c>
      <c r="D131" s="56">
        <f>SUM(D125:D130)</f>
        <v>40610</v>
      </c>
      <c r="E131" s="57">
        <f t="shared" si="47"/>
        <v>28.69736518098992</v>
      </c>
      <c r="F131" s="56">
        <f>SUM(F125:F130)</f>
        <v>4750</v>
      </c>
      <c r="G131" s="56">
        <f>SUM(G125:G130)</f>
        <v>3415</v>
      </c>
      <c r="H131" s="57">
        <f t="shared" si="48"/>
        <v>39.092240117130302</v>
      </c>
      <c r="I131" s="56">
        <f>SUM(I125:I130)</f>
        <v>39172</v>
      </c>
      <c r="J131" s="56">
        <f>SUM(J125:J130)</f>
        <v>41116</v>
      </c>
      <c r="K131" s="57">
        <f t="shared" si="49"/>
        <v>-4.7280863897266272</v>
      </c>
      <c r="L131" s="56">
        <f>SUM(L125:L130)</f>
        <v>10266</v>
      </c>
      <c r="M131" s="56">
        <f>SUM(M125:M130)</f>
        <v>0</v>
      </c>
      <c r="N131" s="87">
        <v>0</v>
      </c>
      <c r="O131" s="56">
        <f>SUM(O125:O130)</f>
        <v>99</v>
      </c>
      <c r="P131" s="87">
        <f>R131/O131</f>
        <v>83.030303030303031</v>
      </c>
      <c r="Q131" s="56">
        <f>SUM(Q124:Q130)</f>
        <v>104</v>
      </c>
      <c r="R131" s="70">
        <f>SUM(R125:R130)</f>
        <v>8220</v>
      </c>
    </row>
    <row r="132" spans="1:18" x14ac:dyDescent="0.25">
      <c r="A132" s="251"/>
      <c r="B132" s="251"/>
      <c r="C132" s="25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45"/>
      <c r="R132" s="39"/>
    </row>
    <row r="133" spans="1:18" x14ac:dyDescent="0.25">
      <c r="A133" s="987" t="s">
        <v>128</v>
      </c>
      <c r="B133" s="988"/>
      <c r="C133" s="244">
        <v>3</v>
      </c>
      <c r="D133" s="37">
        <v>4</v>
      </c>
      <c r="E133" s="38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38">
        <v>16</v>
      </c>
      <c r="Q133" s="37">
        <v>15</v>
      </c>
      <c r="R133" s="31"/>
    </row>
    <row r="134" spans="1:18" x14ac:dyDescent="0.25">
      <c r="A134" s="271">
        <v>1</v>
      </c>
      <c r="B134" s="132" t="s">
        <v>129</v>
      </c>
      <c r="C134" s="256">
        <v>39366187</v>
      </c>
      <c r="D134" s="60">
        <v>40804533</v>
      </c>
      <c r="E134" s="43">
        <f t="shared" ref="E134:E139" si="50">C134/D134*100-100</f>
        <v>-3.5249662090238871</v>
      </c>
      <c r="F134" s="60">
        <v>10884203</v>
      </c>
      <c r="G134" s="60">
        <v>9728442</v>
      </c>
      <c r="H134" s="43">
        <f t="shared" ref="H134:H139" si="51">F134/G134*100-100</f>
        <v>11.880227070274969</v>
      </c>
      <c r="I134" s="60">
        <v>39035457</v>
      </c>
      <c r="J134" s="60">
        <v>42263865</v>
      </c>
      <c r="K134" s="43">
        <f t="shared" ref="K134:K139" si="52">I134/J134*100-100</f>
        <v>-7.6386956091213989</v>
      </c>
      <c r="L134" s="60">
        <v>23168615</v>
      </c>
      <c r="M134" s="60">
        <v>21034481</v>
      </c>
      <c r="N134" s="43">
        <f t="shared" ref="N134:N139" si="53">L134/M134*100-100</f>
        <v>10.145883799082071</v>
      </c>
      <c r="O134" s="45">
        <v>3025</v>
      </c>
      <c r="P134" s="60">
        <v>145</v>
      </c>
      <c r="Q134" s="45">
        <v>3025</v>
      </c>
      <c r="R134" s="44">
        <f>O134*P134</f>
        <v>438625</v>
      </c>
    </row>
    <row r="135" spans="1:18" x14ac:dyDescent="0.25">
      <c r="A135" s="271">
        <v>2</v>
      </c>
      <c r="B135" s="132" t="s">
        <v>130</v>
      </c>
      <c r="C135" s="256">
        <v>8690388</v>
      </c>
      <c r="D135" s="60">
        <v>7612232</v>
      </c>
      <c r="E135" s="43">
        <f t="shared" si="50"/>
        <v>14.163467429789307</v>
      </c>
      <c r="F135" s="60">
        <v>2224406</v>
      </c>
      <c r="G135" s="60">
        <v>1926288</v>
      </c>
      <c r="H135" s="43">
        <f t="shared" si="51"/>
        <v>15.476294302824911</v>
      </c>
      <c r="I135" s="60">
        <v>7235533</v>
      </c>
      <c r="J135" s="60">
        <v>5588556</v>
      </c>
      <c r="K135" s="43">
        <f t="shared" si="52"/>
        <v>29.470528701868602</v>
      </c>
      <c r="L135" s="60">
        <v>7235533</v>
      </c>
      <c r="M135" s="60">
        <v>5588556</v>
      </c>
      <c r="N135" s="43">
        <v>0</v>
      </c>
      <c r="O135" s="45">
        <v>1019</v>
      </c>
      <c r="P135" s="60">
        <v>120</v>
      </c>
      <c r="Q135" s="45">
        <v>1019</v>
      </c>
      <c r="R135" s="44">
        <f>O135*P135</f>
        <v>122280</v>
      </c>
    </row>
    <row r="136" spans="1:18" ht="25.5" x14ac:dyDescent="0.25">
      <c r="A136" s="272">
        <v>3</v>
      </c>
      <c r="B136" s="194" t="s">
        <v>131</v>
      </c>
      <c r="C136" s="247">
        <v>5718618</v>
      </c>
      <c r="D136" s="54">
        <v>7230506</v>
      </c>
      <c r="E136" s="43">
        <f t="shared" si="50"/>
        <v>-20.909850569240945</v>
      </c>
      <c r="F136" s="54">
        <v>1798673</v>
      </c>
      <c r="G136" s="54">
        <v>1885603</v>
      </c>
      <c r="H136" s="43">
        <f t="shared" si="51"/>
        <v>-4.6101963138582107</v>
      </c>
      <c r="I136" s="54">
        <v>4676251</v>
      </c>
      <c r="J136" s="54">
        <v>6751305</v>
      </c>
      <c r="K136" s="43">
        <f t="shared" si="52"/>
        <v>-30.735598525025893</v>
      </c>
      <c r="L136" s="54">
        <v>4676251</v>
      </c>
      <c r="M136" s="54">
        <v>6751305</v>
      </c>
      <c r="N136" s="43">
        <f t="shared" si="53"/>
        <v>-30.735598525025893</v>
      </c>
      <c r="O136" s="42">
        <v>1070</v>
      </c>
      <c r="P136" s="62">
        <v>306</v>
      </c>
      <c r="Q136" s="42">
        <v>1070</v>
      </c>
      <c r="R136" s="44">
        <f>O136*P136</f>
        <v>327420</v>
      </c>
    </row>
    <row r="137" spans="1:18" x14ac:dyDescent="0.25">
      <c r="A137" s="271">
        <v>4</v>
      </c>
      <c r="B137" s="132" t="s">
        <v>132</v>
      </c>
      <c r="C137" s="256">
        <v>2326947</v>
      </c>
      <c r="D137" s="60">
        <v>1623055</v>
      </c>
      <c r="E137" s="43">
        <f t="shared" si="50"/>
        <v>43.368339335389123</v>
      </c>
      <c r="F137" s="60">
        <v>569840</v>
      </c>
      <c r="G137" s="60">
        <v>573811</v>
      </c>
      <c r="H137" s="43">
        <f t="shared" si="51"/>
        <v>-0.69203971342480486</v>
      </c>
      <c r="I137" s="60">
        <v>2159987</v>
      </c>
      <c r="J137" s="60">
        <v>1652673</v>
      </c>
      <c r="K137" s="43">
        <f t="shared" si="52"/>
        <v>30.696574579484263</v>
      </c>
      <c r="L137" s="60">
        <v>215998</v>
      </c>
      <c r="M137" s="60">
        <v>0</v>
      </c>
      <c r="N137" s="43" t="e">
        <f t="shared" si="53"/>
        <v>#DIV/0!</v>
      </c>
      <c r="O137" s="45">
        <v>600</v>
      </c>
      <c r="P137" s="60">
        <v>208</v>
      </c>
      <c r="Q137" s="45">
        <v>575</v>
      </c>
      <c r="R137" s="44">
        <f>O137*P137</f>
        <v>124800</v>
      </c>
    </row>
    <row r="138" spans="1:18" x14ac:dyDescent="0.25">
      <c r="A138" s="271">
        <v>5</v>
      </c>
      <c r="B138" s="132" t="s">
        <v>133</v>
      </c>
      <c r="C138" s="256">
        <v>0</v>
      </c>
      <c r="D138" s="60">
        <v>0</v>
      </c>
      <c r="E138" s="43">
        <v>0</v>
      </c>
      <c r="F138" s="60">
        <v>0</v>
      </c>
      <c r="G138" s="60">
        <v>0</v>
      </c>
      <c r="H138" s="43">
        <v>0</v>
      </c>
      <c r="I138" s="60">
        <v>0</v>
      </c>
      <c r="J138" s="60">
        <v>0</v>
      </c>
      <c r="K138" s="43">
        <v>0</v>
      </c>
      <c r="L138" s="60">
        <v>0</v>
      </c>
      <c r="M138" s="60">
        <v>0</v>
      </c>
      <c r="N138" s="43">
        <v>0</v>
      </c>
      <c r="O138" s="45">
        <v>380</v>
      </c>
      <c r="P138" s="46">
        <v>189</v>
      </c>
      <c r="Q138" s="45">
        <v>380</v>
      </c>
      <c r="R138" s="44">
        <f>O138*P138</f>
        <v>71820</v>
      </c>
    </row>
    <row r="139" spans="1:18" x14ac:dyDescent="0.25">
      <c r="A139" s="976" t="s">
        <v>134</v>
      </c>
      <c r="B139" s="977" t="s">
        <v>135</v>
      </c>
      <c r="C139" s="273">
        <f>SUM(C134:C138)</f>
        <v>56102140</v>
      </c>
      <c r="D139" s="211">
        <f>SUM(D134:D138)</f>
        <v>57270326</v>
      </c>
      <c r="E139" s="57">
        <f t="shared" si="50"/>
        <v>-2.0397753628990927</v>
      </c>
      <c r="F139" s="87">
        <f t="shared" ref="F139:G139" si="54">SUM(F134:F138)</f>
        <v>15477122</v>
      </c>
      <c r="G139" s="87">
        <f t="shared" si="54"/>
        <v>14114144</v>
      </c>
      <c r="H139" s="57">
        <f t="shared" si="51"/>
        <v>9.6568236798490972</v>
      </c>
      <c r="I139" s="87">
        <f t="shared" ref="I139:J139" si="55">SUM(I134:I138)</f>
        <v>53107228</v>
      </c>
      <c r="J139" s="87">
        <f t="shared" si="55"/>
        <v>56256399</v>
      </c>
      <c r="K139" s="57">
        <f t="shared" si="52"/>
        <v>-5.5978894063233611</v>
      </c>
      <c r="L139" s="87">
        <f t="shared" ref="L139:M139" si="56">SUM(L134:L138)</f>
        <v>35296397</v>
      </c>
      <c r="M139" s="87">
        <f t="shared" si="56"/>
        <v>33374342</v>
      </c>
      <c r="N139" s="57">
        <f t="shared" si="53"/>
        <v>5.7590798344428862</v>
      </c>
      <c r="O139" s="87">
        <f t="shared" ref="O139:R139" si="57">SUM(O134:O138)</f>
        <v>6094</v>
      </c>
      <c r="P139" s="87">
        <f>R139/O139</f>
        <v>178.03495241220872</v>
      </c>
      <c r="Q139" s="87">
        <f t="shared" ref="Q139" si="58">SUM(Q134:Q138)</f>
        <v>6069</v>
      </c>
      <c r="R139" s="87">
        <f t="shared" si="57"/>
        <v>1084945</v>
      </c>
    </row>
    <row r="140" spans="1:18" x14ac:dyDescent="0.25">
      <c r="A140" s="251"/>
      <c r="B140" s="251"/>
      <c r="C140" s="25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104"/>
      <c r="R140" s="105"/>
    </row>
    <row r="141" spans="1:18" x14ac:dyDescent="0.25">
      <c r="A141" s="989" t="s">
        <v>136</v>
      </c>
      <c r="B141" s="990"/>
      <c r="C141" s="244">
        <v>3</v>
      </c>
      <c r="D141" s="37">
        <v>4</v>
      </c>
      <c r="E141" s="38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38">
        <v>16</v>
      </c>
      <c r="Q141" s="37">
        <v>15</v>
      </c>
      <c r="R141" s="105"/>
    </row>
    <row r="142" spans="1:18" x14ac:dyDescent="0.25">
      <c r="A142" s="271">
        <v>1</v>
      </c>
      <c r="B142" s="132" t="s">
        <v>137</v>
      </c>
      <c r="C142" s="256">
        <v>6640150</v>
      </c>
      <c r="D142" s="60">
        <v>7067569</v>
      </c>
      <c r="E142" s="43">
        <f t="shared" ref="E142:E151" si="59">C142/D142*100-100</f>
        <v>-6.0476098641555609</v>
      </c>
      <c r="F142" s="60">
        <v>1939416</v>
      </c>
      <c r="G142" s="60">
        <v>1769744</v>
      </c>
      <c r="H142" s="43">
        <f t="shared" ref="H142:H151" si="60">F142/G142*100-100</f>
        <v>9.5873753492030431</v>
      </c>
      <c r="I142" s="60">
        <v>6678668</v>
      </c>
      <c r="J142" s="60">
        <v>7064871</v>
      </c>
      <c r="K142" s="43">
        <f t="shared" ref="K142:K151" si="61">I142/J142*100-100</f>
        <v>-5.4665258573015763</v>
      </c>
      <c r="L142" s="60">
        <v>6678668</v>
      </c>
      <c r="M142" s="60">
        <v>7064871</v>
      </c>
      <c r="N142" s="43">
        <f t="shared" ref="N142:N151" si="62">L142/M142*100-100</f>
        <v>-5.4665258573015763</v>
      </c>
      <c r="O142" s="45">
        <v>517</v>
      </c>
      <c r="P142" s="75">
        <v>150</v>
      </c>
      <c r="Q142" s="45">
        <v>517</v>
      </c>
      <c r="R142" s="44">
        <f t="shared" ref="R142:R148" si="63">O142*P142</f>
        <v>77550</v>
      </c>
    </row>
    <row r="143" spans="1:18" x14ac:dyDescent="0.25">
      <c r="A143" s="271">
        <v>2</v>
      </c>
      <c r="B143" s="132" t="s">
        <v>138</v>
      </c>
      <c r="C143" s="256">
        <v>9997408</v>
      </c>
      <c r="D143" s="60">
        <v>15013454</v>
      </c>
      <c r="E143" s="43">
        <f t="shared" si="59"/>
        <v>-33.410339819204822</v>
      </c>
      <c r="F143" s="60">
        <v>2322926</v>
      </c>
      <c r="G143" s="60">
        <v>3490248</v>
      </c>
      <c r="H143" s="43">
        <f t="shared" si="60"/>
        <v>-33.445245151633927</v>
      </c>
      <c r="I143" s="60">
        <v>9612552</v>
      </c>
      <c r="J143" s="60">
        <v>14776388</v>
      </c>
      <c r="K143" s="43">
        <f t="shared" si="61"/>
        <v>-34.946537678896902</v>
      </c>
      <c r="L143" s="60">
        <v>9598409</v>
      </c>
      <c r="M143" s="60">
        <v>14748629</v>
      </c>
      <c r="N143" s="43">
        <f t="shared" si="62"/>
        <v>-34.919991546332881</v>
      </c>
      <c r="O143" s="45">
        <v>693</v>
      </c>
      <c r="P143" s="60">
        <v>176</v>
      </c>
      <c r="Q143" s="45">
        <v>693</v>
      </c>
      <c r="R143" s="44">
        <f t="shared" si="63"/>
        <v>121968</v>
      </c>
    </row>
    <row r="144" spans="1:18" x14ac:dyDescent="0.25">
      <c r="A144" s="271">
        <v>3</v>
      </c>
      <c r="B144" s="132" t="s">
        <v>232</v>
      </c>
      <c r="C144" s="256">
        <v>9184695</v>
      </c>
      <c r="D144" s="60">
        <v>10393676</v>
      </c>
      <c r="E144" s="43">
        <f t="shared" si="59"/>
        <v>-11.631890391811325</v>
      </c>
      <c r="F144" s="60">
        <v>2635046</v>
      </c>
      <c r="G144" s="60">
        <v>276881</v>
      </c>
      <c r="H144" s="43">
        <f t="shared" si="60"/>
        <v>851.68899274417527</v>
      </c>
      <c r="I144" s="60">
        <v>9261582</v>
      </c>
      <c r="J144" s="60">
        <v>10429194</v>
      </c>
      <c r="K144" s="43">
        <f t="shared" si="61"/>
        <v>-11.195611089409212</v>
      </c>
      <c r="L144" s="60">
        <v>9261582</v>
      </c>
      <c r="M144" s="60">
        <v>10429194</v>
      </c>
      <c r="N144" s="43">
        <f t="shared" si="62"/>
        <v>-11.195611089409212</v>
      </c>
      <c r="O144" s="45">
        <v>500</v>
      </c>
      <c r="P144" s="60">
        <v>180</v>
      </c>
      <c r="Q144" s="45">
        <v>500</v>
      </c>
      <c r="R144" s="44">
        <f t="shared" si="63"/>
        <v>90000</v>
      </c>
    </row>
    <row r="145" spans="1:19" x14ac:dyDescent="0.25">
      <c r="A145" s="271">
        <v>4</v>
      </c>
      <c r="B145" s="132" t="s">
        <v>140</v>
      </c>
      <c r="C145" s="256">
        <v>2038411</v>
      </c>
      <c r="D145" s="60">
        <v>1509709</v>
      </c>
      <c r="E145" s="43">
        <f t="shared" si="59"/>
        <v>35.020126395219222</v>
      </c>
      <c r="F145" s="60">
        <v>553941</v>
      </c>
      <c r="G145" s="60">
        <v>388801</v>
      </c>
      <c r="H145" s="43">
        <f t="shared" si="60"/>
        <v>42.474170591125016</v>
      </c>
      <c r="I145" s="60">
        <v>1732526</v>
      </c>
      <c r="J145" s="60">
        <v>1690632</v>
      </c>
      <c r="K145" s="43">
        <f t="shared" si="61"/>
        <v>2.4780082241433945</v>
      </c>
      <c r="L145" s="60">
        <v>0</v>
      </c>
      <c r="M145" s="60">
        <v>0</v>
      </c>
      <c r="N145" s="43">
        <v>0</v>
      </c>
      <c r="O145" s="45">
        <v>344</v>
      </c>
      <c r="P145" s="75">
        <v>58</v>
      </c>
      <c r="Q145" s="45">
        <v>344</v>
      </c>
      <c r="R145" s="44">
        <f t="shared" si="63"/>
        <v>19952</v>
      </c>
    </row>
    <row r="146" spans="1:19" x14ac:dyDescent="0.25">
      <c r="A146" s="271">
        <v>5</v>
      </c>
      <c r="B146" s="132" t="s">
        <v>141</v>
      </c>
      <c r="C146" s="256">
        <v>9571510</v>
      </c>
      <c r="D146" s="60">
        <v>9864271</v>
      </c>
      <c r="E146" s="43">
        <f t="shared" si="59"/>
        <v>-2.9678929137287469</v>
      </c>
      <c r="F146" s="60">
        <v>2284762</v>
      </c>
      <c r="G146" s="60">
        <v>2635294</v>
      </c>
      <c r="H146" s="43">
        <f t="shared" si="60"/>
        <v>-13.301438093814198</v>
      </c>
      <c r="I146" s="60">
        <v>9057880</v>
      </c>
      <c r="J146" s="60">
        <v>9135342</v>
      </c>
      <c r="K146" s="43">
        <f t="shared" si="61"/>
        <v>-0.84793760321178979</v>
      </c>
      <c r="L146" s="60">
        <v>9057880</v>
      </c>
      <c r="M146" s="60">
        <v>9135342</v>
      </c>
      <c r="N146" s="43">
        <f t="shared" si="62"/>
        <v>-0.84793760321178979</v>
      </c>
      <c r="O146" s="45">
        <v>965</v>
      </c>
      <c r="P146" s="60">
        <v>100</v>
      </c>
      <c r="Q146" s="45">
        <v>965</v>
      </c>
      <c r="R146" s="44">
        <f t="shared" si="63"/>
        <v>96500</v>
      </c>
    </row>
    <row r="147" spans="1:19" x14ac:dyDescent="0.25">
      <c r="A147" s="271">
        <v>6</v>
      </c>
      <c r="B147" s="274" t="s">
        <v>231</v>
      </c>
      <c r="C147" s="256">
        <v>11075298</v>
      </c>
      <c r="D147" s="60">
        <v>11593460</v>
      </c>
      <c r="E147" s="43">
        <f t="shared" si="59"/>
        <v>-4.4694336289597771</v>
      </c>
      <c r="F147" s="60">
        <v>2678659</v>
      </c>
      <c r="G147" s="60">
        <v>2759735</v>
      </c>
      <c r="H147" s="43">
        <f t="shared" si="60"/>
        <v>-2.9378183050184106</v>
      </c>
      <c r="I147" s="60">
        <v>12568373</v>
      </c>
      <c r="J147" s="60">
        <v>11824151</v>
      </c>
      <c r="K147" s="43">
        <f t="shared" si="61"/>
        <v>6.2940840319106286</v>
      </c>
      <c r="L147" s="60">
        <f>18241+12530906</f>
        <v>12549147</v>
      </c>
      <c r="M147" s="60">
        <v>11809706</v>
      </c>
      <c r="N147" s="43">
        <f t="shared" si="62"/>
        <v>6.2612989688312268</v>
      </c>
      <c r="O147" s="45">
        <v>639</v>
      </c>
      <c r="P147" s="60">
        <v>130</v>
      </c>
      <c r="Q147" s="45">
        <v>639</v>
      </c>
      <c r="R147" s="44">
        <f t="shared" si="63"/>
        <v>83070</v>
      </c>
    </row>
    <row r="148" spans="1:19" x14ac:dyDescent="0.25">
      <c r="A148" s="271">
        <v>7</v>
      </c>
      <c r="B148" s="132" t="s">
        <v>143</v>
      </c>
      <c r="C148" s="256">
        <v>981836</v>
      </c>
      <c r="D148" s="60">
        <v>1175457</v>
      </c>
      <c r="E148" s="43">
        <f t="shared" si="59"/>
        <v>-16.471976431294379</v>
      </c>
      <c r="F148" s="60">
        <v>222037</v>
      </c>
      <c r="G148" s="60">
        <v>284878</v>
      </c>
      <c r="H148" s="43">
        <f t="shared" si="60"/>
        <v>-22.058916448444592</v>
      </c>
      <c r="I148" s="60">
        <v>948544</v>
      </c>
      <c r="J148" s="60">
        <v>824363</v>
      </c>
      <c r="K148" s="43">
        <f t="shared" si="61"/>
        <v>15.063873560555237</v>
      </c>
      <c r="L148" s="60">
        <v>0</v>
      </c>
      <c r="M148" s="60">
        <v>0</v>
      </c>
      <c r="N148" s="43">
        <v>0</v>
      </c>
      <c r="O148" s="45">
        <v>35</v>
      </c>
      <c r="P148" s="60"/>
      <c r="Q148" s="45">
        <v>35</v>
      </c>
      <c r="R148" s="44">
        <f t="shared" si="63"/>
        <v>0</v>
      </c>
    </row>
    <row r="149" spans="1:19" x14ac:dyDescent="0.25">
      <c r="A149" s="271">
        <v>8</v>
      </c>
      <c r="B149" s="132" t="s">
        <v>144</v>
      </c>
      <c r="C149" s="256">
        <v>0</v>
      </c>
      <c r="D149" s="60">
        <v>0</v>
      </c>
      <c r="E149" s="43">
        <v>0</v>
      </c>
      <c r="F149" s="60">
        <v>0</v>
      </c>
      <c r="G149" s="60">
        <v>0</v>
      </c>
      <c r="H149" s="43">
        <v>0</v>
      </c>
      <c r="I149" s="60">
        <v>0</v>
      </c>
      <c r="J149" s="60">
        <v>0</v>
      </c>
      <c r="K149" s="43">
        <v>0</v>
      </c>
      <c r="L149" s="60">
        <v>0</v>
      </c>
      <c r="M149" s="60">
        <v>0</v>
      </c>
      <c r="N149" s="43">
        <v>0</v>
      </c>
      <c r="O149" s="45">
        <v>0</v>
      </c>
      <c r="P149" s="46">
        <v>0</v>
      </c>
      <c r="Q149" s="45">
        <v>0</v>
      </c>
      <c r="R149" s="44">
        <v>0</v>
      </c>
    </row>
    <row r="150" spans="1:19" x14ac:dyDescent="0.25">
      <c r="A150" s="976" t="s">
        <v>145</v>
      </c>
      <c r="B150" s="977" t="s">
        <v>135</v>
      </c>
      <c r="C150" s="250">
        <f>SUM(C142:C149)</f>
        <v>49489308</v>
      </c>
      <c r="D150" s="87">
        <f>SUM(D142:D149)</f>
        <v>56617596</v>
      </c>
      <c r="E150" s="57">
        <f t="shared" si="59"/>
        <v>-12.590234315141174</v>
      </c>
      <c r="F150" s="87">
        <f>SUM(F142:F149)</f>
        <v>12636787</v>
      </c>
      <c r="G150" s="87">
        <f>SUM(G142:G149)</f>
        <v>11605581</v>
      </c>
      <c r="H150" s="57">
        <f t="shared" si="60"/>
        <v>8.8854319314129953</v>
      </c>
      <c r="I150" s="87">
        <f>SUM(I142:I149)</f>
        <v>49860125</v>
      </c>
      <c r="J150" s="87">
        <f>SUM(J142:J149)</f>
        <v>55744941</v>
      </c>
      <c r="K150" s="57">
        <f t="shared" si="61"/>
        <v>-10.5566817265086</v>
      </c>
      <c r="L150" s="87">
        <f>SUM(L142:L149)</f>
        <v>47145686</v>
      </c>
      <c r="M150" s="87">
        <f>SUM(M142:M149)</f>
        <v>53187742</v>
      </c>
      <c r="N150" s="57">
        <f t="shared" si="62"/>
        <v>-11.359865587074552</v>
      </c>
      <c r="O150" s="56">
        <f>SUM(O142:O149)</f>
        <v>3693</v>
      </c>
      <c r="P150" s="87">
        <f>R150/O150</f>
        <v>132.42350392634714</v>
      </c>
      <c r="Q150" s="56">
        <f>SUM(Q142:Q149)</f>
        <v>3693</v>
      </c>
      <c r="R150" s="70">
        <f>SUM(R142:R149)</f>
        <v>489040</v>
      </c>
    </row>
    <row r="151" spans="1:19" x14ac:dyDescent="0.25">
      <c r="A151" s="991" t="s">
        <v>146</v>
      </c>
      <c r="B151" s="992" t="s">
        <v>78</v>
      </c>
      <c r="C151" s="275">
        <f>C139+C150</f>
        <v>105591448</v>
      </c>
      <c r="D151" s="106">
        <f>D139+D150</f>
        <v>113887922</v>
      </c>
      <c r="E151" s="16">
        <f t="shared" si="59"/>
        <v>-7.2847707239754556</v>
      </c>
      <c r="F151" s="106">
        <f>F139+F150</f>
        <v>28113909</v>
      </c>
      <c r="G151" s="106">
        <f>G139+G150</f>
        <v>25719725</v>
      </c>
      <c r="H151" s="16">
        <f t="shared" si="60"/>
        <v>9.3087464970951146</v>
      </c>
      <c r="I151" s="106">
        <f>I139+I150</f>
        <v>102967353</v>
      </c>
      <c r="J151" s="106">
        <f>J139+J150</f>
        <v>112001340</v>
      </c>
      <c r="K151" s="16">
        <f t="shared" si="61"/>
        <v>-8.0659633179388663</v>
      </c>
      <c r="L151" s="106">
        <f>L139+L150</f>
        <v>82442083</v>
      </c>
      <c r="M151" s="106">
        <f>M139+M150</f>
        <v>86562084</v>
      </c>
      <c r="N151" s="16">
        <f t="shared" si="62"/>
        <v>-4.7595908157664013</v>
      </c>
      <c r="O151" s="106">
        <f>O139+O150</f>
        <v>9787</v>
      </c>
      <c r="P151" s="107">
        <f>R151/O151</f>
        <v>160.82405231429448</v>
      </c>
      <c r="Q151" s="106">
        <f>Q139+Q150</f>
        <v>9762</v>
      </c>
      <c r="R151">
        <f>R139+R150</f>
        <v>1573985</v>
      </c>
    </row>
    <row r="152" spans="1:19" s="111" customFormat="1" x14ac:dyDescent="0.25">
      <c r="A152" s="251"/>
      <c r="B152" s="251"/>
      <c r="C152" s="25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102"/>
      <c r="R152"/>
      <c r="S152"/>
    </row>
    <row r="153" spans="1:19" x14ac:dyDescent="0.25">
      <c r="A153" s="962" t="s">
        <v>147</v>
      </c>
      <c r="B153" s="963"/>
      <c r="C153" s="244">
        <v>3</v>
      </c>
      <c r="D153" s="37">
        <v>4</v>
      </c>
      <c r="E153" s="38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38">
        <v>16</v>
      </c>
      <c r="Q153" s="104">
        <v>17</v>
      </c>
    </row>
    <row r="154" spans="1:19" x14ac:dyDescent="0.25">
      <c r="A154" s="271">
        <v>1</v>
      </c>
      <c r="B154" s="276" t="s">
        <v>148</v>
      </c>
      <c r="C154" s="256">
        <v>7153</v>
      </c>
      <c r="D154" s="60">
        <v>9791</v>
      </c>
      <c r="E154" s="43">
        <f t="shared" ref="E154:E160" si="64">C154/D154*100-100</f>
        <v>-26.943111020324778</v>
      </c>
      <c r="F154" s="60">
        <v>2475</v>
      </c>
      <c r="G154" s="60">
        <v>4260</v>
      </c>
      <c r="H154" s="43">
        <f t="shared" ref="H154:H160" si="65">F154/G154*100-100</f>
        <v>-41.901408450704224</v>
      </c>
      <c r="I154" s="60">
        <v>7153</v>
      </c>
      <c r="J154" s="60">
        <v>9791</v>
      </c>
      <c r="K154" s="43">
        <f t="shared" ref="K154:K160" si="66">I154/J154*100-100</f>
        <v>-26.943111020324778</v>
      </c>
      <c r="L154" s="60">
        <v>0</v>
      </c>
      <c r="M154" s="60">
        <v>0</v>
      </c>
      <c r="N154" s="43">
        <v>0</v>
      </c>
      <c r="O154" s="100">
        <v>34</v>
      </c>
      <c r="P154" s="75">
        <v>91</v>
      </c>
      <c r="Q154" s="100">
        <v>30</v>
      </c>
      <c r="R154" s="44">
        <f>O154*P154</f>
        <v>3094</v>
      </c>
    </row>
    <row r="155" spans="1:19" x14ac:dyDescent="0.25">
      <c r="A155" s="271">
        <v>2</v>
      </c>
      <c r="B155" s="276" t="s">
        <v>149</v>
      </c>
      <c r="C155" s="256">
        <v>3195128</v>
      </c>
      <c r="D155" s="60">
        <v>3449187</v>
      </c>
      <c r="E155" s="43">
        <f t="shared" si="64"/>
        <v>-7.3657647439816998</v>
      </c>
      <c r="F155" s="60">
        <v>811451</v>
      </c>
      <c r="G155" s="60">
        <v>884786</v>
      </c>
      <c r="H155" s="43">
        <f t="shared" si="65"/>
        <v>-8.2884448894987059</v>
      </c>
      <c r="I155" s="60">
        <v>3249897</v>
      </c>
      <c r="J155" s="60">
        <v>2685257</v>
      </c>
      <c r="K155" s="43">
        <f t="shared" si="66"/>
        <v>21.027410039337013</v>
      </c>
      <c r="L155" s="60">
        <v>1374078</v>
      </c>
      <c r="M155" s="60">
        <v>1328367</v>
      </c>
      <c r="N155" s="43">
        <f t="shared" ref="N155:N160" si="67">L155/M155*100-100</f>
        <v>3.4411423951362821</v>
      </c>
      <c r="O155" s="100">
        <v>627</v>
      </c>
      <c r="P155" s="75">
        <v>110</v>
      </c>
      <c r="Q155" s="100">
        <v>627</v>
      </c>
      <c r="R155" s="44">
        <f>O155*P155</f>
        <v>68970</v>
      </c>
    </row>
    <row r="156" spans="1:19" x14ac:dyDescent="0.25">
      <c r="A156" s="271">
        <v>3</v>
      </c>
      <c r="B156" s="276" t="s">
        <v>150</v>
      </c>
      <c r="C156" s="256">
        <v>0</v>
      </c>
      <c r="D156" s="60">
        <v>0</v>
      </c>
      <c r="E156" s="43">
        <v>0</v>
      </c>
      <c r="F156" s="60">
        <v>0</v>
      </c>
      <c r="G156" s="60">
        <v>0</v>
      </c>
      <c r="H156" s="43">
        <v>0</v>
      </c>
      <c r="I156" s="60">
        <v>0</v>
      </c>
      <c r="J156" s="60">
        <v>0</v>
      </c>
      <c r="K156" s="43">
        <v>0</v>
      </c>
      <c r="L156" s="60">
        <v>0</v>
      </c>
      <c r="M156" s="60">
        <v>0</v>
      </c>
      <c r="N156" s="43">
        <v>0</v>
      </c>
      <c r="O156" s="45">
        <v>0</v>
      </c>
      <c r="P156" s="46">
        <v>0</v>
      </c>
      <c r="Q156" s="45">
        <v>0</v>
      </c>
      <c r="R156" s="44">
        <v>0</v>
      </c>
    </row>
    <row r="157" spans="1:19" x14ac:dyDescent="0.25">
      <c r="A157" s="271">
        <v>4</v>
      </c>
      <c r="B157" s="276" t="s">
        <v>151</v>
      </c>
      <c r="C157" s="256">
        <v>867282</v>
      </c>
      <c r="D157" s="60">
        <v>732020</v>
      </c>
      <c r="E157" s="43">
        <f t="shared" si="64"/>
        <v>18.477910439605466</v>
      </c>
      <c r="F157" s="60">
        <v>254168</v>
      </c>
      <c r="G157" s="60">
        <v>177460</v>
      </c>
      <c r="H157" s="43">
        <f t="shared" si="65"/>
        <v>43.225515609151358</v>
      </c>
      <c r="I157" s="60">
        <v>856970</v>
      </c>
      <c r="J157" s="60">
        <v>650742</v>
      </c>
      <c r="K157" s="43">
        <f t="shared" si="66"/>
        <v>31.691207882693902</v>
      </c>
      <c r="L157" s="60">
        <v>745598</v>
      </c>
      <c r="M157" s="60">
        <v>414719</v>
      </c>
      <c r="N157" s="43">
        <f t="shared" si="67"/>
        <v>79.783901870905368</v>
      </c>
      <c r="O157" s="100">
        <v>292</v>
      </c>
      <c r="P157" s="75">
        <v>100</v>
      </c>
      <c r="Q157" s="100">
        <v>290</v>
      </c>
      <c r="R157" s="44">
        <f>O157*P157</f>
        <v>29200</v>
      </c>
    </row>
    <row r="158" spans="1:19" x14ac:dyDescent="0.25">
      <c r="A158" s="271">
        <v>5</v>
      </c>
      <c r="B158" s="262" t="s">
        <v>259</v>
      </c>
      <c r="C158" s="256">
        <v>579618</v>
      </c>
      <c r="D158" s="60">
        <v>497068</v>
      </c>
      <c r="E158" s="43">
        <f t="shared" si="64"/>
        <v>16.607385709802287</v>
      </c>
      <c r="F158" s="60">
        <v>187299</v>
      </c>
      <c r="G158" s="60">
        <v>171691</v>
      </c>
      <c r="H158" s="43">
        <f t="shared" si="65"/>
        <v>9.0907502431694098</v>
      </c>
      <c r="I158" s="60">
        <v>577882</v>
      </c>
      <c r="J158" s="60">
        <v>503339</v>
      </c>
      <c r="K158" s="43">
        <f t="shared" si="66"/>
        <v>14.809700817937824</v>
      </c>
      <c r="L158" s="60">
        <v>9929</v>
      </c>
      <c r="M158" s="60">
        <v>5074</v>
      </c>
      <c r="N158" s="43">
        <v>0</v>
      </c>
      <c r="O158" s="45">
        <v>128</v>
      </c>
      <c r="P158" s="49">
        <v>145</v>
      </c>
      <c r="Q158" s="45">
        <v>127</v>
      </c>
      <c r="R158" s="44">
        <f>O158*P158</f>
        <v>18560</v>
      </c>
    </row>
    <row r="159" spans="1:19" x14ac:dyDescent="0.25">
      <c r="A159" s="271">
        <v>6</v>
      </c>
      <c r="B159" s="276" t="s">
        <v>153</v>
      </c>
      <c r="C159" s="256">
        <v>0</v>
      </c>
      <c r="D159" s="60">
        <v>0</v>
      </c>
      <c r="E159" s="43">
        <v>0</v>
      </c>
      <c r="F159" s="60">
        <v>0</v>
      </c>
      <c r="G159" s="60">
        <v>0</v>
      </c>
      <c r="H159" s="43">
        <v>0</v>
      </c>
      <c r="I159" s="60">
        <v>151698</v>
      </c>
      <c r="J159" s="60">
        <v>1477</v>
      </c>
      <c r="K159" s="43">
        <v>0</v>
      </c>
      <c r="L159" s="60">
        <v>0</v>
      </c>
      <c r="M159" s="60">
        <v>0</v>
      </c>
      <c r="N159" s="43">
        <v>0</v>
      </c>
      <c r="O159" s="45">
        <v>201</v>
      </c>
      <c r="P159" s="46">
        <v>65</v>
      </c>
      <c r="Q159" s="45">
        <v>201</v>
      </c>
      <c r="R159" s="44">
        <f>O159*P159</f>
        <v>13065</v>
      </c>
    </row>
    <row r="160" spans="1:19" x14ac:dyDescent="0.25">
      <c r="A160" s="976" t="s">
        <v>154</v>
      </c>
      <c r="B160" s="977" t="s">
        <v>155</v>
      </c>
      <c r="C160" s="250">
        <f>SUM(C154:C159)</f>
        <v>4649181</v>
      </c>
      <c r="D160" s="87">
        <f>SUM(D154:D159)</f>
        <v>4688066</v>
      </c>
      <c r="E160" s="57">
        <f t="shared" si="64"/>
        <v>-0.8294465137649496</v>
      </c>
      <c r="F160" s="87">
        <f>SUM(F154:F159)</f>
        <v>1255393</v>
      </c>
      <c r="G160" s="87">
        <f>SUM(G154:G159)</f>
        <v>1238197</v>
      </c>
      <c r="H160" s="57">
        <f t="shared" si="65"/>
        <v>1.3887935441613877</v>
      </c>
      <c r="I160" s="87">
        <f>SUM(I154:I159)</f>
        <v>4843600</v>
      </c>
      <c r="J160" s="87">
        <f>SUM(J154:J159)</f>
        <v>3850606</v>
      </c>
      <c r="K160" s="57">
        <f t="shared" si="66"/>
        <v>25.787992850995394</v>
      </c>
      <c r="L160" s="87">
        <f>SUM(L154:L159)</f>
        <v>2129605</v>
      </c>
      <c r="M160" s="87">
        <f>SUM(M154:M159)</f>
        <v>1748160</v>
      </c>
      <c r="N160" s="57">
        <f t="shared" si="67"/>
        <v>21.819799103056937</v>
      </c>
      <c r="O160" s="56">
        <f>SUM(O154:O159)</f>
        <v>1282</v>
      </c>
      <c r="P160" s="58">
        <f>R160/O160</f>
        <v>103.6575663026521</v>
      </c>
      <c r="Q160" s="56">
        <f>SUM(Q154:Q159)</f>
        <v>1275</v>
      </c>
      <c r="R160" s="70">
        <f>SUM(R154:R159)</f>
        <v>132889</v>
      </c>
    </row>
    <row r="161" spans="1:20" ht="50.25" customHeight="1" x14ac:dyDescent="0.25">
      <c r="A161" s="251"/>
      <c r="B161" s="251"/>
      <c r="C161" s="25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45"/>
      <c r="R161" s="121"/>
    </row>
    <row r="162" spans="1:20" x14ac:dyDescent="0.25">
      <c r="A162" s="959" t="s">
        <v>242</v>
      </c>
      <c r="B162" s="960"/>
      <c r="C162" s="961"/>
      <c r="D162" s="117"/>
      <c r="E162" s="118"/>
      <c r="F162" s="117"/>
      <c r="G162" s="117"/>
      <c r="H162" s="118"/>
      <c r="I162" s="117"/>
      <c r="J162" s="117"/>
      <c r="K162" s="118"/>
      <c r="L162" s="117"/>
      <c r="M162" s="119"/>
      <c r="N162" s="120"/>
      <c r="O162" s="119"/>
      <c r="P162" s="117"/>
      <c r="R162" s="121"/>
    </row>
    <row r="163" spans="1:20" x14ac:dyDescent="0.25">
      <c r="A163" s="917" t="s">
        <v>157</v>
      </c>
      <c r="B163" s="918"/>
      <c r="C163" s="244">
        <v>3</v>
      </c>
      <c r="D163" s="37">
        <v>4</v>
      </c>
      <c r="E163" s="38">
        <v>5</v>
      </c>
      <c r="F163" s="37">
        <v>6</v>
      </c>
      <c r="G163" s="37">
        <v>7</v>
      </c>
      <c r="H163" s="37">
        <v>8</v>
      </c>
      <c r="I163" s="37">
        <v>9</v>
      </c>
      <c r="J163" s="37">
        <v>10</v>
      </c>
      <c r="K163" s="37">
        <v>11</v>
      </c>
      <c r="L163" s="37">
        <v>12</v>
      </c>
      <c r="M163" s="37">
        <v>13</v>
      </c>
      <c r="N163" s="37">
        <v>14</v>
      </c>
      <c r="O163" s="37">
        <v>15</v>
      </c>
      <c r="P163" s="38">
        <v>16</v>
      </c>
      <c r="Q163" s="119"/>
      <c r="R163" s="44"/>
    </row>
    <row r="164" spans="1:20" x14ac:dyDescent="0.25">
      <c r="A164" s="277">
        <v>1</v>
      </c>
      <c r="B164" s="274" t="s">
        <v>158</v>
      </c>
      <c r="C164" s="278">
        <v>6841865</v>
      </c>
      <c r="D164" s="134">
        <v>6994504</v>
      </c>
      <c r="E164" s="43">
        <f t="shared" ref="E164:E207" si="68">C164/D164*100-100</f>
        <v>-2.1822705369816049</v>
      </c>
      <c r="F164" s="60">
        <v>1634301</v>
      </c>
      <c r="G164" s="60">
        <v>1767091</v>
      </c>
      <c r="H164" s="43">
        <f>F164/G164*100-100</f>
        <v>-7.5146101700478312</v>
      </c>
      <c r="I164" s="134">
        <v>6831682</v>
      </c>
      <c r="J164" s="134">
        <v>6053319</v>
      </c>
      <c r="K164" s="43">
        <f t="shared" ref="K164:K207" si="69">I164/J164*100-100</f>
        <v>12.858450050294707</v>
      </c>
      <c r="L164" s="134">
        <v>6122483</v>
      </c>
      <c r="M164" s="134">
        <v>5293723</v>
      </c>
      <c r="N164" s="43">
        <f t="shared" ref="N164:N182" si="70">L164/M164*100-100</f>
        <v>15.655522587789349</v>
      </c>
      <c r="O164" s="42">
        <v>342</v>
      </c>
      <c r="P164" s="42">
        <v>190</v>
      </c>
      <c r="Q164" s="42">
        <v>342</v>
      </c>
      <c r="R164" s="190">
        <f>O164*P164</f>
        <v>64980</v>
      </c>
    </row>
    <row r="165" spans="1:20" x14ac:dyDescent="0.25">
      <c r="A165" s="277">
        <v>2</v>
      </c>
      <c r="B165" s="274" t="s">
        <v>159</v>
      </c>
      <c r="C165" s="256">
        <v>1105593</v>
      </c>
      <c r="D165" s="60">
        <v>1222192</v>
      </c>
      <c r="E165" s="43">
        <f t="shared" si="68"/>
        <v>-9.5401540838100658</v>
      </c>
      <c r="F165" s="60">
        <v>459777</v>
      </c>
      <c r="G165" s="60">
        <v>186690</v>
      </c>
      <c r="H165" s="54">
        <f t="shared" ref="H165:H207" si="71">F165/G165*100-100</f>
        <v>146.27832235256309</v>
      </c>
      <c r="I165" s="60">
        <v>453700</v>
      </c>
      <c r="J165" s="60">
        <v>1162478</v>
      </c>
      <c r="K165" s="43">
        <f t="shared" si="69"/>
        <v>-60.971304403180106</v>
      </c>
      <c r="L165" s="60">
        <v>370130</v>
      </c>
      <c r="M165" s="60">
        <v>940109</v>
      </c>
      <c r="N165" s="54">
        <f t="shared" si="70"/>
        <v>-60.629033441866845</v>
      </c>
      <c r="O165" s="42">
        <v>134</v>
      </c>
      <c r="P165" s="42">
        <v>126</v>
      </c>
      <c r="Q165" s="42">
        <v>120</v>
      </c>
      <c r="R165" s="190">
        <f t="shared" ref="R165:R181" si="72">O165*P165</f>
        <v>16884</v>
      </c>
    </row>
    <row r="166" spans="1:20" x14ac:dyDescent="0.25">
      <c r="A166" s="277">
        <v>3</v>
      </c>
      <c r="B166" s="274" t="s">
        <v>160</v>
      </c>
      <c r="C166" s="256">
        <v>152639</v>
      </c>
      <c r="D166" s="60">
        <v>107739</v>
      </c>
      <c r="E166" s="43">
        <f t="shared" si="68"/>
        <v>41.674788145425509</v>
      </c>
      <c r="F166" s="60">
        <v>76078</v>
      </c>
      <c r="G166" s="60">
        <v>101628</v>
      </c>
      <c r="H166" s="54">
        <f t="shared" si="71"/>
        <v>-25.140709253355382</v>
      </c>
      <c r="I166" s="60">
        <v>243198</v>
      </c>
      <c r="J166" s="60">
        <v>88605</v>
      </c>
      <c r="K166" s="43">
        <f t="shared" si="69"/>
        <v>174.47435246317929</v>
      </c>
      <c r="L166" s="60">
        <v>184641</v>
      </c>
      <c r="M166" s="60">
        <v>61244</v>
      </c>
      <c r="N166" s="54">
        <f t="shared" si="70"/>
        <v>201.48422702632092</v>
      </c>
      <c r="O166" s="42">
        <v>53</v>
      </c>
      <c r="P166" s="42">
        <v>146</v>
      </c>
      <c r="Q166" s="42">
        <v>53</v>
      </c>
      <c r="R166" s="190">
        <f t="shared" si="72"/>
        <v>7738</v>
      </c>
    </row>
    <row r="167" spans="1:20" x14ac:dyDescent="0.25">
      <c r="A167" s="277">
        <v>4</v>
      </c>
      <c r="B167" s="274" t="s">
        <v>161</v>
      </c>
      <c r="C167" s="256">
        <v>613951</v>
      </c>
      <c r="D167" s="60">
        <v>306835</v>
      </c>
      <c r="E167" s="43">
        <f t="shared" si="68"/>
        <v>100.09158016523537</v>
      </c>
      <c r="F167" s="60">
        <v>79652</v>
      </c>
      <c r="G167" s="60">
        <v>82264</v>
      </c>
      <c r="H167" s="43">
        <f t="shared" si="71"/>
        <v>-3.1751434406301655</v>
      </c>
      <c r="I167" s="60">
        <v>95871</v>
      </c>
      <c r="J167" s="60">
        <v>113790</v>
      </c>
      <c r="K167" s="43">
        <f t="shared" si="69"/>
        <v>-15.747429475349321</v>
      </c>
      <c r="L167" s="60">
        <v>55573</v>
      </c>
      <c r="M167" s="60">
        <v>61783</v>
      </c>
      <c r="N167" s="54">
        <f t="shared" si="70"/>
        <v>-10.051308612401471</v>
      </c>
      <c r="O167" s="125"/>
      <c r="P167" s="42">
        <v>127</v>
      </c>
      <c r="Q167" s="125">
        <v>222</v>
      </c>
      <c r="R167" s="190">
        <f t="shared" si="72"/>
        <v>0</v>
      </c>
    </row>
    <row r="168" spans="1:20" ht="40.5" x14ac:dyDescent="0.25">
      <c r="A168" s="7">
        <v>5</v>
      </c>
      <c r="B168" s="266" t="s">
        <v>162</v>
      </c>
      <c r="C168" s="247">
        <v>2091923</v>
      </c>
      <c r="D168" s="54">
        <v>3244948</v>
      </c>
      <c r="E168" s="43">
        <f t="shared" si="68"/>
        <v>-35.532926875869819</v>
      </c>
      <c r="F168" s="54">
        <v>584074</v>
      </c>
      <c r="G168" s="54">
        <v>1264357</v>
      </c>
      <c r="H168" s="43">
        <f t="shared" si="71"/>
        <v>-53.804661183510675</v>
      </c>
      <c r="I168" s="54">
        <v>2177673</v>
      </c>
      <c r="J168" s="54">
        <v>2644414</v>
      </c>
      <c r="K168" s="43">
        <f t="shared" si="69"/>
        <v>-17.650072946217961</v>
      </c>
      <c r="L168" s="54">
        <v>2096220</v>
      </c>
      <c r="M168" s="54">
        <v>2555836</v>
      </c>
      <c r="N168" s="54">
        <f t="shared" si="70"/>
        <v>-17.983000474208836</v>
      </c>
      <c r="O168" s="125">
        <v>289</v>
      </c>
      <c r="P168" s="42"/>
      <c r="Q168" s="125">
        <v>289</v>
      </c>
      <c r="R168" s="190">
        <f t="shared" si="72"/>
        <v>0</v>
      </c>
    </row>
    <row r="169" spans="1:20" s="126" customFormat="1" x14ac:dyDescent="0.2">
      <c r="A169" s="7">
        <v>6</v>
      </c>
      <c r="B169" s="266" t="s">
        <v>163</v>
      </c>
      <c r="C169" s="256">
        <v>2325784</v>
      </c>
      <c r="D169" s="60">
        <v>223443</v>
      </c>
      <c r="E169" s="43">
        <f t="shared" si="68"/>
        <v>940.88469990109343</v>
      </c>
      <c r="F169" s="60">
        <v>491257</v>
      </c>
      <c r="G169" s="60">
        <v>547701</v>
      </c>
      <c r="H169" s="43">
        <f t="shared" si="71"/>
        <v>-10.305622958512046</v>
      </c>
      <c r="I169" s="60">
        <v>2325784</v>
      </c>
      <c r="J169" s="60">
        <v>223443</v>
      </c>
      <c r="K169" s="43">
        <f t="shared" si="69"/>
        <v>940.88469990109343</v>
      </c>
      <c r="L169" s="60">
        <f>809064+971037</f>
        <v>1780101</v>
      </c>
      <c r="M169" s="60">
        <f>889966+515445</f>
        <v>1405411</v>
      </c>
      <c r="N169" s="43">
        <f t="shared" si="70"/>
        <v>26.660528485973131</v>
      </c>
      <c r="O169" s="125">
        <v>253</v>
      </c>
      <c r="P169" s="42">
        <v>100</v>
      </c>
      <c r="Q169" s="125">
        <v>256</v>
      </c>
      <c r="R169" s="190">
        <f t="shared" si="72"/>
        <v>25300</v>
      </c>
    </row>
    <row r="170" spans="1:20" s="126" customFormat="1" x14ac:dyDescent="0.25">
      <c r="A170" s="7">
        <v>7</v>
      </c>
      <c r="B170" s="274" t="s">
        <v>233</v>
      </c>
      <c r="C170" s="256">
        <v>1180044</v>
      </c>
      <c r="D170" s="60">
        <v>0</v>
      </c>
      <c r="E170" s="43">
        <v>0</v>
      </c>
      <c r="F170" s="60">
        <v>237891</v>
      </c>
      <c r="G170" s="60">
        <v>0</v>
      </c>
      <c r="H170" s="43">
        <v>0</v>
      </c>
      <c r="I170" s="60">
        <v>1709456</v>
      </c>
      <c r="J170" s="60">
        <v>0</v>
      </c>
      <c r="K170" s="43">
        <v>1</v>
      </c>
      <c r="L170" s="60">
        <v>982000</v>
      </c>
      <c r="M170" s="60">
        <v>0</v>
      </c>
      <c r="N170" s="43" t="e">
        <f t="shared" si="70"/>
        <v>#DIV/0!</v>
      </c>
      <c r="O170" s="125"/>
      <c r="P170" s="42">
        <v>93</v>
      </c>
      <c r="Q170" s="125">
        <v>210</v>
      </c>
      <c r="R170" s="190">
        <f t="shared" si="72"/>
        <v>0</v>
      </c>
      <c r="T170" s="127"/>
    </row>
    <row r="171" spans="1:20" s="126" customFormat="1" x14ac:dyDescent="0.25">
      <c r="A171" s="7">
        <v>8</v>
      </c>
      <c r="B171" s="274" t="s">
        <v>165</v>
      </c>
      <c r="C171" s="256">
        <v>4136543</v>
      </c>
      <c r="D171" s="60">
        <v>2825247</v>
      </c>
      <c r="E171" s="43">
        <f t="shared" si="68"/>
        <v>46.413499421466497</v>
      </c>
      <c r="F171" s="60">
        <v>985818</v>
      </c>
      <c r="G171" s="60">
        <v>754300</v>
      </c>
      <c r="H171" s="43">
        <f t="shared" si="71"/>
        <v>30.693092933845946</v>
      </c>
      <c r="I171" s="60">
        <v>29136368</v>
      </c>
      <c r="J171" s="60">
        <v>34016000</v>
      </c>
      <c r="K171" s="43">
        <f t="shared" si="69"/>
        <v>-14.345108184383818</v>
      </c>
      <c r="L171" s="60">
        <v>2913368</v>
      </c>
      <c r="M171" s="60">
        <v>24368000</v>
      </c>
      <c r="N171" s="43">
        <f t="shared" si="70"/>
        <v>-88.044287590282337</v>
      </c>
      <c r="O171" s="125">
        <v>11</v>
      </c>
      <c r="P171" s="42">
        <v>80</v>
      </c>
      <c r="Q171" s="125"/>
      <c r="R171" s="190">
        <f t="shared" si="72"/>
        <v>880</v>
      </c>
      <c r="T171" s="127"/>
    </row>
    <row r="172" spans="1:20" s="130" customFormat="1" x14ac:dyDescent="0.25">
      <c r="A172" s="256">
        <v>9</v>
      </c>
      <c r="B172" s="279" t="s">
        <v>166</v>
      </c>
      <c r="C172" s="256">
        <v>748115</v>
      </c>
      <c r="D172" s="60">
        <v>272924</v>
      </c>
      <c r="E172" s="43">
        <f t="shared" si="68"/>
        <v>174.11110785420118</v>
      </c>
      <c r="F172" s="60">
        <v>263052</v>
      </c>
      <c r="G172" s="60">
        <v>128988</v>
      </c>
      <c r="H172" s="43">
        <f t="shared" si="71"/>
        <v>103.9352497906782</v>
      </c>
      <c r="I172" s="60">
        <v>739809</v>
      </c>
      <c r="J172" s="60">
        <v>241052</v>
      </c>
      <c r="K172" s="54">
        <f t="shared" si="69"/>
        <v>206.90846788244863</v>
      </c>
      <c r="L172" s="60">
        <v>0</v>
      </c>
      <c r="M172" s="60">
        <v>5391</v>
      </c>
      <c r="N172" s="43">
        <f t="shared" si="70"/>
        <v>-100</v>
      </c>
      <c r="O172" s="54">
        <v>246</v>
      </c>
      <c r="P172" s="54">
        <v>75</v>
      </c>
      <c r="Q172" s="54">
        <v>252</v>
      </c>
      <c r="R172" s="190">
        <f t="shared" si="72"/>
        <v>18450</v>
      </c>
      <c r="T172" s="39"/>
    </row>
    <row r="173" spans="1:20" s="130" customFormat="1" ht="27" x14ac:dyDescent="0.25">
      <c r="A173" s="247">
        <v>10</v>
      </c>
      <c r="B173" s="280" t="s">
        <v>234</v>
      </c>
      <c r="C173" s="247">
        <v>2194064</v>
      </c>
      <c r="D173" s="54">
        <v>4668797</v>
      </c>
      <c r="E173" s="43">
        <f t="shared" si="68"/>
        <v>-53.005795711400609</v>
      </c>
      <c r="F173" s="54">
        <v>982970</v>
      </c>
      <c r="G173" s="54">
        <v>1700857</v>
      </c>
      <c r="H173" s="43">
        <f t="shared" si="71"/>
        <v>-42.207369578982835</v>
      </c>
      <c r="I173" s="54">
        <v>2194064</v>
      </c>
      <c r="J173" s="54">
        <v>4668797</v>
      </c>
      <c r="K173" s="54">
        <f t="shared" si="69"/>
        <v>-53.005795711400609</v>
      </c>
      <c r="L173" s="54">
        <v>2194064</v>
      </c>
      <c r="M173" s="54">
        <v>4668665</v>
      </c>
      <c r="N173" s="129">
        <f t="shared" si="70"/>
        <v>-53.004467015731478</v>
      </c>
      <c r="O173" s="54">
        <v>82</v>
      </c>
      <c r="P173" s="54">
        <v>235</v>
      </c>
      <c r="Q173" s="54">
        <v>82</v>
      </c>
      <c r="R173" s="190">
        <f t="shared" si="72"/>
        <v>19270</v>
      </c>
      <c r="T173" s="39"/>
    </row>
    <row r="174" spans="1:20" s="130" customFormat="1" ht="27" x14ac:dyDescent="0.25">
      <c r="A174" s="247">
        <v>11</v>
      </c>
      <c r="B174" s="280" t="s">
        <v>218</v>
      </c>
      <c r="C174" s="247">
        <v>292697</v>
      </c>
      <c r="D174" s="54">
        <v>343508</v>
      </c>
      <c r="E174" s="43">
        <f t="shared" si="68"/>
        <v>-14.791795242032208</v>
      </c>
      <c r="F174" s="54">
        <v>68858</v>
      </c>
      <c r="G174" s="54">
        <v>124122</v>
      </c>
      <c r="H174" s="43">
        <f t="shared" si="71"/>
        <v>-44.523936127358567</v>
      </c>
      <c r="I174" s="54">
        <v>296305</v>
      </c>
      <c r="J174" s="54">
        <v>367979</v>
      </c>
      <c r="K174" s="54">
        <f t="shared" si="69"/>
        <v>-19.477741936360502</v>
      </c>
      <c r="L174" s="54">
        <v>183432</v>
      </c>
      <c r="M174" s="54">
        <v>237030</v>
      </c>
      <c r="N174" s="129">
        <f t="shared" si="70"/>
        <v>-22.612327553474245</v>
      </c>
      <c r="O174" s="54">
        <v>209</v>
      </c>
      <c r="P174" s="54"/>
      <c r="Q174" s="54">
        <v>209</v>
      </c>
      <c r="R174" s="190">
        <f t="shared" si="72"/>
        <v>0</v>
      </c>
      <c r="T174" s="39"/>
    </row>
    <row r="175" spans="1:20" s="130" customFormat="1" x14ac:dyDescent="0.25">
      <c r="A175" s="256">
        <v>12</v>
      </c>
      <c r="B175" s="279" t="s">
        <v>219</v>
      </c>
      <c r="C175" s="256"/>
      <c r="D175" s="60"/>
      <c r="E175" s="43"/>
      <c r="F175" s="60"/>
      <c r="G175" s="60"/>
      <c r="H175" s="43"/>
      <c r="I175" s="60"/>
      <c r="J175" s="60"/>
      <c r="K175" s="54"/>
      <c r="L175" s="60"/>
      <c r="M175" s="60"/>
      <c r="N175" s="129"/>
      <c r="O175" s="54"/>
      <c r="P175" s="54"/>
      <c r="Q175" s="54"/>
      <c r="R175" s="190">
        <f t="shared" si="72"/>
        <v>0</v>
      </c>
      <c r="T175" s="39"/>
    </row>
    <row r="176" spans="1:20" s="130" customFormat="1" x14ac:dyDescent="0.25">
      <c r="A176" s="256">
        <v>13</v>
      </c>
      <c r="B176" s="279" t="s">
        <v>220</v>
      </c>
      <c r="C176" s="256">
        <v>1014942</v>
      </c>
      <c r="D176" s="60">
        <v>780977</v>
      </c>
      <c r="E176" s="43">
        <f>C176/D176*100-100</f>
        <v>29.957988519508262</v>
      </c>
      <c r="F176" s="60">
        <v>377402</v>
      </c>
      <c r="G176" s="60">
        <v>352200</v>
      </c>
      <c r="H176" s="43">
        <f t="shared" si="71"/>
        <v>7.1555934128336247</v>
      </c>
      <c r="I176" s="60">
        <v>1065756</v>
      </c>
      <c r="J176" s="60">
        <v>807195</v>
      </c>
      <c r="K176" s="54">
        <f t="shared" si="69"/>
        <v>32.032036868414707</v>
      </c>
      <c r="L176" s="60">
        <v>132486</v>
      </c>
      <c r="M176" s="60">
        <v>186908</v>
      </c>
      <c r="N176" s="129">
        <f t="shared" si="70"/>
        <v>-29.116998737346705</v>
      </c>
      <c r="O176" s="54">
        <v>610</v>
      </c>
      <c r="P176" s="54"/>
      <c r="Q176" s="54">
        <v>610</v>
      </c>
      <c r="R176" s="190">
        <f t="shared" si="72"/>
        <v>0</v>
      </c>
      <c r="S176" s="130">
        <f>288494-233162</f>
        <v>55332</v>
      </c>
      <c r="T176" s="39"/>
    </row>
    <row r="177" spans="1:20" s="130" customFormat="1" x14ac:dyDescent="0.25">
      <c r="A177" s="256">
        <v>14</v>
      </c>
      <c r="B177" s="279" t="s">
        <v>236</v>
      </c>
      <c r="C177" s="256"/>
      <c r="D177" s="60"/>
      <c r="E177" s="43"/>
      <c r="F177" s="60"/>
      <c r="G177" s="60"/>
      <c r="H177" s="43"/>
      <c r="I177" s="60"/>
      <c r="J177" s="60"/>
      <c r="K177" s="54"/>
      <c r="L177" s="60"/>
      <c r="M177" s="60"/>
      <c r="N177" s="129"/>
      <c r="O177" s="54"/>
      <c r="P177" s="54"/>
      <c r="Q177" s="54"/>
      <c r="R177" s="190">
        <f t="shared" si="72"/>
        <v>0</v>
      </c>
      <c r="T177" s="39"/>
    </row>
    <row r="178" spans="1:20" s="130" customFormat="1" x14ac:dyDescent="0.25">
      <c r="A178" s="256">
        <v>15</v>
      </c>
      <c r="B178" s="279" t="s">
        <v>237</v>
      </c>
      <c r="C178" s="256">
        <v>598057</v>
      </c>
      <c r="D178" s="60">
        <v>98047</v>
      </c>
      <c r="E178" s="43">
        <f t="shared" si="68"/>
        <v>509.96970840515269</v>
      </c>
      <c r="F178" s="60">
        <v>122760</v>
      </c>
      <c r="G178" s="60">
        <v>9552</v>
      </c>
      <c r="H178" s="43">
        <f t="shared" si="71"/>
        <v>1185.175879396985</v>
      </c>
      <c r="I178" s="60">
        <v>598057</v>
      </c>
      <c r="J178" s="60">
        <v>98047</v>
      </c>
      <c r="K178" s="54">
        <f t="shared" si="69"/>
        <v>509.96970840515269</v>
      </c>
      <c r="L178" s="60">
        <v>506583</v>
      </c>
      <c r="M178" s="60">
        <v>40015</v>
      </c>
      <c r="N178" s="129">
        <f t="shared" si="70"/>
        <v>1165.9827564663251</v>
      </c>
      <c r="O178" s="54">
        <v>33</v>
      </c>
      <c r="P178" s="54">
        <v>110</v>
      </c>
      <c r="Q178" s="54">
        <v>33</v>
      </c>
      <c r="R178" s="190">
        <f t="shared" si="72"/>
        <v>3630</v>
      </c>
      <c r="T178" s="39"/>
    </row>
    <row r="179" spans="1:20" s="130" customFormat="1" x14ac:dyDescent="0.25">
      <c r="A179" s="256">
        <v>16</v>
      </c>
      <c r="B179" s="279" t="s">
        <v>229</v>
      </c>
      <c r="C179" s="256">
        <v>1960217</v>
      </c>
      <c r="D179" s="60">
        <v>564081</v>
      </c>
      <c r="E179" s="43">
        <f t="shared" si="68"/>
        <v>247.50629785438616</v>
      </c>
      <c r="F179" s="60">
        <v>453931</v>
      </c>
      <c r="G179" s="60">
        <v>189861</v>
      </c>
      <c r="H179" s="43">
        <f t="shared" si="71"/>
        <v>139.08596288863956</v>
      </c>
      <c r="I179" s="60">
        <v>1884589</v>
      </c>
      <c r="J179" s="60">
        <v>647517</v>
      </c>
      <c r="K179" s="54">
        <f t="shared" si="69"/>
        <v>191.04857478645346</v>
      </c>
      <c r="L179" s="60">
        <f>660131+2084</f>
        <v>662215</v>
      </c>
      <c r="M179" s="60">
        <f>246553+18775</f>
        <v>265328</v>
      </c>
      <c r="N179" s="129">
        <f t="shared" si="70"/>
        <v>149.58353434239885</v>
      </c>
      <c r="O179" s="54">
        <v>373</v>
      </c>
      <c r="P179" s="54">
        <v>115</v>
      </c>
      <c r="Q179" s="54">
        <v>373</v>
      </c>
      <c r="R179" s="190">
        <f t="shared" si="72"/>
        <v>42895</v>
      </c>
      <c r="T179" s="39"/>
    </row>
    <row r="180" spans="1:20" ht="27" customHeight="1" x14ac:dyDescent="0.25">
      <c r="A180" s="53">
        <v>17</v>
      </c>
      <c r="B180" s="266" t="s">
        <v>230</v>
      </c>
      <c r="C180" s="247">
        <v>431304</v>
      </c>
      <c r="D180" s="54">
        <v>388113</v>
      </c>
      <c r="E180" s="43">
        <f t="shared" si="68"/>
        <v>11.128460010357813</v>
      </c>
      <c r="F180" s="54">
        <v>115568</v>
      </c>
      <c r="G180" s="54">
        <v>143849</v>
      </c>
      <c r="H180" s="43">
        <f t="shared" si="71"/>
        <v>-19.660199236699597</v>
      </c>
      <c r="I180" s="54">
        <v>387465</v>
      </c>
      <c r="J180" s="54">
        <v>375909</v>
      </c>
      <c r="K180" s="43">
        <f t="shared" si="69"/>
        <v>3.0741482646065919</v>
      </c>
      <c r="L180" s="54"/>
      <c r="M180" s="54"/>
      <c r="N180" s="129" t="e">
        <f t="shared" si="70"/>
        <v>#DIV/0!</v>
      </c>
      <c r="O180" s="42">
        <v>48</v>
      </c>
      <c r="P180" s="42">
        <v>85</v>
      </c>
      <c r="Q180" s="42">
        <v>48</v>
      </c>
      <c r="R180" s="190">
        <f t="shared" si="72"/>
        <v>4080</v>
      </c>
      <c r="T180" s="73"/>
    </row>
    <row r="181" spans="1:20" ht="27" x14ac:dyDescent="0.25">
      <c r="A181" s="53">
        <v>18</v>
      </c>
      <c r="B181" s="266" t="s">
        <v>239</v>
      </c>
      <c r="C181" s="247">
        <v>772846</v>
      </c>
      <c r="D181" s="54">
        <v>158196</v>
      </c>
      <c r="E181" s="43">
        <f t="shared" si="68"/>
        <v>388.53700472831167</v>
      </c>
      <c r="F181" s="54">
        <v>272454</v>
      </c>
      <c r="G181" s="54">
        <v>81066</v>
      </c>
      <c r="H181" s="43">
        <f t="shared" si="71"/>
        <v>236.08911257493889</v>
      </c>
      <c r="I181" s="54">
        <v>866655</v>
      </c>
      <c r="J181" s="54">
        <v>260953</v>
      </c>
      <c r="K181" s="43">
        <f t="shared" si="69"/>
        <v>232.11152966242963</v>
      </c>
      <c r="L181" s="54">
        <v>48912</v>
      </c>
      <c r="M181" s="54">
        <v>82035</v>
      </c>
      <c r="N181" s="43">
        <f t="shared" si="70"/>
        <v>-40.376668495154512</v>
      </c>
      <c r="O181" s="42">
        <v>318</v>
      </c>
      <c r="P181" s="42"/>
      <c r="Q181" s="42">
        <v>318</v>
      </c>
      <c r="R181" s="190">
        <f t="shared" si="72"/>
        <v>0</v>
      </c>
      <c r="T181" s="131"/>
    </row>
    <row r="182" spans="1:20" x14ac:dyDescent="0.25">
      <c r="A182" s="976" t="s">
        <v>169</v>
      </c>
      <c r="B182" s="977" t="s">
        <v>119</v>
      </c>
      <c r="C182" s="254">
        <f>SUM(C164:C181)</f>
        <v>26460584</v>
      </c>
      <c r="D182" s="68">
        <f>SUM(D164:D181)</f>
        <v>22199551</v>
      </c>
      <c r="E182" s="57">
        <f t="shared" si="68"/>
        <v>19.194230549978244</v>
      </c>
      <c r="F182" s="68">
        <f>SUM(F164:F181)</f>
        <v>7205843</v>
      </c>
      <c r="G182" s="68">
        <f>SUM(G164:G181)</f>
        <v>7434526</v>
      </c>
      <c r="H182" s="57">
        <f t="shared" si="71"/>
        <v>-3.0759593819431217</v>
      </c>
      <c r="I182" s="68">
        <f>SUM(I164:I181)</f>
        <v>51006432</v>
      </c>
      <c r="J182" s="68">
        <f>SUM(J164:J181)</f>
        <v>51769498</v>
      </c>
      <c r="K182" s="57">
        <f t="shared" si="69"/>
        <v>-1.4739683201100462</v>
      </c>
      <c r="L182" s="68">
        <f>SUM(L164:L181)</f>
        <v>18232208</v>
      </c>
      <c r="M182" s="68">
        <f>SUM(M164:M181)</f>
        <v>40171478</v>
      </c>
      <c r="N182" s="57">
        <f t="shared" si="70"/>
        <v>-54.614047309884889</v>
      </c>
      <c r="O182" s="67">
        <f>SUM(O164:O181)</f>
        <v>3001</v>
      </c>
      <c r="P182" s="68">
        <f>R181/O182</f>
        <v>0</v>
      </c>
      <c r="Q182" s="67">
        <f>SUM(Q166:Q181)</f>
        <v>2955</v>
      </c>
      <c r="R182" s="70">
        <f>SUM(R164:R181)</f>
        <v>204107</v>
      </c>
    </row>
    <row r="183" spans="1:20" ht="14.25" customHeight="1" x14ac:dyDescent="0.25">
      <c r="A183" s="251"/>
      <c r="B183" s="251"/>
      <c r="C183" s="25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R183" s="44"/>
    </row>
    <row r="184" spans="1:20" ht="14.25" customHeight="1" x14ac:dyDescent="0.25">
      <c r="A184" s="974" t="s">
        <v>224</v>
      </c>
      <c r="B184" s="975"/>
      <c r="C184" s="244">
        <v>3</v>
      </c>
      <c r="D184" s="37">
        <v>4</v>
      </c>
      <c r="E184" s="38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38">
        <v>16</v>
      </c>
      <c r="Q184" s="37">
        <v>15</v>
      </c>
    </row>
    <row r="185" spans="1:20" ht="14.25" customHeight="1" x14ac:dyDescent="0.25">
      <c r="A185" s="271">
        <v>1</v>
      </c>
      <c r="B185" s="281" t="s">
        <v>225</v>
      </c>
      <c r="C185" s="282">
        <v>9342634</v>
      </c>
      <c r="D185" s="62">
        <v>3461027</v>
      </c>
      <c r="E185" s="151">
        <f t="shared" ref="E185:E188" si="73">C185/D185*100-100</f>
        <v>169.93820042432492</v>
      </c>
      <c r="F185" s="62">
        <v>2413176</v>
      </c>
      <c r="G185" s="62">
        <v>600184</v>
      </c>
      <c r="H185" s="151">
        <f t="shared" ref="H185:H188" si="74">F185/G185*100-100</f>
        <v>302.07269770603682</v>
      </c>
      <c r="I185" s="62">
        <v>7263070</v>
      </c>
      <c r="J185" s="62">
        <v>3283381</v>
      </c>
      <c r="K185" s="151">
        <f t="shared" ref="K185:K188" si="75">I185/J185*100-100</f>
        <v>121.20704237491782</v>
      </c>
      <c r="L185" s="62">
        <v>4105130</v>
      </c>
      <c r="M185" s="62">
        <v>1487367</v>
      </c>
      <c r="N185" s="151">
        <f t="shared" ref="N185:N188" si="76">L185/M185*100-100</f>
        <v>175.99980367992566</v>
      </c>
      <c r="O185" s="34">
        <v>130</v>
      </c>
      <c r="P185" s="100"/>
      <c r="Q185" s="34">
        <v>789</v>
      </c>
      <c r="R185" s="72">
        <f>O185*P185</f>
        <v>0</v>
      </c>
    </row>
    <row r="186" spans="1:20" ht="14.25" customHeight="1" x14ac:dyDescent="0.25">
      <c r="A186" s="271">
        <v>2</v>
      </c>
      <c r="B186" s="281" t="s">
        <v>226</v>
      </c>
      <c r="C186" s="282">
        <v>731</v>
      </c>
      <c r="D186" s="62">
        <v>0</v>
      </c>
      <c r="E186" s="151">
        <v>0</v>
      </c>
      <c r="F186" s="62">
        <v>0</v>
      </c>
      <c r="G186" s="62">
        <v>0</v>
      </c>
      <c r="H186" s="151">
        <v>0</v>
      </c>
      <c r="I186" s="62">
        <v>1059212</v>
      </c>
      <c r="J186" s="62">
        <v>713260</v>
      </c>
      <c r="K186" s="151">
        <f t="shared" si="75"/>
        <v>48.502930207778348</v>
      </c>
      <c r="L186" s="62">
        <v>0</v>
      </c>
      <c r="M186" s="62">
        <v>0</v>
      </c>
      <c r="N186" s="151">
        <v>0</v>
      </c>
      <c r="O186" s="34">
        <v>130</v>
      </c>
      <c r="P186" s="100"/>
      <c r="Q186" s="34">
        <v>130</v>
      </c>
      <c r="R186" s="72">
        <f>O186*P186</f>
        <v>0</v>
      </c>
    </row>
    <row r="187" spans="1:20" ht="14.25" customHeight="1" x14ac:dyDescent="0.25">
      <c r="A187" s="271">
        <v>3</v>
      </c>
      <c r="B187" s="283" t="s">
        <v>244</v>
      </c>
      <c r="C187" s="282">
        <v>99135</v>
      </c>
      <c r="D187" s="62">
        <v>1678</v>
      </c>
      <c r="E187" s="151">
        <f t="shared" si="73"/>
        <v>5807.9261025029791</v>
      </c>
      <c r="F187" s="62">
        <v>0</v>
      </c>
      <c r="G187" s="62">
        <v>0</v>
      </c>
      <c r="H187" s="151">
        <v>0</v>
      </c>
      <c r="I187" s="62">
        <v>99135</v>
      </c>
      <c r="J187" s="62">
        <v>0</v>
      </c>
      <c r="K187" s="151">
        <v>0</v>
      </c>
      <c r="L187" s="62">
        <v>99135</v>
      </c>
      <c r="M187" s="62">
        <v>0</v>
      </c>
      <c r="N187" s="151">
        <v>0</v>
      </c>
      <c r="O187" s="34">
        <v>82</v>
      </c>
      <c r="P187" s="100"/>
      <c r="Q187" s="34">
        <v>81</v>
      </c>
      <c r="R187" s="72">
        <f>O187*P187</f>
        <v>0</v>
      </c>
    </row>
    <row r="188" spans="1:20" ht="14.25" customHeight="1" x14ac:dyDescent="0.25">
      <c r="A188" s="993" t="s">
        <v>202</v>
      </c>
      <c r="B188" s="993" t="s">
        <v>155</v>
      </c>
      <c r="C188" s="250">
        <f>SUM(C185:C187)</f>
        <v>9442500</v>
      </c>
      <c r="D188" s="87">
        <f>SUM(D185:D187)</f>
        <v>3462705</v>
      </c>
      <c r="E188" s="57">
        <f t="shared" si="73"/>
        <v>172.69143631929376</v>
      </c>
      <c r="F188" s="87">
        <f>SUM(F185:F187)</f>
        <v>2413176</v>
      </c>
      <c r="G188" s="87">
        <f>SUM(G185:G187)</f>
        <v>600184</v>
      </c>
      <c r="H188" s="57">
        <f t="shared" si="74"/>
        <v>302.07269770603682</v>
      </c>
      <c r="I188" s="87">
        <f>SUM(I185:I187)</f>
        <v>8421417</v>
      </c>
      <c r="J188" s="87">
        <f>SUM(J185:J187)</f>
        <v>3996641</v>
      </c>
      <c r="K188" s="57">
        <f t="shared" si="75"/>
        <v>110.71237071330651</v>
      </c>
      <c r="L188" s="87">
        <f>SUM(L185:L187)</f>
        <v>4204265</v>
      </c>
      <c r="M188" s="87">
        <f>SUM(M185:M187)</f>
        <v>1487367</v>
      </c>
      <c r="N188" s="168">
        <f t="shared" si="76"/>
        <v>182.66493743642286</v>
      </c>
      <c r="O188" s="87">
        <f>SUM(O185:O187)</f>
        <v>342</v>
      </c>
      <c r="P188" s="87"/>
      <c r="Q188" s="87">
        <f>SUM(Q185:Q187)</f>
        <v>1000</v>
      </c>
      <c r="R188" s="188"/>
    </row>
    <row r="189" spans="1:20" ht="26.25" customHeight="1" x14ac:dyDescent="0.25">
      <c r="A189" s="251"/>
      <c r="B189" s="251"/>
      <c r="C189" s="25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207">
        <f>SUM(O185:O187)</f>
        <v>342</v>
      </c>
      <c r="P189" s="71">
        <f>SUM(P185:P187)</f>
        <v>0</v>
      </c>
      <c r="Q189" s="197">
        <f>SUM(Q185:Q187)</f>
        <v>1000</v>
      </c>
      <c r="R189" s="44"/>
    </row>
    <row r="190" spans="1:20" x14ac:dyDescent="0.25">
      <c r="A190" s="962" t="s">
        <v>170</v>
      </c>
      <c r="B190" s="963"/>
      <c r="C190" s="242">
        <v>3</v>
      </c>
      <c r="D190" s="32">
        <v>4</v>
      </c>
      <c r="E190" s="32">
        <v>5</v>
      </c>
      <c r="F190" s="32">
        <v>6</v>
      </c>
      <c r="G190" s="32">
        <v>7</v>
      </c>
      <c r="H190" s="32">
        <v>8</v>
      </c>
      <c r="I190" s="32">
        <v>9</v>
      </c>
      <c r="J190" s="32">
        <v>10</v>
      </c>
      <c r="K190" s="32">
        <v>11</v>
      </c>
      <c r="L190" s="32">
        <v>12</v>
      </c>
      <c r="M190" s="32">
        <v>13</v>
      </c>
      <c r="N190" s="32">
        <v>14</v>
      </c>
      <c r="O190" s="32">
        <v>15</v>
      </c>
      <c r="P190" s="32">
        <v>16</v>
      </c>
      <c r="Q190" s="32">
        <v>17</v>
      </c>
    </row>
    <row r="191" spans="1:20" x14ac:dyDescent="0.25">
      <c r="A191" s="284">
        <v>1</v>
      </c>
      <c r="B191" s="132" t="s">
        <v>171</v>
      </c>
      <c r="C191" s="256">
        <v>4814</v>
      </c>
      <c r="D191" s="60">
        <v>14216</v>
      </c>
      <c r="E191" s="43">
        <f t="shared" si="68"/>
        <v>-66.136747326955543</v>
      </c>
      <c r="F191" s="60">
        <v>90</v>
      </c>
      <c r="G191" s="60">
        <v>43</v>
      </c>
      <c r="H191" s="43">
        <f t="shared" si="71"/>
        <v>109.30232558139537</v>
      </c>
      <c r="I191" s="60">
        <v>24792</v>
      </c>
      <c r="J191" s="60">
        <v>21064</v>
      </c>
      <c r="K191" s="43">
        <f t="shared" si="69"/>
        <v>17.698442840865923</v>
      </c>
      <c r="L191" s="60">
        <v>23902</v>
      </c>
      <c r="M191" s="60">
        <v>18417</v>
      </c>
      <c r="N191" s="43">
        <f t="shared" ref="N191:N195" si="77">L191/M191*100-100</f>
        <v>29.782266384318859</v>
      </c>
      <c r="O191" s="45">
        <v>18</v>
      </c>
      <c r="P191" s="45">
        <v>103</v>
      </c>
      <c r="Q191" s="45">
        <v>18</v>
      </c>
      <c r="R191" s="44">
        <f t="shared" ref="R191:R205" si="78">O191*P191</f>
        <v>1854</v>
      </c>
    </row>
    <row r="192" spans="1:20" x14ac:dyDescent="0.25">
      <c r="A192" s="284">
        <v>2</v>
      </c>
      <c r="B192" s="132" t="s">
        <v>172</v>
      </c>
      <c r="C192" s="256">
        <v>479255</v>
      </c>
      <c r="D192" s="60">
        <v>417424</v>
      </c>
      <c r="E192" s="54">
        <f t="shared" si="68"/>
        <v>14.812516769519718</v>
      </c>
      <c r="F192" s="60">
        <v>170940</v>
      </c>
      <c r="G192" s="60">
        <v>115760</v>
      </c>
      <c r="H192" s="43">
        <f t="shared" si="71"/>
        <v>47.667588113337928</v>
      </c>
      <c r="I192" s="60">
        <v>461636</v>
      </c>
      <c r="J192" s="60">
        <v>331488</v>
      </c>
      <c r="K192" s="43">
        <f t="shared" si="69"/>
        <v>39.26175306496765</v>
      </c>
      <c r="L192" s="60">
        <v>304549</v>
      </c>
      <c r="M192" s="60">
        <v>135288</v>
      </c>
      <c r="N192" s="43">
        <f t="shared" si="77"/>
        <v>125.11161374253444</v>
      </c>
      <c r="O192" s="45">
        <v>113</v>
      </c>
      <c r="P192" s="45">
        <v>71</v>
      </c>
      <c r="Q192" s="45">
        <v>113</v>
      </c>
      <c r="R192" s="44">
        <f t="shared" si="78"/>
        <v>8023</v>
      </c>
    </row>
    <row r="193" spans="1:18" x14ac:dyDescent="0.25">
      <c r="A193" s="284">
        <v>3</v>
      </c>
      <c r="B193" s="132" t="s">
        <v>173</v>
      </c>
      <c r="C193" s="256">
        <v>85679</v>
      </c>
      <c r="D193" s="60">
        <v>43942</v>
      </c>
      <c r="E193" s="54">
        <f t="shared" si="68"/>
        <v>94.982021755951024</v>
      </c>
      <c r="F193" s="60">
        <v>42533</v>
      </c>
      <c r="G193" s="60">
        <v>9192</v>
      </c>
      <c r="H193" s="43">
        <f t="shared" si="71"/>
        <v>362.71758050478678</v>
      </c>
      <c r="I193" s="60">
        <v>296890</v>
      </c>
      <c r="J193" s="60">
        <v>114481</v>
      </c>
      <c r="K193" s="43">
        <f t="shared" si="69"/>
        <v>159.33561027594101</v>
      </c>
      <c r="L193" s="60">
        <f>236104+15679</f>
        <v>251783</v>
      </c>
      <c r="M193" s="60">
        <f>73741+2041</f>
        <v>75782</v>
      </c>
      <c r="N193" s="43">
        <f t="shared" si="77"/>
        <v>232.24644374653616</v>
      </c>
      <c r="O193" s="45">
        <v>85</v>
      </c>
      <c r="P193" s="45">
        <v>75</v>
      </c>
      <c r="Q193" s="45">
        <v>40</v>
      </c>
      <c r="R193" s="44">
        <f t="shared" si="78"/>
        <v>6375</v>
      </c>
    </row>
    <row r="194" spans="1:18" x14ac:dyDescent="0.25">
      <c r="A194" s="284">
        <v>4</v>
      </c>
      <c r="B194" s="132" t="s">
        <v>174</v>
      </c>
      <c r="C194" s="256">
        <v>870359</v>
      </c>
      <c r="D194" s="60">
        <v>1151821</v>
      </c>
      <c r="E194" s="54">
        <f t="shared" si="68"/>
        <v>-24.436262231718302</v>
      </c>
      <c r="F194" s="60">
        <v>286281</v>
      </c>
      <c r="G194" s="60">
        <v>353837</v>
      </c>
      <c r="H194" s="43">
        <f t="shared" si="71"/>
        <v>-19.092406955745162</v>
      </c>
      <c r="I194" s="60">
        <v>964650</v>
      </c>
      <c r="J194" s="60">
        <v>950190</v>
      </c>
      <c r="K194" s="43">
        <f t="shared" si="69"/>
        <v>1.5218009029772901</v>
      </c>
      <c r="L194" s="60">
        <f>408900+48500</f>
        <v>457400</v>
      </c>
      <c r="M194" s="60">
        <f>623500+51000</f>
        <v>674500</v>
      </c>
      <c r="N194" s="43">
        <f t="shared" si="77"/>
        <v>-32.186805040770935</v>
      </c>
      <c r="O194" s="45">
        <v>230</v>
      </c>
      <c r="P194" s="45">
        <v>150</v>
      </c>
      <c r="Q194" s="45">
        <v>190</v>
      </c>
      <c r="R194" s="44">
        <f t="shared" si="78"/>
        <v>34500</v>
      </c>
    </row>
    <row r="195" spans="1:18" x14ac:dyDescent="0.25">
      <c r="A195" s="284">
        <v>5</v>
      </c>
      <c r="B195" s="132" t="s">
        <v>175</v>
      </c>
      <c r="C195" s="256">
        <v>12782446</v>
      </c>
      <c r="D195" s="60">
        <v>20348082</v>
      </c>
      <c r="E195" s="43">
        <f t="shared" si="68"/>
        <v>-37.181076820901346</v>
      </c>
      <c r="F195" s="60">
        <v>2751009</v>
      </c>
      <c r="G195" s="60">
        <v>3263141</v>
      </c>
      <c r="H195" s="43">
        <f t="shared" si="71"/>
        <v>-15.694448998679491</v>
      </c>
      <c r="I195" s="60">
        <v>11809280</v>
      </c>
      <c r="J195" s="60">
        <v>14430304</v>
      </c>
      <c r="K195" s="43">
        <f t="shared" si="69"/>
        <v>-18.163331832787449</v>
      </c>
      <c r="L195" s="60">
        <v>133460</v>
      </c>
      <c r="M195" s="60">
        <v>843881</v>
      </c>
      <c r="N195" s="43">
        <f t="shared" si="77"/>
        <v>-84.18497394774856</v>
      </c>
      <c r="O195" s="45">
        <v>473</v>
      </c>
      <c r="P195" s="45">
        <v>150</v>
      </c>
      <c r="Q195" s="45">
        <v>473</v>
      </c>
      <c r="R195" s="44">
        <f t="shared" si="78"/>
        <v>70950</v>
      </c>
    </row>
    <row r="196" spans="1:18" x14ac:dyDescent="0.25">
      <c r="A196" s="284">
        <v>6</v>
      </c>
      <c r="B196" s="132" t="s">
        <v>176</v>
      </c>
      <c r="C196" s="256">
        <v>136202</v>
      </c>
      <c r="D196" s="60">
        <v>1337756</v>
      </c>
      <c r="E196" s="43">
        <f t="shared" si="68"/>
        <v>-89.818621632046501</v>
      </c>
      <c r="F196" s="60">
        <v>318419</v>
      </c>
      <c r="G196" s="60">
        <v>476788</v>
      </c>
      <c r="H196" s="43">
        <f t="shared" si="71"/>
        <v>-33.215810800607386</v>
      </c>
      <c r="I196" s="60">
        <v>926579</v>
      </c>
      <c r="J196" s="60">
        <v>1156087</v>
      </c>
      <c r="K196" s="43">
        <f t="shared" si="69"/>
        <v>-19.852139155617181</v>
      </c>
      <c r="L196" s="60">
        <v>49419</v>
      </c>
      <c r="M196" s="60">
        <f>54568+23869</f>
        <v>78437</v>
      </c>
      <c r="N196" s="43">
        <v>0</v>
      </c>
      <c r="O196" s="45">
        <v>521</v>
      </c>
      <c r="P196" s="45">
        <v>135</v>
      </c>
      <c r="Q196" s="45">
        <v>489</v>
      </c>
      <c r="R196" s="44">
        <f t="shared" si="78"/>
        <v>70335</v>
      </c>
    </row>
    <row r="197" spans="1:18" x14ac:dyDescent="0.25">
      <c r="A197" s="284">
        <v>7</v>
      </c>
      <c r="B197" s="132" t="s">
        <v>177</v>
      </c>
      <c r="C197" s="256">
        <v>410169</v>
      </c>
      <c r="D197" s="60">
        <v>561173</v>
      </c>
      <c r="E197" s="43">
        <f t="shared" si="68"/>
        <v>-26.908636017769922</v>
      </c>
      <c r="F197" s="60">
        <v>81416</v>
      </c>
      <c r="G197" s="60">
        <v>214394</v>
      </c>
      <c r="H197" s="43">
        <f t="shared" si="71"/>
        <v>-62.025056671362073</v>
      </c>
      <c r="I197" s="60">
        <v>425014</v>
      </c>
      <c r="J197" s="60">
        <v>540199</v>
      </c>
      <c r="K197" s="43">
        <f t="shared" si="69"/>
        <v>-21.32269774657118</v>
      </c>
      <c r="L197" s="60">
        <f>70973+2092</f>
        <v>73065</v>
      </c>
      <c r="M197" s="60">
        <v>40323</v>
      </c>
      <c r="N197" s="43">
        <v>0</v>
      </c>
      <c r="O197" s="45">
        <v>167</v>
      </c>
      <c r="P197" s="45">
        <v>103</v>
      </c>
      <c r="Q197" s="45">
        <v>166</v>
      </c>
      <c r="R197" s="44">
        <f t="shared" si="78"/>
        <v>17201</v>
      </c>
    </row>
    <row r="198" spans="1:18" x14ac:dyDescent="0.25">
      <c r="A198" s="284">
        <v>8</v>
      </c>
      <c r="B198" s="132" t="s">
        <v>178</v>
      </c>
      <c r="C198" s="256">
        <v>80032</v>
      </c>
      <c r="D198" s="60">
        <v>209366</v>
      </c>
      <c r="E198" s="43">
        <f t="shared" si="68"/>
        <v>-61.774118051641622</v>
      </c>
      <c r="F198" s="60">
        <v>14044</v>
      </c>
      <c r="G198" s="60">
        <v>55322</v>
      </c>
      <c r="H198" s="43">
        <f t="shared" si="71"/>
        <v>-74.614077582155375</v>
      </c>
      <c r="I198" s="60">
        <v>80032</v>
      </c>
      <c r="J198" s="60">
        <v>202267</v>
      </c>
      <c r="K198" s="43">
        <f t="shared" si="69"/>
        <v>-60.432497639258997</v>
      </c>
      <c r="L198" s="60">
        <v>94246</v>
      </c>
      <c r="M198" s="60">
        <v>178656</v>
      </c>
      <c r="N198" s="43">
        <f t="shared" ref="N198:N202" si="79">L198/M198*100-100</f>
        <v>-47.247223714848651</v>
      </c>
      <c r="O198" s="45">
        <v>25</v>
      </c>
      <c r="P198" s="45">
        <v>80</v>
      </c>
      <c r="Q198" s="45">
        <v>27</v>
      </c>
      <c r="R198" s="44">
        <f t="shared" si="78"/>
        <v>2000</v>
      </c>
    </row>
    <row r="199" spans="1:18" x14ac:dyDescent="0.25">
      <c r="A199" s="284">
        <v>9</v>
      </c>
      <c r="B199" s="132" t="s">
        <v>179</v>
      </c>
      <c r="C199" s="256">
        <v>749478</v>
      </c>
      <c r="D199" s="60">
        <v>530180</v>
      </c>
      <c r="E199" s="43">
        <f t="shared" si="68"/>
        <v>41.362933343392797</v>
      </c>
      <c r="F199" s="60">
        <v>220743</v>
      </c>
      <c r="G199" s="60">
        <v>143589</v>
      </c>
      <c r="H199" s="43">
        <f t="shared" si="71"/>
        <v>53.732528257735623</v>
      </c>
      <c r="I199" s="60">
        <v>747043</v>
      </c>
      <c r="J199" s="60">
        <v>529197</v>
      </c>
      <c r="K199" s="43">
        <f t="shared" si="69"/>
        <v>41.165388314748554</v>
      </c>
      <c r="L199" s="60">
        <v>7672</v>
      </c>
      <c r="M199" s="60">
        <v>0</v>
      </c>
      <c r="N199" s="43">
        <v>0</v>
      </c>
      <c r="O199" s="45">
        <v>162</v>
      </c>
      <c r="P199" s="45">
        <v>105</v>
      </c>
      <c r="Q199" s="45">
        <v>161</v>
      </c>
      <c r="R199" s="44">
        <f t="shared" si="78"/>
        <v>17010</v>
      </c>
    </row>
    <row r="200" spans="1:18" x14ac:dyDescent="0.25">
      <c r="A200" s="284">
        <v>10</v>
      </c>
      <c r="B200" s="279" t="s">
        <v>227</v>
      </c>
      <c r="C200" s="256">
        <v>292476</v>
      </c>
      <c r="D200" s="60">
        <v>299666</v>
      </c>
      <c r="E200" s="43">
        <f t="shared" si="68"/>
        <v>-2.3993379295615682</v>
      </c>
      <c r="F200" s="60">
        <v>97449</v>
      </c>
      <c r="G200" s="60">
        <v>79218</v>
      </c>
      <c r="H200" s="43">
        <f t="shared" si="71"/>
        <v>23.013709005529037</v>
      </c>
      <c r="I200" s="60">
        <v>292476</v>
      </c>
      <c r="J200" s="60">
        <v>299666</v>
      </c>
      <c r="K200" s="54">
        <f t="shared" si="69"/>
        <v>-2.3993379295615682</v>
      </c>
      <c r="L200" s="60">
        <f>123947+46029</f>
        <v>169976</v>
      </c>
      <c r="M200" s="60">
        <f>253068+16693</f>
        <v>269761</v>
      </c>
      <c r="N200" s="43">
        <f t="shared" si="79"/>
        <v>-36.99015054066377</v>
      </c>
      <c r="O200" s="60">
        <v>71</v>
      </c>
      <c r="P200" s="60">
        <v>85</v>
      </c>
      <c r="Q200" s="60">
        <v>71</v>
      </c>
      <c r="R200" s="44">
        <f t="shared" si="78"/>
        <v>6035</v>
      </c>
    </row>
    <row r="201" spans="1:18" x14ac:dyDescent="0.25">
      <c r="A201" s="284">
        <v>11</v>
      </c>
      <c r="B201" s="279" t="s">
        <v>235</v>
      </c>
      <c r="C201" s="256">
        <v>79011</v>
      </c>
      <c r="D201" s="60">
        <v>50490</v>
      </c>
      <c r="E201" s="43">
        <f t="shared" si="68"/>
        <v>56.488413547237087</v>
      </c>
      <c r="F201" s="60">
        <v>20206</v>
      </c>
      <c r="G201" s="60">
        <v>15525</v>
      </c>
      <c r="H201" s="43">
        <f t="shared" si="71"/>
        <v>30.1513687600644</v>
      </c>
      <c r="I201" s="60">
        <v>79011</v>
      </c>
      <c r="J201" s="60">
        <v>50490</v>
      </c>
      <c r="K201" s="54">
        <f t="shared" si="69"/>
        <v>56.488413547237087</v>
      </c>
      <c r="L201" s="60">
        <v>0</v>
      </c>
      <c r="M201" s="60">
        <v>0</v>
      </c>
      <c r="N201" s="43">
        <v>0</v>
      </c>
      <c r="O201" s="60">
        <v>17</v>
      </c>
      <c r="P201" s="134">
        <v>80</v>
      </c>
      <c r="Q201" s="60">
        <v>17</v>
      </c>
      <c r="R201" s="44">
        <f t="shared" si="78"/>
        <v>1360</v>
      </c>
    </row>
    <row r="202" spans="1:18" x14ac:dyDescent="0.25">
      <c r="A202" s="284">
        <v>12</v>
      </c>
      <c r="B202" s="132" t="s">
        <v>223</v>
      </c>
      <c r="C202" s="256">
        <v>618997</v>
      </c>
      <c r="D202" s="60">
        <v>465555</v>
      </c>
      <c r="E202" s="43">
        <f t="shared" si="68"/>
        <v>32.958941478450441</v>
      </c>
      <c r="F202" s="60">
        <v>183893</v>
      </c>
      <c r="G202" s="60">
        <v>150221</v>
      </c>
      <c r="H202" s="43">
        <f t="shared" si="71"/>
        <v>22.414975269769215</v>
      </c>
      <c r="I202" s="60">
        <v>618997</v>
      </c>
      <c r="J202" s="60">
        <v>150221</v>
      </c>
      <c r="K202" s="54">
        <f t="shared" si="69"/>
        <v>312.05756851572016</v>
      </c>
      <c r="L202" s="60">
        <v>76749</v>
      </c>
      <c r="M202" s="60">
        <v>42288</v>
      </c>
      <c r="N202" s="43">
        <f t="shared" si="79"/>
        <v>81.491203178206575</v>
      </c>
      <c r="O202" s="60">
        <v>165</v>
      </c>
      <c r="P202" s="134">
        <v>115</v>
      </c>
      <c r="Q202" s="60">
        <v>164</v>
      </c>
      <c r="R202" s="44">
        <f t="shared" si="78"/>
        <v>18975</v>
      </c>
    </row>
    <row r="203" spans="1:18" x14ac:dyDescent="0.25">
      <c r="A203" s="284">
        <v>13</v>
      </c>
      <c r="B203" s="132" t="s">
        <v>182</v>
      </c>
      <c r="C203" s="256">
        <v>194110</v>
      </c>
      <c r="D203" s="60">
        <v>151133</v>
      </c>
      <c r="E203" s="43">
        <f t="shared" si="68"/>
        <v>28.436542647866446</v>
      </c>
      <c r="F203" s="60">
        <v>60554</v>
      </c>
      <c r="G203" s="60">
        <v>37294</v>
      </c>
      <c r="H203" s="43">
        <f t="shared" si="71"/>
        <v>62.36928192202501</v>
      </c>
      <c r="I203" s="60">
        <v>197918</v>
      </c>
      <c r="J203" s="60">
        <v>134444</v>
      </c>
      <c r="K203" s="43">
        <f t="shared" si="69"/>
        <v>47.212222189164265</v>
      </c>
      <c r="L203" s="60">
        <v>11075</v>
      </c>
      <c r="M203" s="60">
        <v>3561</v>
      </c>
      <c r="N203" s="43">
        <v>0</v>
      </c>
      <c r="O203" s="45">
        <v>132</v>
      </c>
      <c r="P203" s="45">
        <v>115</v>
      </c>
      <c r="Q203" s="45">
        <v>133</v>
      </c>
      <c r="R203" s="44">
        <f t="shared" si="78"/>
        <v>15180</v>
      </c>
    </row>
    <row r="204" spans="1:18" x14ac:dyDescent="0.25">
      <c r="A204" s="284">
        <v>14</v>
      </c>
      <c r="B204" s="132" t="s">
        <v>183</v>
      </c>
      <c r="C204" s="256">
        <v>1899</v>
      </c>
      <c r="D204" s="60">
        <v>7158</v>
      </c>
      <c r="E204" s="43">
        <f t="shared" si="68"/>
        <v>-73.470243084660524</v>
      </c>
      <c r="F204" s="60">
        <v>746</v>
      </c>
      <c r="G204" s="60">
        <v>3193</v>
      </c>
      <c r="H204" s="43">
        <v>0</v>
      </c>
      <c r="I204" s="60">
        <v>1899</v>
      </c>
      <c r="J204" s="60">
        <v>7158</v>
      </c>
      <c r="K204" s="43">
        <f t="shared" si="69"/>
        <v>-73.470243084660524</v>
      </c>
      <c r="L204" s="60">
        <v>0</v>
      </c>
      <c r="M204" s="60">
        <v>0</v>
      </c>
      <c r="N204" s="43">
        <v>0</v>
      </c>
      <c r="O204" s="45">
        <v>44</v>
      </c>
      <c r="P204" s="45">
        <v>80</v>
      </c>
      <c r="Q204" s="45">
        <v>46</v>
      </c>
      <c r="R204" s="44">
        <f t="shared" si="78"/>
        <v>3520</v>
      </c>
    </row>
    <row r="205" spans="1:18" x14ac:dyDescent="0.25">
      <c r="A205" s="284">
        <v>15</v>
      </c>
      <c r="B205" s="132" t="s">
        <v>184</v>
      </c>
      <c r="C205" s="256">
        <v>1469473</v>
      </c>
      <c r="D205" s="60">
        <v>1314994</v>
      </c>
      <c r="E205" s="43">
        <f t="shared" si="68"/>
        <v>11.747506072271037</v>
      </c>
      <c r="F205" s="60">
        <v>196963</v>
      </c>
      <c r="G205" s="60">
        <v>290991</v>
      </c>
      <c r="H205" s="43">
        <f t="shared" si="71"/>
        <v>-32.313026863373778</v>
      </c>
      <c r="I205" s="60">
        <v>919197</v>
      </c>
      <c r="J205" s="60">
        <v>777378</v>
      </c>
      <c r="K205" s="43">
        <f t="shared" si="69"/>
        <v>18.243248458278984</v>
      </c>
      <c r="L205" s="60">
        <v>0</v>
      </c>
      <c r="M205" s="60">
        <v>0</v>
      </c>
      <c r="N205" s="43">
        <v>0</v>
      </c>
      <c r="O205" s="45">
        <v>481</v>
      </c>
      <c r="P205" s="45">
        <v>100</v>
      </c>
      <c r="Q205" s="45">
        <v>481</v>
      </c>
      <c r="R205" s="44">
        <f t="shared" si="78"/>
        <v>48100</v>
      </c>
    </row>
    <row r="206" spans="1:18" x14ac:dyDescent="0.25">
      <c r="A206" s="976" t="s">
        <v>185</v>
      </c>
      <c r="B206" s="977" t="s">
        <v>119</v>
      </c>
      <c r="C206" s="250">
        <f>SUM(C191:C205)</f>
        <v>18254400</v>
      </c>
      <c r="D206" s="87">
        <f>SUM(D191:D205)</f>
        <v>26902956</v>
      </c>
      <c r="E206" s="57">
        <f t="shared" si="68"/>
        <v>-32.147233188799035</v>
      </c>
      <c r="F206" s="87">
        <f>SUM(F191:F205)</f>
        <v>4445286</v>
      </c>
      <c r="G206" s="87">
        <f>SUM(G191:G205)</f>
        <v>5208508</v>
      </c>
      <c r="H206" s="57">
        <f t="shared" si="71"/>
        <v>-14.653370984550662</v>
      </c>
      <c r="I206" s="87">
        <f>SUM(I191:I205)</f>
        <v>17845414</v>
      </c>
      <c r="J206" s="87">
        <f>SUM(J191:J205)</f>
        <v>19694634</v>
      </c>
      <c r="K206" s="57">
        <f t="shared" si="69"/>
        <v>-9.3894611090513393</v>
      </c>
      <c r="L206" s="87">
        <f>SUM(L191:L205)</f>
        <v>1653296</v>
      </c>
      <c r="M206" s="87">
        <f>SUM(M191:M205)</f>
        <v>2360894</v>
      </c>
      <c r="N206" s="57">
        <f t="shared" ref="N206:N207" si="80">L206/M206*100-100</f>
        <v>-29.971612448504686</v>
      </c>
      <c r="O206" s="56">
        <f>SUM(O191:O205)</f>
        <v>2704</v>
      </c>
      <c r="P206" s="87">
        <f>R206/O206</f>
        <v>118.86760355029585</v>
      </c>
      <c r="Q206" s="56">
        <f>SUM(Q191:Q205)</f>
        <v>2589</v>
      </c>
      <c r="R206" s="70">
        <f>SUM(R191:R205)</f>
        <v>321418</v>
      </c>
    </row>
    <row r="207" spans="1:18" x14ac:dyDescent="0.25">
      <c r="A207" s="285"/>
      <c r="B207" s="285" t="s">
        <v>186</v>
      </c>
      <c r="C207" s="275">
        <f>C182+C188+C206</f>
        <v>54157484</v>
      </c>
      <c r="D207" s="106">
        <f>D182+D188+D206</f>
        <v>52565212</v>
      </c>
      <c r="E207" s="16">
        <f t="shared" si="68"/>
        <v>3.0291364562555145</v>
      </c>
      <c r="F207" s="106">
        <f>F182+F188+F206</f>
        <v>14064305</v>
      </c>
      <c r="G207" s="106">
        <f>G182+G188+G206</f>
        <v>13243218</v>
      </c>
      <c r="H207" s="16">
        <f t="shared" si="71"/>
        <v>6.2000565119444673</v>
      </c>
      <c r="I207" s="106">
        <f>I182+I188+I206</f>
        <v>77273263</v>
      </c>
      <c r="J207" s="106">
        <f>J182+J188+J206</f>
        <v>75460773</v>
      </c>
      <c r="K207" s="16">
        <f t="shared" si="69"/>
        <v>2.4018969431972295</v>
      </c>
      <c r="L207" s="106">
        <f>L182+L188+L206</f>
        <v>24089769</v>
      </c>
      <c r="M207" s="106">
        <f>M182+M188+M206</f>
        <v>44019739</v>
      </c>
      <c r="N207" s="16">
        <f t="shared" si="80"/>
        <v>-45.275075347448116</v>
      </c>
      <c r="O207" s="136">
        <f>O182+O188+O206</f>
        <v>6047</v>
      </c>
      <c r="P207" s="107">
        <f>R207/O207</f>
        <v>86.906730610219938</v>
      </c>
      <c r="Q207" s="136">
        <f>Q182+Q188+Q206</f>
        <v>6544</v>
      </c>
      <c r="R207" s="136">
        <f>R182+R188+R206</f>
        <v>525525</v>
      </c>
    </row>
    <row r="208" spans="1:18" x14ac:dyDescent="0.25">
      <c r="A208" s="251"/>
      <c r="B208" s="251"/>
      <c r="C208" s="25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R208" s="121"/>
    </row>
    <row r="209" spans="1:18" x14ac:dyDescent="0.25">
      <c r="A209" s="978" t="s">
        <v>295</v>
      </c>
      <c r="B209" s="979"/>
      <c r="C209" s="980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24"/>
    </row>
    <row r="210" spans="1:18" x14ac:dyDescent="0.25">
      <c r="A210" s="981" t="s">
        <v>188</v>
      </c>
      <c r="B210" s="982"/>
      <c r="C210" s="244">
        <v>3</v>
      </c>
      <c r="D210" s="37">
        <v>4</v>
      </c>
      <c r="E210" s="38">
        <v>5</v>
      </c>
      <c r="F210" s="37">
        <v>6</v>
      </c>
      <c r="G210" s="37">
        <v>7</v>
      </c>
      <c r="H210" s="37">
        <v>8</v>
      </c>
      <c r="I210" s="37">
        <v>9</v>
      </c>
      <c r="J210" s="37">
        <v>10</v>
      </c>
      <c r="K210" s="37">
        <v>11</v>
      </c>
      <c r="L210" s="37">
        <v>12</v>
      </c>
      <c r="M210" s="27">
        <v>13</v>
      </c>
      <c r="N210" s="27">
        <v>14</v>
      </c>
      <c r="O210" s="27">
        <v>15</v>
      </c>
      <c r="P210" s="38">
        <v>16</v>
      </c>
      <c r="Q210" s="27">
        <v>15</v>
      </c>
    </row>
    <row r="211" spans="1:18" x14ac:dyDescent="0.25">
      <c r="A211" s="286">
        <v>1</v>
      </c>
      <c r="B211" s="287" t="s">
        <v>189</v>
      </c>
      <c r="C211" s="256">
        <v>286020</v>
      </c>
      <c r="D211" s="60">
        <v>448307</v>
      </c>
      <c r="E211" s="43">
        <f>C211/D211*100-100</f>
        <v>-36.199970109768529</v>
      </c>
      <c r="F211" s="60">
        <v>19545</v>
      </c>
      <c r="G211" s="60">
        <v>41382</v>
      </c>
      <c r="H211" s="43">
        <f>F211/G211*100-100</f>
        <v>-52.769319994200373</v>
      </c>
      <c r="I211" s="60">
        <v>286020</v>
      </c>
      <c r="J211" s="60">
        <v>448307</v>
      </c>
      <c r="K211" s="43">
        <f>I211/J211*100-100</f>
        <v>-36.199970109768529</v>
      </c>
      <c r="L211" s="60">
        <v>286020</v>
      </c>
      <c r="M211" s="60">
        <v>448307</v>
      </c>
      <c r="N211" s="43">
        <f>L211/M211*100-100</f>
        <v>-36.199970109768529</v>
      </c>
      <c r="O211" s="100">
        <v>132</v>
      </c>
      <c r="P211" s="100">
        <v>154</v>
      </c>
      <c r="Q211" s="100">
        <v>135</v>
      </c>
      <c r="R211" s="44">
        <f t="shared" ref="R211:R217" si="81">O211*P211</f>
        <v>20328</v>
      </c>
    </row>
    <row r="212" spans="1:18" x14ac:dyDescent="0.25">
      <c r="A212" s="286">
        <v>2</v>
      </c>
      <c r="B212" s="287" t="s">
        <v>190</v>
      </c>
      <c r="C212" s="256">
        <v>0</v>
      </c>
      <c r="D212" s="60">
        <v>0</v>
      </c>
      <c r="E212" s="43">
        <v>0</v>
      </c>
      <c r="F212" s="60">
        <v>0</v>
      </c>
      <c r="G212" s="60">
        <v>0</v>
      </c>
      <c r="H212" s="43">
        <v>0</v>
      </c>
      <c r="I212" s="60">
        <v>0</v>
      </c>
      <c r="J212" s="60">
        <v>0</v>
      </c>
      <c r="K212" s="43">
        <v>0</v>
      </c>
      <c r="L212" s="60"/>
      <c r="M212" s="60">
        <v>0</v>
      </c>
      <c r="N212" s="43">
        <v>0</v>
      </c>
      <c r="O212" s="45">
        <v>0</v>
      </c>
      <c r="P212" s="46">
        <v>0</v>
      </c>
      <c r="Q212" s="45">
        <v>0</v>
      </c>
      <c r="R212" s="44">
        <f t="shared" si="81"/>
        <v>0</v>
      </c>
    </row>
    <row r="213" spans="1:18" x14ac:dyDescent="0.25">
      <c r="A213" s="286">
        <v>3</v>
      </c>
      <c r="B213" s="287" t="s">
        <v>191</v>
      </c>
      <c r="C213" s="256">
        <v>1960545</v>
      </c>
      <c r="D213" s="60">
        <v>2121289</v>
      </c>
      <c r="E213" s="100">
        <f>C213/D213*100-100</f>
        <v>-7.5776567926388196</v>
      </c>
      <c r="F213" s="60">
        <v>183795</v>
      </c>
      <c r="G213" s="60">
        <v>585615</v>
      </c>
      <c r="H213" s="100">
        <f>F213/G213*100-100</f>
        <v>-68.615045721164933</v>
      </c>
      <c r="I213" s="60">
        <v>1960545</v>
      </c>
      <c r="J213" s="60">
        <v>2121289</v>
      </c>
      <c r="K213" s="100">
        <f>I213/J213*100-100</f>
        <v>-7.5776567926388196</v>
      </c>
      <c r="L213" s="60">
        <v>183795</v>
      </c>
      <c r="M213" s="60">
        <v>585615</v>
      </c>
      <c r="N213" s="43">
        <f>L213/M213*100-100</f>
        <v>-68.615045721164933</v>
      </c>
      <c r="O213" s="100">
        <v>122</v>
      </c>
      <c r="P213" s="142">
        <v>175</v>
      </c>
      <c r="Q213" s="100">
        <v>116</v>
      </c>
      <c r="R213" s="44">
        <f t="shared" si="81"/>
        <v>21350</v>
      </c>
    </row>
    <row r="214" spans="1:18" x14ac:dyDescent="0.25">
      <c r="A214" s="286">
        <v>4</v>
      </c>
      <c r="B214" s="287" t="s">
        <v>192</v>
      </c>
      <c r="C214" s="256">
        <v>109630</v>
      </c>
      <c r="D214" s="60">
        <v>317580</v>
      </c>
      <c r="E214" s="43">
        <f>C214/D214*100-100</f>
        <v>-65.479564204294974</v>
      </c>
      <c r="F214" s="60">
        <v>31362</v>
      </c>
      <c r="G214" s="60">
        <v>64431</v>
      </c>
      <c r="H214" s="43">
        <f>F214/G214*100-100</f>
        <v>-51.324672905899334</v>
      </c>
      <c r="I214" s="60">
        <v>176845</v>
      </c>
      <c r="J214" s="60">
        <v>387978</v>
      </c>
      <c r="K214" s="43">
        <f>I214/J214*100-100</f>
        <v>-54.418807251957588</v>
      </c>
      <c r="L214" s="60">
        <v>176845</v>
      </c>
      <c r="M214" s="60">
        <v>387978</v>
      </c>
      <c r="N214" s="43">
        <f>L214/M214*100-100</f>
        <v>-54.418807251957588</v>
      </c>
      <c r="O214" s="100"/>
      <c r="P214" s="100">
        <v>36</v>
      </c>
      <c r="Q214" s="100">
        <v>42</v>
      </c>
      <c r="R214" s="44">
        <f t="shared" si="81"/>
        <v>0</v>
      </c>
    </row>
    <row r="215" spans="1:18" x14ac:dyDescent="0.25">
      <c r="A215" s="286">
        <v>5</v>
      </c>
      <c r="B215" s="287" t="s">
        <v>193</v>
      </c>
      <c r="C215" s="256">
        <v>1566842</v>
      </c>
      <c r="D215" s="60">
        <v>1140377</v>
      </c>
      <c r="E215" s="43">
        <f>C215/D215*100-100</f>
        <v>37.396843324619823</v>
      </c>
      <c r="F215" s="60">
        <v>284751</v>
      </c>
      <c r="G215" s="60">
        <v>214941</v>
      </c>
      <c r="H215" s="43">
        <f>F215/G215*100-100</f>
        <v>32.478680195960749</v>
      </c>
      <c r="I215" s="60">
        <v>184751</v>
      </c>
      <c r="J215" s="60">
        <v>218371</v>
      </c>
      <c r="K215" s="43">
        <f>I215/J215*100-100</f>
        <v>-15.395817210160686</v>
      </c>
      <c r="L215" s="60">
        <f>162070+22681</f>
        <v>184751</v>
      </c>
      <c r="M215" s="60">
        <v>0</v>
      </c>
      <c r="N215" s="43" t="e">
        <f>L215/M215*100-100</f>
        <v>#DIV/0!</v>
      </c>
      <c r="O215" s="100">
        <v>54</v>
      </c>
      <c r="P215" s="100">
        <v>135</v>
      </c>
      <c r="Q215" s="100">
        <v>49</v>
      </c>
      <c r="R215" s="44">
        <f t="shared" si="81"/>
        <v>7290</v>
      </c>
    </row>
    <row r="216" spans="1:18" x14ac:dyDescent="0.25">
      <c r="A216" s="286">
        <v>6</v>
      </c>
      <c r="B216" s="287" t="s">
        <v>194</v>
      </c>
      <c r="C216" s="256">
        <v>0</v>
      </c>
      <c r="D216" s="60">
        <v>26480</v>
      </c>
      <c r="E216" s="43">
        <f>C216/D216*100-100</f>
        <v>-100</v>
      </c>
      <c r="F216" s="60">
        <v>0</v>
      </c>
      <c r="G216" s="60">
        <v>9743</v>
      </c>
      <c r="H216" s="43">
        <f>F216/G216*100-100</f>
        <v>-100</v>
      </c>
      <c r="I216" s="60">
        <v>0</v>
      </c>
      <c r="J216" s="60">
        <v>26480</v>
      </c>
      <c r="K216" s="43">
        <f>I216/J216*100-100</f>
        <v>-100</v>
      </c>
      <c r="L216" s="60">
        <v>0</v>
      </c>
      <c r="M216" s="60">
        <f>26480+26480</f>
        <v>52960</v>
      </c>
      <c r="N216" s="43">
        <f>L216/M216*100-100</f>
        <v>-100</v>
      </c>
      <c r="O216" s="100">
        <v>3</v>
      </c>
      <c r="P216" s="100">
        <v>143</v>
      </c>
      <c r="Q216" s="100">
        <v>3</v>
      </c>
      <c r="R216" s="44">
        <f t="shared" si="81"/>
        <v>429</v>
      </c>
    </row>
    <row r="217" spans="1:18" x14ac:dyDescent="0.25">
      <c r="A217" s="286">
        <v>7</v>
      </c>
      <c r="B217" s="287" t="s">
        <v>195</v>
      </c>
      <c r="C217" s="256">
        <v>0</v>
      </c>
      <c r="D217" s="60">
        <v>0</v>
      </c>
      <c r="E217" s="43">
        <v>0</v>
      </c>
      <c r="F217" s="60">
        <v>0</v>
      </c>
      <c r="G217" s="60">
        <v>0</v>
      </c>
      <c r="H217" s="43">
        <v>0</v>
      </c>
      <c r="I217" s="60">
        <v>0</v>
      </c>
      <c r="J217" s="60">
        <v>0</v>
      </c>
      <c r="K217" s="43">
        <v>0</v>
      </c>
      <c r="L217" s="60">
        <v>0</v>
      </c>
      <c r="M217" s="60">
        <v>0</v>
      </c>
      <c r="N217" s="43">
        <v>0</v>
      </c>
      <c r="O217" s="100">
        <v>0</v>
      </c>
      <c r="P217" s="100">
        <v>0</v>
      </c>
      <c r="Q217" s="100">
        <v>0</v>
      </c>
      <c r="R217" s="44">
        <f t="shared" si="81"/>
        <v>0</v>
      </c>
    </row>
    <row r="218" spans="1:18" x14ac:dyDescent="0.25">
      <c r="A218" s="976" t="s">
        <v>196</v>
      </c>
      <c r="B218" s="977" t="s">
        <v>155</v>
      </c>
      <c r="C218" s="250">
        <f>SUM(C211:C217)</f>
        <v>3923037</v>
      </c>
      <c r="D218" s="87">
        <f>SUM(D211:D217)</f>
        <v>4054033</v>
      </c>
      <c r="E218" s="57">
        <f t="shared" ref="E218" si="82">C218/D218*100-100</f>
        <v>-3.2312514476325163</v>
      </c>
      <c r="F218" s="87">
        <f>SUM(F211:F217)</f>
        <v>519453</v>
      </c>
      <c r="G218" s="87">
        <f>SUM(G211:G217)</f>
        <v>916112</v>
      </c>
      <c r="H218" s="57">
        <f t="shared" ref="H218" si="83">F218/G218*100-100</f>
        <v>-43.29809018984578</v>
      </c>
      <c r="I218" s="87">
        <f>SUM(I211:I217)</f>
        <v>2608161</v>
      </c>
      <c r="J218" s="87">
        <f>SUM(J211:J217)</f>
        <v>3202425</v>
      </c>
      <c r="K218" s="57">
        <f t="shared" ref="K218" si="84">I218/J218*100-100</f>
        <v>-18.556687510246135</v>
      </c>
      <c r="L218" s="87">
        <f>SUM(L211:L217)</f>
        <v>831411</v>
      </c>
      <c r="M218" s="56">
        <f>SUM(M211:M217)</f>
        <v>1474860</v>
      </c>
      <c r="N218" s="57">
        <f t="shared" ref="N218" si="85">L218/M218*100-100</f>
        <v>-43.627801960864076</v>
      </c>
      <c r="O218" s="87">
        <f>SUM(O211:O217)</f>
        <v>311</v>
      </c>
      <c r="P218" s="58">
        <f>R218/O218</f>
        <v>158.83279742765274</v>
      </c>
      <c r="Q218" s="87">
        <f>SUM(Q211:Q217)</f>
        <v>345</v>
      </c>
      <c r="R218" s="70">
        <f>SUM(R211:R217)</f>
        <v>49397</v>
      </c>
    </row>
    <row r="219" spans="1:18" x14ac:dyDescent="0.25">
      <c r="A219" s="251"/>
      <c r="B219" s="251"/>
      <c r="C219" s="25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R219" s="44"/>
    </row>
    <row r="220" spans="1:18" x14ac:dyDescent="0.25">
      <c r="A220" s="983" t="s">
        <v>197</v>
      </c>
      <c r="B220" s="984"/>
      <c r="C220" s="271"/>
      <c r="D220" s="100"/>
      <c r="E220" s="43"/>
      <c r="F220" s="100"/>
      <c r="G220" s="100"/>
      <c r="H220" s="43"/>
      <c r="I220" s="100"/>
      <c r="J220" s="100"/>
      <c r="K220" s="43"/>
      <c r="L220" s="100"/>
      <c r="M220" s="100"/>
      <c r="N220" s="43"/>
      <c r="O220" s="100"/>
      <c r="P220" s="100"/>
      <c r="Q220" s="100"/>
    </row>
    <row r="221" spans="1:18" x14ac:dyDescent="0.25">
      <c r="A221" s="288">
        <v>1</v>
      </c>
      <c r="B221" s="187" t="s">
        <v>198</v>
      </c>
      <c r="C221" s="256">
        <v>891972</v>
      </c>
      <c r="D221" s="60">
        <v>604644</v>
      </c>
      <c r="E221" s="43">
        <f t="shared" ref="E221:E222" si="86">C221/D221*100-100</f>
        <v>47.520193700756153</v>
      </c>
      <c r="F221" s="60">
        <v>263168</v>
      </c>
      <c r="G221" s="60">
        <v>159327</v>
      </c>
      <c r="H221" s="43">
        <f t="shared" ref="H221:H224" si="87">F221/G221*100-100</f>
        <v>65.174766361005993</v>
      </c>
      <c r="I221" s="60">
        <v>687387</v>
      </c>
      <c r="J221" s="60">
        <v>505028</v>
      </c>
      <c r="K221" s="43">
        <f t="shared" ref="K221" si="88">I221/J221*100-100</f>
        <v>36.108691003271105</v>
      </c>
      <c r="L221" s="60">
        <f>287685+298295</f>
        <v>585980</v>
      </c>
      <c r="M221" s="60">
        <f>64415+317470</f>
        <v>381885</v>
      </c>
      <c r="N221" s="75">
        <f t="shared" ref="N221:N226" si="89">L221/M221*100-100</f>
        <v>53.444099663511281</v>
      </c>
      <c r="O221" s="100">
        <v>158</v>
      </c>
      <c r="P221" s="100">
        <v>159</v>
      </c>
      <c r="Q221" s="100">
        <v>139</v>
      </c>
      <c r="R221" s="44">
        <f>O221*P221</f>
        <v>25122</v>
      </c>
    </row>
    <row r="222" spans="1:18" x14ac:dyDescent="0.25">
      <c r="A222" s="288">
        <v>2</v>
      </c>
      <c r="B222" s="287" t="s">
        <v>199</v>
      </c>
      <c r="C222" s="256">
        <v>1872</v>
      </c>
      <c r="D222" s="60">
        <v>1189</v>
      </c>
      <c r="E222" s="43">
        <f t="shared" si="86"/>
        <v>57.443229604709842</v>
      </c>
      <c r="F222" s="60">
        <v>0</v>
      </c>
      <c r="G222" s="60">
        <v>382</v>
      </c>
      <c r="H222" s="43">
        <f t="shared" si="87"/>
        <v>-100</v>
      </c>
      <c r="I222" s="60">
        <v>17873</v>
      </c>
      <c r="J222" s="60">
        <v>19851</v>
      </c>
      <c r="K222" s="43">
        <f>I222/J222*100-100</f>
        <v>-9.9642335398720405</v>
      </c>
      <c r="L222" s="60">
        <v>0</v>
      </c>
      <c r="M222" s="60">
        <v>0</v>
      </c>
      <c r="N222" s="100">
        <v>0</v>
      </c>
      <c r="O222" s="100">
        <v>72</v>
      </c>
      <c r="P222" s="100">
        <v>127</v>
      </c>
      <c r="Q222" s="100">
        <v>72</v>
      </c>
      <c r="R222" s="44">
        <f>O222*P222</f>
        <v>9144</v>
      </c>
    </row>
    <row r="223" spans="1:18" x14ac:dyDescent="0.25">
      <c r="A223" s="289">
        <v>3</v>
      </c>
      <c r="B223" s="287" t="s">
        <v>200</v>
      </c>
      <c r="C223" s="256">
        <v>0</v>
      </c>
      <c r="D223" s="60">
        <v>0</v>
      </c>
      <c r="E223" s="43">
        <v>0</v>
      </c>
      <c r="F223" s="60">
        <v>0</v>
      </c>
      <c r="G223" s="60">
        <v>0</v>
      </c>
      <c r="H223" s="43">
        <v>0</v>
      </c>
      <c r="I223" s="60">
        <v>0</v>
      </c>
      <c r="J223" s="60">
        <v>0</v>
      </c>
      <c r="K223" s="43">
        <v>0</v>
      </c>
      <c r="L223" s="60">
        <v>0</v>
      </c>
      <c r="M223" s="60">
        <v>0</v>
      </c>
      <c r="N223" s="100">
        <v>0</v>
      </c>
      <c r="O223" s="45">
        <v>0</v>
      </c>
      <c r="P223" s="46">
        <v>0</v>
      </c>
      <c r="Q223" s="45">
        <v>0</v>
      </c>
      <c r="R223" s="44">
        <f>O223*P223</f>
        <v>0</v>
      </c>
    </row>
    <row r="224" spans="1:18" x14ac:dyDescent="0.25">
      <c r="A224" s="289">
        <v>4</v>
      </c>
      <c r="B224" s="287" t="s">
        <v>201</v>
      </c>
      <c r="C224" s="256">
        <v>305739</v>
      </c>
      <c r="D224" s="60">
        <v>279353</v>
      </c>
      <c r="E224" s="54">
        <f t="shared" ref="E224:E226" si="90">C224/D224*100-100</f>
        <v>9.4453970424516598</v>
      </c>
      <c r="F224" s="60">
        <v>59970</v>
      </c>
      <c r="G224" s="60">
        <v>159454</v>
      </c>
      <c r="H224" s="43">
        <f t="shared" si="87"/>
        <v>-62.390407264791101</v>
      </c>
      <c r="I224" s="60">
        <v>305739</v>
      </c>
      <c r="J224" s="60">
        <v>279353</v>
      </c>
      <c r="K224" s="43">
        <f t="shared" ref="K224:K226" si="91">I224/J224*100-100</f>
        <v>9.4453970424516598</v>
      </c>
      <c r="L224" s="60">
        <f>210500+95239</f>
        <v>305739</v>
      </c>
      <c r="M224" s="60">
        <f>272821+6532</f>
        <v>279353</v>
      </c>
      <c r="N224" s="75">
        <f t="shared" si="89"/>
        <v>9.4453970424516598</v>
      </c>
      <c r="O224" s="100">
        <v>30</v>
      </c>
      <c r="P224" s="100">
        <v>70</v>
      </c>
      <c r="Q224" s="100">
        <v>30</v>
      </c>
      <c r="R224" s="44">
        <f>O224*P224</f>
        <v>2100</v>
      </c>
    </row>
    <row r="225" spans="1:19" x14ac:dyDescent="0.25">
      <c r="A225" s="976" t="s">
        <v>202</v>
      </c>
      <c r="B225" s="977" t="s">
        <v>155</v>
      </c>
      <c r="C225" s="250">
        <f>SUM(C221:C224)</f>
        <v>1199583</v>
      </c>
      <c r="D225" s="87">
        <f>SUM(D221:D224)</f>
        <v>885186</v>
      </c>
      <c r="E225" s="57">
        <f t="shared" si="90"/>
        <v>35.517620025621738</v>
      </c>
      <c r="F225" s="87">
        <f>SUM(F221:F224)</f>
        <v>323138</v>
      </c>
      <c r="G225" s="87">
        <f>SUM(G221:G224)</f>
        <v>319163</v>
      </c>
      <c r="H225" s="57">
        <v>0</v>
      </c>
      <c r="I225" s="87">
        <f>SUM(I221:I224)</f>
        <v>1010999</v>
      </c>
      <c r="J225" s="87">
        <f>SUM(J221:J224)</f>
        <v>804232</v>
      </c>
      <c r="K225" s="57">
        <f t="shared" si="91"/>
        <v>25.709869788817159</v>
      </c>
      <c r="L225" s="87">
        <f>SUM(L221:L224)</f>
        <v>891719</v>
      </c>
      <c r="M225" s="87">
        <f>SUM(M221:M224)</f>
        <v>661238</v>
      </c>
      <c r="N225" s="57">
        <f t="shared" si="89"/>
        <v>34.855982263572258</v>
      </c>
      <c r="O225" s="87">
        <f>SUM(O221:O224)</f>
        <v>260</v>
      </c>
      <c r="P225" s="58">
        <f>R225/O225</f>
        <v>139.86923076923077</v>
      </c>
      <c r="Q225" s="87">
        <f>SUM(Q221:Q224)</f>
        <v>241</v>
      </c>
      <c r="R225" s="70">
        <f>SUM(R221:R224)</f>
        <v>36366</v>
      </c>
    </row>
    <row r="226" spans="1:19" x14ac:dyDescent="0.25">
      <c r="A226" s="285"/>
      <c r="B226" s="285" t="s">
        <v>203</v>
      </c>
      <c r="C226" s="275">
        <f>C218+C225</f>
        <v>5122620</v>
      </c>
      <c r="D226" s="106">
        <f>D218+D225</f>
        <v>4939219</v>
      </c>
      <c r="E226" s="16">
        <f t="shared" si="90"/>
        <v>3.7131578899417121</v>
      </c>
      <c r="F226" s="106">
        <f>F218+F225</f>
        <v>842591</v>
      </c>
      <c r="G226" s="106">
        <f>G218+G225</f>
        <v>1235275</v>
      </c>
      <c r="H226" s="16">
        <f t="shared" ref="H226" si="92">F226/G226*100-100</f>
        <v>-31.78919673756856</v>
      </c>
      <c r="I226" s="106">
        <f>I218+I225</f>
        <v>3619160</v>
      </c>
      <c r="J226" s="106">
        <f>J218+J225</f>
        <v>4006657</v>
      </c>
      <c r="K226" s="16">
        <f t="shared" si="91"/>
        <v>-9.6713294898964364</v>
      </c>
      <c r="L226" s="106">
        <f>L218+L225</f>
        <v>1723130</v>
      </c>
      <c r="M226" s="106">
        <f>M218+M225</f>
        <v>2136098</v>
      </c>
      <c r="N226" s="16">
        <f t="shared" si="89"/>
        <v>-19.332820872450611</v>
      </c>
      <c r="O226" s="106">
        <f>O218+O225</f>
        <v>571</v>
      </c>
      <c r="P226" s="107">
        <f>R226/O226</f>
        <v>150.19789842381786</v>
      </c>
      <c r="Q226" s="106">
        <f>Q218+Q225</f>
        <v>586</v>
      </c>
      <c r="R226" s="106">
        <f>R218+R225</f>
        <v>85763</v>
      </c>
      <c r="S226" s="197"/>
    </row>
    <row r="227" spans="1:19" x14ac:dyDescent="0.25">
      <c r="A227" s="251"/>
      <c r="B227" s="251"/>
      <c r="C227" s="25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R227" s="31"/>
    </row>
    <row r="228" spans="1:19" ht="19.5" customHeight="1" x14ac:dyDescent="0.25">
      <c r="A228" s="985" t="s">
        <v>204</v>
      </c>
      <c r="B228" s="986"/>
      <c r="C228" s="244">
        <v>3</v>
      </c>
      <c r="D228" s="37">
        <v>4</v>
      </c>
      <c r="E228" s="38">
        <v>5</v>
      </c>
      <c r="F228" s="37">
        <v>6</v>
      </c>
      <c r="G228" s="37">
        <v>7</v>
      </c>
      <c r="H228" s="37">
        <v>8</v>
      </c>
      <c r="I228" s="37">
        <v>9</v>
      </c>
      <c r="J228" s="37">
        <v>10</v>
      </c>
      <c r="K228" s="37">
        <v>11</v>
      </c>
      <c r="L228" s="37">
        <v>12</v>
      </c>
      <c r="M228" s="37">
        <v>13</v>
      </c>
      <c r="N228" s="37">
        <v>14</v>
      </c>
      <c r="O228" s="37">
        <v>15</v>
      </c>
      <c r="P228" s="38">
        <v>16</v>
      </c>
      <c r="Q228" s="37">
        <v>17</v>
      </c>
    </row>
    <row r="229" spans="1:19" x14ac:dyDescent="0.25">
      <c r="A229" s="277">
        <v>1</v>
      </c>
      <c r="B229" s="290" t="s">
        <v>205</v>
      </c>
      <c r="C229" s="256">
        <v>297495.09999999998</v>
      </c>
      <c r="D229" s="60">
        <v>226102.6</v>
      </c>
      <c r="E229" s="151">
        <f t="shared" ref="E229:E238" si="93">C229/D229*100-100</f>
        <v>31.575267157476276</v>
      </c>
      <c r="F229" s="60">
        <v>90173.2</v>
      </c>
      <c r="G229" s="60">
        <v>71291.5</v>
      </c>
      <c r="H229" s="151">
        <f t="shared" ref="H229:H238" si="94">F229/G229*100-100</f>
        <v>26.485205108603409</v>
      </c>
      <c r="I229" s="60">
        <v>251115.6</v>
      </c>
      <c r="J229" s="60">
        <v>110479.2</v>
      </c>
      <c r="K229" s="151">
        <f t="shared" ref="K229:K238" si="95">I229/J229*100-100</f>
        <v>127.29672191688573</v>
      </c>
      <c r="L229" s="60">
        <v>0</v>
      </c>
      <c r="M229" s="60">
        <v>0</v>
      </c>
      <c r="N229" s="100">
        <v>0</v>
      </c>
      <c r="O229" s="45">
        <v>269</v>
      </c>
      <c r="P229" s="75">
        <v>247.4</v>
      </c>
      <c r="Q229" s="45">
        <v>270</v>
      </c>
      <c r="R229" s="157">
        <f t="shared" ref="R229:R237" si="96">O229*P229</f>
        <v>66550.600000000006</v>
      </c>
    </row>
    <row r="230" spans="1:19" x14ac:dyDescent="0.25">
      <c r="A230" s="277">
        <v>2</v>
      </c>
      <c r="B230" s="290" t="s">
        <v>206</v>
      </c>
      <c r="C230" s="256">
        <v>16393</v>
      </c>
      <c r="D230" s="60">
        <v>1213</v>
      </c>
      <c r="E230" s="151">
        <f t="shared" si="93"/>
        <v>1251.4427040395713</v>
      </c>
      <c r="F230" s="60">
        <v>7232</v>
      </c>
      <c r="G230" s="60">
        <v>1213</v>
      </c>
      <c r="H230" s="151">
        <f t="shared" si="94"/>
        <v>496.20774938169825</v>
      </c>
      <c r="I230" s="60">
        <v>16393</v>
      </c>
      <c r="J230" s="60">
        <v>1213</v>
      </c>
      <c r="K230" s="151">
        <f t="shared" si="95"/>
        <v>1251.4427040395713</v>
      </c>
      <c r="L230" s="60">
        <v>16393</v>
      </c>
      <c r="M230" s="60">
        <v>1213</v>
      </c>
      <c r="N230" s="100">
        <v>0</v>
      </c>
      <c r="O230" s="45">
        <v>8</v>
      </c>
      <c r="P230" s="75">
        <v>71</v>
      </c>
      <c r="Q230" s="45">
        <v>8</v>
      </c>
      <c r="R230" s="157">
        <f t="shared" si="96"/>
        <v>568</v>
      </c>
    </row>
    <row r="231" spans="1:19" ht="25.5" x14ac:dyDescent="0.25">
      <c r="A231" s="291">
        <v>3</v>
      </c>
      <c r="B231" s="292" t="s">
        <v>207</v>
      </c>
      <c r="C231" s="256">
        <v>47554</v>
      </c>
      <c r="D231" s="60">
        <v>40250</v>
      </c>
      <c r="E231" s="189">
        <f t="shared" si="93"/>
        <v>18.146583850931691</v>
      </c>
      <c r="F231" s="60">
        <v>22008</v>
      </c>
      <c r="G231" s="60">
        <v>11622</v>
      </c>
      <c r="H231" s="151">
        <f t="shared" si="94"/>
        <v>89.364997418688688</v>
      </c>
      <c r="I231" s="60">
        <v>0</v>
      </c>
      <c r="J231" s="60">
        <v>0</v>
      </c>
      <c r="K231" s="151">
        <v>0</v>
      </c>
      <c r="L231" s="60">
        <v>0</v>
      </c>
      <c r="M231" s="60">
        <v>0</v>
      </c>
      <c r="N231" s="48">
        <v>0</v>
      </c>
      <c r="O231" s="42">
        <v>89</v>
      </c>
      <c r="P231" s="62">
        <v>111</v>
      </c>
      <c r="Q231" s="42">
        <v>88</v>
      </c>
      <c r="R231" s="160">
        <f t="shared" si="96"/>
        <v>9879</v>
      </c>
    </row>
    <row r="232" spans="1:19" x14ac:dyDescent="0.25">
      <c r="A232" s="277">
        <v>4</v>
      </c>
      <c r="B232" s="293" t="s">
        <v>208</v>
      </c>
      <c r="C232" s="256">
        <v>0</v>
      </c>
      <c r="D232" s="60">
        <v>416</v>
      </c>
      <c r="E232" s="189">
        <f t="shared" si="93"/>
        <v>-100</v>
      </c>
      <c r="F232" s="60">
        <v>0</v>
      </c>
      <c r="G232" s="60">
        <v>109</v>
      </c>
      <c r="H232" s="151">
        <f t="shared" si="94"/>
        <v>-100</v>
      </c>
      <c r="I232" s="60">
        <v>0</v>
      </c>
      <c r="J232" s="60">
        <v>416</v>
      </c>
      <c r="K232" s="151">
        <f t="shared" si="95"/>
        <v>-100</v>
      </c>
      <c r="L232" s="60">
        <v>0</v>
      </c>
      <c r="M232" s="60">
        <v>0</v>
      </c>
      <c r="N232" s="100">
        <v>0</v>
      </c>
      <c r="O232" s="45">
        <v>5</v>
      </c>
      <c r="P232" s="100">
        <v>51</v>
      </c>
      <c r="Q232" s="45">
        <v>5</v>
      </c>
      <c r="R232" s="162">
        <f t="shared" si="96"/>
        <v>255</v>
      </c>
    </row>
    <row r="233" spans="1:19" x14ac:dyDescent="0.25">
      <c r="A233" s="277">
        <v>5</v>
      </c>
      <c r="B233" s="294" t="s">
        <v>209</v>
      </c>
      <c r="C233" s="256">
        <v>6722</v>
      </c>
      <c r="D233" s="60">
        <v>12508</v>
      </c>
      <c r="E233" s="151">
        <f t="shared" si="93"/>
        <v>-46.258394627438435</v>
      </c>
      <c r="F233" s="60">
        <v>3854</v>
      </c>
      <c r="G233" s="60">
        <v>3750</v>
      </c>
      <c r="H233" s="151">
        <f t="shared" si="94"/>
        <v>2.7733333333333405</v>
      </c>
      <c r="I233" s="60">
        <v>0</v>
      </c>
      <c r="J233" s="60">
        <v>0</v>
      </c>
      <c r="K233" s="151">
        <v>0</v>
      </c>
      <c r="L233" s="60">
        <v>0</v>
      </c>
      <c r="M233" s="60">
        <v>0</v>
      </c>
      <c r="N233" s="100">
        <v>0</v>
      </c>
      <c r="O233" s="45">
        <v>13</v>
      </c>
      <c r="P233" s="75">
        <v>61</v>
      </c>
      <c r="Q233" s="45">
        <v>16</v>
      </c>
      <c r="R233" s="162">
        <f t="shared" si="96"/>
        <v>793</v>
      </c>
    </row>
    <row r="234" spans="1:19" x14ac:dyDescent="0.25">
      <c r="A234" s="277">
        <v>6</v>
      </c>
      <c r="B234" s="290" t="s">
        <v>210</v>
      </c>
      <c r="C234" s="256">
        <v>3981</v>
      </c>
      <c r="D234" s="60">
        <v>4040</v>
      </c>
      <c r="E234" s="151">
        <f t="shared" si="93"/>
        <v>-1.4603960396039639</v>
      </c>
      <c r="F234" s="60">
        <v>1030</v>
      </c>
      <c r="G234" s="60">
        <v>920</v>
      </c>
      <c r="H234" s="151">
        <f t="shared" si="94"/>
        <v>11.956521739130437</v>
      </c>
      <c r="I234" s="60">
        <v>0</v>
      </c>
      <c r="J234" s="60">
        <v>0</v>
      </c>
      <c r="K234" s="151">
        <v>0</v>
      </c>
      <c r="L234" s="60">
        <v>0</v>
      </c>
      <c r="M234" s="60">
        <v>0</v>
      </c>
      <c r="N234" s="100">
        <v>0</v>
      </c>
      <c r="O234" s="45">
        <v>11</v>
      </c>
      <c r="P234" s="75">
        <v>79</v>
      </c>
      <c r="Q234" s="45">
        <v>11</v>
      </c>
      <c r="R234" s="162">
        <f t="shared" si="96"/>
        <v>869</v>
      </c>
    </row>
    <row r="235" spans="1:19" x14ac:dyDescent="0.25">
      <c r="A235" s="277">
        <v>7</v>
      </c>
      <c r="B235" s="290" t="s">
        <v>211</v>
      </c>
      <c r="C235" s="256">
        <v>22000</v>
      </c>
      <c r="D235" s="60">
        <v>17130</v>
      </c>
      <c r="E235" s="151">
        <f t="shared" si="93"/>
        <v>28.429655575014607</v>
      </c>
      <c r="F235" s="60">
        <v>6200</v>
      </c>
      <c r="G235" s="60">
        <v>5595</v>
      </c>
      <c r="H235" s="151">
        <f t="shared" si="94"/>
        <v>10.81322609472744</v>
      </c>
      <c r="I235" s="60">
        <v>991</v>
      </c>
      <c r="J235" s="60">
        <v>984</v>
      </c>
      <c r="K235" s="151">
        <f t="shared" si="95"/>
        <v>0.7113821138211307</v>
      </c>
      <c r="L235" s="60">
        <v>0</v>
      </c>
      <c r="M235" s="60">
        <v>0</v>
      </c>
      <c r="N235" s="100">
        <v>0</v>
      </c>
      <c r="O235" s="45">
        <v>22</v>
      </c>
      <c r="P235" s="75">
        <v>146</v>
      </c>
      <c r="Q235" s="45">
        <v>21</v>
      </c>
      <c r="R235" s="162">
        <f t="shared" si="96"/>
        <v>3212</v>
      </c>
    </row>
    <row r="236" spans="1:19" x14ac:dyDescent="0.25">
      <c r="A236" s="277">
        <v>8</v>
      </c>
      <c r="B236" s="290" t="s">
        <v>212</v>
      </c>
      <c r="C236" s="256">
        <v>4937</v>
      </c>
      <c r="D236" s="60">
        <v>5572</v>
      </c>
      <c r="E236" s="151">
        <f t="shared" si="93"/>
        <v>-11.396267049533378</v>
      </c>
      <c r="F236" s="60">
        <v>1359</v>
      </c>
      <c r="G236" s="60">
        <v>2016</v>
      </c>
      <c r="H236" s="151">
        <f t="shared" si="94"/>
        <v>-32.589285714285708</v>
      </c>
      <c r="I236" s="60">
        <v>4937</v>
      </c>
      <c r="J236" s="60">
        <v>5572</v>
      </c>
      <c r="K236" s="151">
        <f t="shared" si="95"/>
        <v>-11.396267049533378</v>
      </c>
      <c r="L236" s="60">
        <v>0</v>
      </c>
      <c r="M236" s="60">
        <v>0</v>
      </c>
      <c r="N236" s="100">
        <v>0</v>
      </c>
      <c r="O236" s="45">
        <v>11</v>
      </c>
      <c r="P236" s="75">
        <v>82</v>
      </c>
      <c r="Q236" s="45">
        <v>9</v>
      </c>
      <c r="R236" s="157">
        <f t="shared" si="96"/>
        <v>902</v>
      </c>
    </row>
    <row r="237" spans="1:19" x14ac:dyDescent="0.25">
      <c r="A237" s="277">
        <v>9</v>
      </c>
      <c r="B237" s="295" t="s">
        <v>213</v>
      </c>
      <c r="C237" s="256">
        <v>675</v>
      </c>
      <c r="D237" s="60">
        <v>925</v>
      </c>
      <c r="E237" s="151">
        <f t="shared" si="93"/>
        <v>-27.027027027027032</v>
      </c>
      <c r="F237" s="54">
        <v>590</v>
      </c>
      <c r="G237" s="60">
        <v>590</v>
      </c>
      <c r="H237" s="151">
        <f t="shared" si="94"/>
        <v>0</v>
      </c>
      <c r="I237" s="54">
        <v>1426</v>
      </c>
      <c r="J237" s="60">
        <v>1380</v>
      </c>
      <c r="K237" s="151">
        <f t="shared" si="95"/>
        <v>3.3333333333333428</v>
      </c>
      <c r="L237" s="60">
        <v>0</v>
      </c>
      <c r="M237" s="60">
        <v>0</v>
      </c>
      <c r="N237" s="100">
        <v>0</v>
      </c>
      <c r="O237" s="45">
        <v>23</v>
      </c>
      <c r="P237" s="100">
        <v>59</v>
      </c>
      <c r="Q237" s="45">
        <v>23</v>
      </c>
      <c r="R237" s="162">
        <f t="shared" si="96"/>
        <v>1357</v>
      </c>
    </row>
    <row r="238" spans="1:19" x14ac:dyDescent="0.25">
      <c r="A238" s="270"/>
      <c r="B238" s="270" t="s">
        <v>214</v>
      </c>
      <c r="C238" s="250">
        <f>SUM(C229:C237)</f>
        <v>399757.1</v>
      </c>
      <c r="D238" s="87">
        <f>SUM(D229:D237)</f>
        <v>308156.59999999998</v>
      </c>
      <c r="E238" s="58">
        <f t="shared" si="93"/>
        <v>29.725308495745338</v>
      </c>
      <c r="F238" s="206">
        <f>SUM(F229:F237)</f>
        <v>132446.20000000001</v>
      </c>
      <c r="G238" s="87">
        <f>SUM(G229:G237)</f>
        <v>97106.5</v>
      </c>
      <c r="H238" s="56">
        <f t="shared" si="94"/>
        <v>36.392723453115934</v>
      </c>
      <c r="I238" s="87">
        <f>SUM(I229:I237)</f>
        <v>274862.59999999998</v>
      </c>
      <c r="J238" s="56">
        <f>SUM(J229:J237)</f>
        <v>120044.2</v>
      </c>
      <c r="K238" s="56">
        <f t="shared" si="95"/>
        <v>128.96783018254942</v>
      </c>
      <c r="L238" s="56">
        <f>SUM(L229:L237)</f>
        <v>16393</v>
      </c>
      <c r="M238" s="56">
        <f>SUM(M229:M237)</f>
        <v>1213</v>
      </c>
      <c r="N238" s="56">
        <f t="shared" ref="N238" si="97">L238/M238*100-100</f>
        <v>1251.4427040395713</v>
      </c>
      <c r="O238" s="56">
        <f>SUM(O229:O237)</f>
        <v>451</v>
      </c>
      <c r="P238" s="87">
        <f>R238/O238</f>
        <v>187.10776053215079</v>
      </c>
      <c r="Q238" s="56">
        <f>SUM(Q229:Q237)</f>
        <v>451</v>
      </c>
      <c r="R238" s="188">
        <f>SUM(R229:R237)</f>
        <v>84385.600000000006</v>
      </c>
    </row>
    <row r="239" spans="1:19" x14ac:dyDescent="0.25">
      <c r="A239" s="251"/>
      <c r="B239" s="251"/>
      <c r="C239" s="25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R239" s="24"/>
    </row>
    <row r="240" spans="1:19" x14ac:dyDescent="0.25">
      <c r="A240" s="974" t="s">
        <v>215</v>
      </c>
      <c r="B240" s="975"/>
      <c r="C240" s="244">
        <v>3</v>
      </c>
      <c r="D240" s="37">
        <v>4</v>
      </c>
      <c r="E240" s="38">
        <v>5</v>
      </c>
      <c r="F240" s="37">
        <v>6</v>
      </c>
      <c r="G240" s="37">
        <v>7</v>
      </c>
      <c r="H240" s="37">
        <v>8</v>
      </c>
      <c r="I240" s="37">
        <v>9</v>
      </c>
      <c r="J240" s="37">
        <v>10</v>
      </c>
      <c r="K240" s="37">
        <v>11</v>
      </c>
      <c r="L240" s="37">
        <v>12</v>
      </c>
      <c r="M240" s="37">
        <v>13</v>
      </c>
      <c r="N240" s="37">
        <v>14</v>
      </c>
      <c r="O240" s="37">
        <v>15</v>
      </c>
      <c r="P240" s="38">
        <v>16</v>
      </c>
      <c r="Q240" s="37">
        <v>15</v>
      </c>
    </row>
    <row r="241" spans="1:18" x14ac:dyDescent="0.25">
      <c r="A241" s="271">
        <v>1</v>
      </c>
      <c r="B241" s="281" t="s">
        <v>216</v>
      </c>
      <c r="C241" s="256">
        <v>26857</v>
      </c>
      <c r="D241" s="60">
        <v>40389</v>
      </c>
      <c r="E241" s="151">
        <f t="shared" ref="E241:E243" si="98">C241/D241*100-100</f>
        <v>-33.50417192800019</v>
      </c>
      <c r="F241" s="60">
        <v>10586</v>
      </c>
      <c r="G241" s="60">
        <v>2546</v>
      </c>
      <c r="H241" s="151">
        <f t="shared" ref="H241:H243" si="99">F241/G241*100-100</f>
        <v>315.78947368421052</v>
      </c>
      <c r="I241" s="60">
        <v>26887</v>
      </c>
      <c r="J241" s="60">
        <v>40389</v>
      </c>
      <c r="K241" s="151">
        <f t="shared" ref="K241:K243" si="100">I241/J241*100-100</f>
        <v>-33.429894278145042</v>
      </c>
      <c r="L241" s="60">
        <v>26857</v>
      </c>
      <c r="M241" s="60">
        <f>19229+21160</f>
        <v>40389</v>
      </c>
      <c r="N241" s="151">
        <f t="shared" ref="N241:N243" si="101">L241/M241*100-100</f>
        <v>-33.50417192800019</v>
      </c>
      <c r="O241" s="34">
        <v>49</v>
      </c>
      <c r="P241" s="100">
        <v>63</v>
      </c>
      <c r="Q241" s="34">
        <v>48</v>
      </c>
      <c r="R241" s="72">
        <f>O241*P241</f>
        <v>3087</v>
      </c>
    </row>
    <row r="242" spans="1:18" x14ac:dyDescent="0.25">
      <c r="A242" s="271">
        <v>2</v>
      </c>
      <c r="B242" s="281" t="s">
        <v>217</v>
      </c>
      <c r="C242" s="256">
        <v>34987</v>
      </c>
      <c r="D242" s="60">
        <v>20483</v>
      </c>
      <c r="E242" s="43">
        <f t="shared" si="98"/>
        <v>70.809939950202619</v>
      </c>
      <c r="F242" s="60">
        <v>34987</v>
      </c>
      <c r="G242" s="60">
        <v>2974</v>
      </c>
      <c r="H242" s="151">
        <f t="shared" si="99"/>
        <v>1076.4290517821116</v>
      </c>
      <c r="I242" s="60">
        <v>35132</v>
      </c>
      <c r="J242" s="60">
        <v>20383</v>
      </c>
      <c r="K242" s="151">
        <f t="shared" si="100"/>
        <v>72.359319040376789</v>
      </c>
      <c r="L242" s="60">
        <v>19310</v>
      </c>
      <c r="M242" s="60">
        <v>10861</v>
      </c>
      <c r="N242" s="151">
        <f t="shared" si="101"/>
        <v>77.792100174937843</v>
      </c>
      <c r="O242" s="34">
        <v>164</v>
      </c>
      <c r="P242" s="100">
        <v>82</v>
      </c>
      <c r="Q242" s="34">
        <v>164</v>
      </c>
      <c r="R242" s="72">
        <f>O242*P242</f>
        <v>13448</v>
      </c>
    </row>
    <row r="243" spans="1:18" x14ac:dyDescent="0.25">
      <c r="A243" s="976" t="s">
        <v>202</v>
      </c>
      <c r="B243" s="977" t="s">
        <v>155</v>
      </c>
      <c r="C243" s="250">
        <f>SUM(C241:C242)</f>
        <v>61844</v>
      </c>
      <c r="D243" s="87">
        <f>SUM(D241:D242)</f>
        <v>60872</v>
      </c>
      <c r="E243" s="57">
        <f t="shared" si="98"/>
        <v>1.5967932711263018</v>
      </c>
      <c r="F243" s="87">
        <f>SUM(F241:F242)</f>
        <v>45573</v>
      </c>
      <c r="G243" s="87">
        <f>SUM(G241:G242)</f>
        <v>5520</v>
      </c>
      <c r="H243" s="57">
        <f t="shared" si="99"/>
        <v>725.5978260869565</v>
      </c>
      <c r="I243" s="87">
        <f>SUM(I241:I242)</f>
        <v>62019</v>
      </c>
      <c r="J243" s="87">
        <f>SUM(J241:J242)</f>
        <v>60772</v>
      </c>
      <c r="K243" s="57">
        <f t="shared" si="100"/>
        <v>2.0519318107022855</v>
      </c>
      <c r="L243" s="87">
        <f>SUM(L241:L242)</f>
        <v>46167</v>
      </c>
      <c r="M243" s="87">
        <f>SUM(M241:M242)</f>
        <v>51250</v>
      </c>
      <c r="N243" s="168">
        <f t="shared" si="101"/>
        <v>-9.9180487804878084</v>
      </c>
      <c r="O243" s="87">
        <f>SUM(O241:O242)</f>
        <v>213</v>
      </c>
      <c r="P243" s="87">
        <f>R243/O243</f>
        <v>63.136150234741784</v>
      </c>
      <c r="Q243" s="87">
        <f>SUM(Q241:Q242)</f>
        <v>212</v>
      </c>
      <c r="R243" s="188">
        <f>SUM(R242:R242)</f>
        <v>13448</v>
      </c>
    </row>
  </sheetData>
  <mergeCells count="60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29:Q31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Q32:Q33"/>
    <mergeCell ref="P32:P33"/>
    <mergeCell ref="A78:B78"/>
    <mergeCell ref="A80:B80"/>
    <mergeCell ref="A94:B94"/>
    <mergeCell ref="A68:B68"/>
    <mergeCell ref="A35:B35"/>
    <mergeCell ref="A54:B54"/>
    <mergeCell ref="A56:B56"/>
    <mergeCell ref="A66:B66"/>
    <mergeCell ref="O32:O33"/>
    <mergeCell ref="A32:A33"/>
    <mergeCell ref="B32:B33"/>
    <mergeCell ref="C32:G32"/>
    <mergeCell ref="H32:K32"/>
    <mergeCell ref="A124:B124"/>
    <mergeCell ref="A133:B133"/>
    <mergeCell ref="A206:B206"/>
    <mergeCell ref="A141:B141"/>
    <mergeCell ref="A150:B150"/>
    <mergeCell ref="A151:B151"/>
    <mergeCell ref="A153:B153"/>
    <mergeCell ref="A160:B160"/>
    <mergeCell ref="A162:C162"/>
    <mergeCell ref="A163:B163"/>
    <mergeCell ref="A182:B182"/>
    <mergeCell ref="A184:B184"/>
    <mergeCell ref="A188:B188"/>
    <mergeCell ref="A190:B190"/>
    <mergeCell ref="A139:B139"/>
    <mergeCell ref="A240:B240"/>
    <mergeCell ref="A243:B243"/>
    <mergeCell ref="A209:C209"/>
    <mergeCell ref="A210:B210"/>
    <mergeCell ref="A218:B218"/>
    <mergeCell ref="A220:B220"/>
    <mergeCell ref="A225:B225"/>
    <mergeCell ref="A228:B228"/>
  </mergeCells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A187" zoomScale="90" zoomScaleNormal="90" workbookViewId="0">
      <selection activeCell="C202" sqref="C202"/>
    </sheetView>
  </sheetViews>
  <sheetFormatPr defaultColWidth="11.28515625" defaultRowHeight="15" x14ac:dyDescent="0.25"/>
  <cols>
    <col min="1" max="1" width="4.28515625" customWidth="1"/>
    <col min="2" max="2" width="41" customWidth="1"/>
    <col min="3" max="3" width="12.5703125" customWidth="1"/>
    <col min="4" max="4" width="24.42578125" bestFit="1" customWidth="1"/>
    <col min="5" max="5" width="14.140625" bestFit="1" customWidth="1"/>
    <col min="6" max="7" width="11.28515625" bestFit="1" customWidth="1"/>
    <col min="8" max="8" width="15" bestFit="1" customWidth="1"/>
    <col min="9" max="9" width="11.28515625" customWidth="1"/>
    <col min="10" max="10" width="23" bestFit="1" customWidth="1"/>
    <col min="11" max="11" width="15" bestFit="1" customWidth="1"/>
    <col min="12" max="12" width="11.28515625" bestFit="1" customWidth="1"/>
    <col min="13" max="13" width="23" bestFit="1" customWidth="1"/>
    <col min="14" max="14" width="14.140625" bestFit="1" customWidth="1"/>
    <col min="15" max="15" width="8.85546875" customWidth="1"/>
    <col min="16" max="16" width="8" customWidth="1"/>
  </cols>
  <sheetData>
    <row r="1" spans="1:17" s="314" customFormat="1" ht="16.5" x14ac:dyDescent="0.3">
      <c r="A1" s="941" t="s">
        <v>336</v>
      </c>
      <c r="B1" s="1000"/>
      <c r="C1" s="1000"/>
      <c r="D1" s="1000"/>
      <c r="E1" s="1000"/>
      <c r="F1" s="1000"/>
      <c r="G1" s="1000"/>
      <c r="H1" s="1000"/>
      <c r="I1" s="1000"/>
      <c r="J1" s="1000"/>
      <c r="K1" s="1000"/>
      <c r="L1" s="1000"/>
      <c r="M1" s="1000"/>
      <c r="N1" s="1000"/>
      <c r="O1" s="1000"/>
      <c r="P1" s="1000"/>
    </row>
    <row r="2" spans="1:17" s="314" customFormat="1" ht="17.25" thickBot="1" x14ac:dyDescent="0.35">
      <c r="A2" s="1000"/>
      <c r="B2" s="1000"/>
      <c r="C2" s="1000"/>
      <c r="D2" s="1000"/>
      <c r="E2" s="1000"/>
      <c r="F2" s="1000"/>
      <c r="G2" s="1000"/>
      <c r="H2" s="1000"/>
      <c r="I2" s="1000"/>
      <c r="J2" s="1000"/>
      <c r="K2" s="1000"/>
      <c r="L2" s="1000"/>
      <c r="M2" s="1000"/>
      <c r="N2" s="1000"/>
      <c r="O2" s="1000"/>
      <c r="P2" s="1000"/>
      <c r="Q2" s="315"/>
    </row>
    <row r="3" spans="1:17" s="314" customFormat="1" ht="16.5" customHeight="1" x14ac:dyDescent="0.3">
      <c r="A3" s="1020" t="s">
        <v>1</v>
      </c>
      <c r="B3" s="1023" t="s">
        <v>337</v>
      </c>
      <c r="C3" s="1024" t="s">
        <v>326</v>
      </c>
      <c r="D3" s="1025"/>
      <c r="E3" s="1025"/>
      <c r="F3" s="1025"/>
      <c r="G3" s="1025"/>
      <c r="H3" s="1026"/>
      <c r="I3" s="1027" t="s">
        <v>327</v>
      </c>
      <c r="J3" s="1028"/>
      <c r="K3" s="1029"/>
      <c r="L3" s="1024" t="s">
        <v>328</v>
      </c>
      <c r="M3" s="1025"/>
      <c r="N3" s="1026"/>
      <c r="O3" s="1023" t="s">
        <v>324</v>
      </c>
      <c r="P3" s="1030" t="s">
        <v>329</v>
      </c>
      <c r="Q3" s="316"/>
    </row>
    <row r="4" spans="1:17" s="314" customFormat="1" ht="16.5" customHeight="1" x14ac:dyDescent="0.3">
      <c r="A4" s="1021"/>
      <c r="B4" s="1013"/>
      <c r="C4" s="1011" t="s">
        <v>302</v>
      </c>
      <c r="D4" s="1011" t="s">
        <v>303</v>
      </c>
      <c r="E4" s="1015" t="s">
        <v>323</v>
      </c>
      <c r="F4" s="1011" t="s">
        <v>304</v>
      </c>
      <c r="G4" s="1011" t="s">
        <v>305</v>
      </c>
      <c r="H4" s="1015" t="s">
        <v>323</v>
      </c>
      <c r="I4" s="1011" t="s">
        <v>302</v>
      </c>
      <c r="J4" s="1011" t="s">
        <v>303</v>
      </c>
      <c r="K4" s="1015" t="s">
        <v>323</v>
      </c>
      <c r="L4" s="1011" t="s">
        <v>302</v>
      </c>
      <c r="M4" s="1011" t="s">
        <v>303</v>
      </c>
      <c r="N4" s="1015" t="s">
        <v>323</v>
      </c>
      <c r="O4" s="1013"/>
      <c r="P4" s="1031"/>
      <c r="Q4" s="316"/>
    </row>
    <row r="5" spans="1:17" s="314" customFormat="1" ht="16.5" x14ac:dyDescent="0.3">
      <c r="A5" s="1021"/>
      <c r="B5" s="1013"/>
      <c r="C5" s="1013"/>
      <c r="D5" s="1013"/>
      <c r="E5" s="1016"/>
      <c r="F5" s="1013"/>
      <c r="G5" s="1013"/>
      <c r="H5" s="1016"/>
      <c r="I5" s="1013"/>
      <c r="J5" s="1013"/>
      <c r="K5" s="1016"/>
      <c r="L5" s="1013"/>
      <c r="M5" s="1013"/>
      <c r="N5" s="1016"/>
      <c r="O5" s="1013"/>
      <c r="P5" s="1031"/>
      <c r="Q5" s="316"/>
    </row>
    <row r="6" spans="1:17" s="314" customFormat="1" ht="16.5" x14ac:dyDescent="0.3">
      <c r="A6" s="1021"/>
      <c r="B6" s="1013"/>
      <c r="C6" s="1013"/>
      <c r="D6" s="1013"/>
      <c r="E6" s="1016"/>
      <c r="F6" s="1013"/>
      <c r="G6" s="1013"/>
      <c r="H6" s="1016"/>
      <c r="I6" s="1013"/>
      <c r="J6" s="1013"/>
      <c r="K6" s="1016"/>
      <c r="L6" s="1013"/>
      <c r="M6" s="1013"/>
      <c r="N6" s="1016"/>
      <c r="O6" s="1013"/>
      <c r="P6" s="1031"/>
      <c r="Q6" s="316"/>
    </row>
    <row r="7" spans="1:17" s="314" customFormat="1" ht="16.5" x14ac:dyDescent="0.3">
      <c r="A7" s="1021"/>
      <c r="B7" s="1013"/>
      <c r="C7" s="1013"/>
      <c r="D7" s="1013"/>
      <c r="E7" s="1016"/>
      <c r="F7" s="1013"/>
      <c r="G7" s="1013"/>
      <c r="H7" s="1016"/>
      <c r="I7" s="1013"/>
      <c r="J7" s="1013"/>
      <c r="K7" s="1016"/>
      <c r="L7" s="1013"/>
      <c r="M7" s="1013"/>
      <c r="N7" s="1016"/>
      <c r="O7" s="1013"/>
      <c r="P7" s="1031"/>
      <c r="Q7" s="316"/>
    </row>
    <row r="8" spans="1:17" s="314" customFormat="1" ht="17.25" thickBot="1" x14ac:dyDescent="0.35">
      <c r="A8" s="1022"/>
      <c r="B8" s="1014"/>
      <c r="C8" s="1014"/>
      <c r="D8" s="1014"/>
      <c r="E8" s="1017"/>
      <c r="F8" s="1014"/>
      <c r="G8" s="1014"/>
      <c r="H8" s="1017"/>
      <c r="I8" s="1014"/>
      <c r="J8" s="1014"/>
      <c r="K8" s="1017"/>
      <c r="L8" s="1014"/>
      <c r="M8" s="1014"/>
      <c r="N8" s="1017"/>
      <c r="O8" s="1014"/>
      <c r="P8" s="1032"/>
      <c r="Q8" s="316"/>
    </row>
    <row r="9" spans="1:17" s="314" customFormat="1" ht="17.25" thickBot="1" x14ac:dyDescent="0.35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  <c r="O9" s="317">
        <v>15</v>
      </c>
      <c r="P9" s="336">
        <v>16</v>
      </c>
      <c r="Q9" s="319"/>
    </row>
    <row r="10" spans="1:17" s="321" customFormat="1" ht="34.5" x14ac:dyDescent="0.3">
      <c r="A10" s="394">
        <v>1</v>
      </c>
      <c r="B10" s="395" t="s">
        <v>348</v>
      </c>
      <c r="C10" s="396">
        <f>C11+C25</f>
        <v>279.86140819999997</v>
      </c>
      <c r="D10" s="396">
        <f>D11+D25</f>
        <v>263.84253200000001</v>
      </c>
      <c r="E10" s="397">
        <f>C10/D10*100</f>
        <v>106.07137752907857</v>
      </c>
      <c r="F10" s="396">
        <f>F11+F25</f>
        <v>57.602982099999998</v>
      </c>
      <c r="G10" s="396">
        <f>G11+G25</f>
        <v>52.372857400000001</v>
      </c>
      <c r="H10" s="397">
        <f>F10/G10*100</f>
        <v>109.98632681057421</v>
      </c>
      <c r="I10" s="396">
        <f>I11+I25</f>
        <v>287.29009180000003</v>
      </c>
      <c r="J10" s="396">
        <f>J11+J25</f>
        <v>263.35642860000002</v>
      </c>
      <c r="K10" s="397">
        <f>I10/J10*100</f>
        <v>109.08793581657798</v>
      </c>
      <c r="L10" s="396">
        <f>L11+L25</f>
        <v>155.218467</v>
      </c>
      <c r="M10" s="396">
        <f>M11+M25</f>
        <v>152.77752699999996</v>
      </c>
      <c r="N10" s="397">
        <f>L10/M10*100</f>
        <v>101.5977088043846</v>
      </c>
      <c r="O10" s="398">
        <f>O11+O25</f>
        <v>44770</v>
      </c>
      <c r="P10" s="399">
        <f>Q10/O10</f>
        <v>163.1820437793165</v>
      </c>
      <c r="Q10" s="320">
        <f>Q11+Q25</f>
        <v>7305660.0999999996</v>
      </c>
    </row>
    <row r="11" spans="1:17" ht="34.5" x14ac:dyDescent="0.25">
      <c r="A11" s="222">
        <v>2</v>
      </c>
      <c r="B11" s="373" t="s">
        <v>362</v>
      </c>
      <c r="C11" s="374">
        <f>C12+C13</f>
        <v>221.24049819999999</v>
      </c>
      <c r="D11" s="374">
        <f>D12+D13</f>
        <v>222.90148599999998</v>
      </c>
      <c r="E11" s="374">
        <f>C11/D11*100</f>
        <v>99.254833231573897</v>
      </c>
      <c r="F11" s="374">
        <f>F12+F13</f>
        <v>50.870687099999998</v>
      </c>
      <c r="G11" s="374">
        <f>G12+G13</f>
        <v>45.776543400000001</v>
      </c>
      <c r="H11" s="374">
        <f>F11/G11*100</f>
        <v>111.12828387999257</v>
      </c>
      <c r="I11" s="374">
        <f>I12+I13</f>
        <v>218.50700280000001</v>
      </c>
      <c r="J11" s="374">
        <f>J12+J13</f>
        <v>216.03739760000002</v>
      </c>
      <c r="K11" s="374">
        <f>I11/J11*100</f>
        <v>101.14313782124545</v>
      </c>
      <c r="L11" s="374">
        <f>L12+L13</f>
        <v>147.27398099999999</v>
      </c>
      <c r="M11" s="374">
        <f>M12+M13</f>
        <v>145.32002199999997</v>
      </c>
      <c r="N11" s="374">
        <f>L11/M11*100</f>
        <v>101.34459035520929</v>
      </c>
      <c r="O11" s="402">
        <f>O12+O13</f>
        <v>25916</v>
      </c>
      <c r="P11" s="403">
        <f>Q11/O11</f>
        <v>123.78773344651952</v>
      </c>
      <c r="Q11" s="313">
        <f>Q12+Q13</f>
        <v>3208082.9</v>
      </c>
    </row>
    <row r="12" spans="1:17" ht="34.5" customHeight="1" thickBot="1" x14ac:dyDescent="0.3">
      <c r="A12" s="412">
        <v>3</v>
      </c>
      <c r="B12" s="400" t="s">
        <v>349</v>
      </c>
      <c r="C12" s="390">
        <f>C130/1000000</f>
        <v>71.375578000000004</v>
      </c>
      <c r="D12" s="390">
        <f>D130/1000000</f>
        <v>73.761561999999998</v>
      </c>
      <c r="E12" s="390">
        <f>E130</f>
        <v>96.765274574852413</v>
      </c>
      <c r="F12" s="390">
        <f>F130/1000000</f>
        <v>15.266284000000001</v>
      </c>
      <c r="G12" s="390">
        <f>G130/1000000</f>
        <v>16.485444999999999</v>
      </c>
      <c r="H12" s="391">
        <f>H130</f>
        <v>92.604621834594099</v>
      </c>
      <c r="I12" s="390">
        <f>I130/1000000</f>
        <v>68.439226000000005</v>
      </c>
      <c r="J12" s="390">
        <f>J130/1000000</f>
        <v>69.006652000000003</v>
      </c>
      <c r="K12" s="391">
        <f>K130</f>
        <v>99.177722750554537</v>
      </c>
      <c r="L12" s="390">
        <f>L130/1000000</f>
        <v>47.521667000000001</v>
      </c>
      <c r="M12" s="390">
        <f>M130/1000000</f>
        <v>43.335054999999997</v>
      </c>
      <c r="N12" s="392">
        <f>N130</f>
        <v>109.66102846759973</v>
      </c>
      <c r="O12" s="393">
        <f>O130</f>
        <v>6372</v>
      </c>
      <c r="P12" s="393">
        <f>P130</f>
        <v>169.94224733207784</v>
      </c>
      <c r="Q12" s="12">
        <f>Q130</f>
        <v>1082872</v>
      </c>
    </row>
    <row r="13" spans="1:17" ht="34.5" customHeight="1" x14ac:dyDescent="0.25">
      <c r="A13" s="353">
        <v>4</v>
      </c>
      <c r="B13" s="401" t="s">
        <v>350</v>
      </c>
      <c r="C13" s="379">
        <f>SUM(C14:C24)</f>
        <v>149.86492019999997</v>
      </c>
      <c r="D13" s="379">
        <f>SUM(D14:D24)</f>
        <v>149.13992399999998</v>
      </c>
      <c r="E13" s="380">
        <f t="shared" ref="E13" si="0">C13/D13*100</f>
        <v>100.48611812354149</v>
      </c>
      <c r="F13" s="379">
        <f>SUM(F14:F24)</f>
        <v>35.604403099999999</v>
      </c>
      <c r="G13" s="379">
        <f>SUM(G14:G24)</f>
        <v>29.291098400000003</v>
      </c>
      <c r="H13" s="380">
        <f t="shared" ref="H13" si="1">F13/G13*100</f>
        <v>121.55366321120957</v>
      </c>
      <c r="I13" s="379">
        <f>SUM(I14:I24)</f>
        <v>150.06777679999999</v>
      </c>
      <c r="J13" s="379">
        <f>SUM(J14:J24)</f>
        <v>147.03074560000002</v>
      </c>
      <c r="K13" s="380">
        <f t="shared" ref="K13" si="2">I13/J13*100</f>
        <v>102.06557559618332</v>
      </c>
      <c r="L13" s="379">
        <f>SUM(L14:L24)</f>
        <v>99.752313999999998</v>
      </c>
      <c r="M13" s="379">
        <f>SUM(M14:M24)</f>
        <v>101.98496699999997</v>
      </c>
      <c r="N13" s="380">
        <f t="shared" ref="N13" si="3">L13/M13*100</f>
        <v>97.810801860631116</v>
      </c>
      <c r="O13" s="381">
        <f>SUM(O14:O24)</f>
        <v>19544</v>
      </c>
      <c r="P13" s="382">
        <f>Q13/O13</f>
        <v>108.73981273024968</v>
      </c>
      <c r="Q13" s="378">
        <f>SUM(Q14:Q24)</f>
        <v>2125210.9</v>
      </c>
    </row>
    <row r="14" spans="1:17" ht="27" customHeight="1" x14ac:dyDescent="0.25">
      <c r="A14" s="411">
        <v>5</v>
      </c>
      <c r="B14" s="370" t="s">
        <v>351</v>
      </c>
      <c r="C14" s="371">
        <f>C140/1000000</f>
        <v>63.018186999999998</v>
      </c>
      <c r="D14" s="371">
        <f>D140/1000000</f>
        <v>70.529242999999994</v>
      </c>
      <c r="E14" s="372">
        <f>E140</f>
        <v>89.350437236367327</v>
      </c>
      <c r="F14" s="371">
        <f>F140/1000000</f>
        <v>13.568879000000001</v>
      </c>
      <c r="G14" s="371">
        <f>G140/1000000</f>
        <v>13.911647</v>
      </c>
      <c r="H14" s="372">
        <f>H140</f>
        <v>97.536107694509496</v>
      </c>
      <c r="I14" s="371">
        <f>I140/1000000</f>
        <v>64.729676999999995</v>
      </c>
      <c r="J14" s="371">
        <f>J140/1000000</f>
        <v>69.609769</v>
      </c>
      <c r="K14" s="372">
        <f>K140</f>
        <v>92.989357571348933</v>
      </c>
      <c r="L14" s="372">
        <f>L140/1000000</f>
        <v>61.170366000000001</v>
      </c>
      <c r="M14" s="371">
        <f>M140/1000000</f>
        <v>66.341663999999994</v>
      </c>
      <c r="N14" s="372">
        <f>N140</f>
        <v>92.205052318253578</v>
      </c>
      <c r="O14" s="282">
        <f>O140</f>
        <v>3683</v>
      </c>
      <c r="P14" s="383">
        <f>P140</f>
        <v>133.54059190877001</v>
      </c>
      <c r="Q14" s="12">
        <f>O14*P14</f>
        <v>491829.99999999994</v>
      </c>
    </row>
    <row r="15" spans="1:17" ht="27" customHeight="1" x14ac:dyDescent="0.25">
      <c r="A15" s="222">
        <v>6</v>
      </c>
      <c r="B15" s="370" t="s">
        <v>352</v>
      </c>
      <c r="C15" s="384">
        <f>C150/1000000</f>
        <v>5.896077</v>
      </c>
      <c r="D15" s="384">
        <f>D150/1000000</f>
        <v>5.6965640000000004</v>
      </c>
      <c r="E15" s="372">
        <f>E150</f>
        <v>103.50233930488623</v>
      </c>
      <c r="F15" s="384">
        <f>F150/1000000</f>
        <v>1.284049</v>
      </c>
      <c r="G15" s="384">
        <f>G150/1000000</f>
        <v>1.018289</v>
      </c>
      <c r="H15" s="372">
        <f>H150</f>
        <v>126.09868121918237</v>
      </c>
      <c r="I15" s="384">
        <f>I150/1000000</f>
        <v>5.8089219999999999</v>
      </c>
      <c r="J15" s="384">
        <f>J150/1000000</f>
        <v>4.8603589999999999</v>
      </c>
      <c r="K15" s="372">
        <f>K150</f>
        <v>119.51631556434413</v>
      </c>
      <c r="L15" s="389">
        <f>L150/1000000</f>
        <v>2.5752570000000001</v>
      </c>
      <c r="M15" s="384">
        <f>M150/1000000</f>
        <v>2.0829059999999999</v>
      </c>
      <c r="N15" s="372">
        <f>N150</f>
        <v>123.63769656431927</v>
      </c>
      <c r="O15" s="282">
        <f>O150</f>
        <v>1047</v>
      </c>
      <c r="P15" s="383">
        <f>P150</f>
        <v>111.48997134670488</v>
      </c>
      <c r="Q15" s="12">
        <f>Q150</f>
        <v>116730</v>
      </c>
    </row>
    <row r="16" spans="1:17" ht="42.75" customHeight="1" x14ac:dyDescent="0.25">
      <c r="A16" s="411">
        <v>7</v>
      </c>
      <c r="B16" s="370" t="s">
        <v>353</v>
      </c>
      <c r="C16" s="371">
        <f>C198/1000000</f>
        <v>6.3507319999999998</v>
      </c>
      <c r="D16" s="371">
        <f>D198/1000000</f>
        <v>5.9769930000000002</v>
      </c>
      <c r="E16" s="372">
        <f>E198</f>
        <v>106.25296030964064</v>
      </c>
      <c r="F16" s="371">
        <f>F198/1000000</f>
        <v>1.2281139999999999</v>
      </c>
      <c r="G16" s="371">
        <f>G198/1000000</f>
        <v>1.064254</v>
      </c>
      <c r="H16" s="372">
        <f>H198</f>
        <v>115.39670041174381</v>
      </c>
      <c r="I16" s="371">
        <f>I198/1000000</f>
        <v>6.0970089999999999</v>
      </c>
      <c r="J16" s="371">
        <f>J198/1000000</f>
        <v>10.813205</v>
      </c>
      <c r="K16" s="372">
        <f>K198</f>
        <v>56.384846121015919</v>
      </c>
      <c r="L16" s="372">
        <f>L198/1000000</f>
        <v>5.800859</v>
      </c>
      <c r="M16" s="371">
        <f>M198/1000000</f>
        <v>5.9393690000000001</v>
      </c>
      <c r="N16" s="372">
        <f>N198</f>
        <v>97.667934085253833</v>
      </c>
      <c r="O16" s="282">
        <f>O198</f>
        <v>605</v>
      </c>
      <c r="P16" s="383">
        <f>P198</f>
        <v>152.11239669421488</v>
      </c>
      <c r="Q16" s="12">
        <f>Q198</f>
        <v>92028</v>
      </c>
    </row>
    <row r="17" spans="1:17" ht="27" customHeight="1" x14ac:dyDescent="0.25">
      <c r="A17" s="222">
        <v>8</v>
      </c>
      <c r="B17" s="370" t="s">
        <v>354</v>
      </c>
      <c r="C17" s="371">
        <f>C36/1000000</f>
        <v>0.85536100000000004</v>
      </c>
      <c r="D17" s="371">
        <f>D36/1000000</f>
        <v>1.393615</v>
      </c>
      <c r="E17" s="372">
        <f>E36</f>
        <v>61.377137875238141</v>
      </c>
      <c r="F17" s="371">
        <f>F36/1000000</f>
        <v>0.20207</v>
      </c>
      <c r="G17" s="371">
        <f>G36/1000000</f>
        <v>0.265343</v>
      </c>
      <c r="H17" s="372">
        <f>H36</f>
        <v>76.154260711607236</v>
      </c>
      <c r="I17" s="371">
        <f>I36/1000000</f>
        <v>0.99725200000000003</v>
      </c>
      <c r="J17" s="371">
        <f>J36/1000000</f>
        <v>1.398671</v>
      </c>
      <c r="K17" s="372">
        <f>K36</f>
        <v>71.299969757005044</v>
      </c>
      <c r="L17" s="372">
        <f>L36/1000000</f>
        <v>1.0706310000000001</v>
      </c>
      <c r="M17" s="371">
        <f>M36/1000000</f>
        <v>1.5239780000000001</v>
      </c>
      <c r="N17" s="372">
        <f>N36</f>
        <v>70.252392094899008</v>
      </c>
      <c r="O17" s="282">
        <f>O36</f>
        <v>644</v>
      </c>
      <c r="P17" s="383">
        <f>P36</f>
        <v>108.98757763975155</v>
      </c>
      <c r="Q17" s="12">
        <f>Q36</f>
        <v>70188</v>
      </c>
    </row>
    <row r="18" spans="1:17" ht="27" customHeight="1" x14ac:dyDescent="0.25">
      <c r="A18" s="411">
        <v>9</v>
      </c>
      <c r="B18" s="370" t="s">
        <v>355</v>
      </c>
      <c r="C18" s="371">
        <f>C56/1000000</f>
        <v>0.477825</v>
      </c>
      <c r="D18" s="371">
        <f>D56/1000000</f>
        <v>0.55000700000000002</v>
      </c>
      <c r="E18" s="372">
        <f>E56</f>
        <v>86.876167030601422</v>
      </c>
      <c r="F18" s="371">
        <f>F56/1000000</f>
        <v>0.119948</v>
      </c>
      <c r="G18" s="371">
        <f>G56/1000000</f>
        <v>0.178202</v>
      </c>
      <c r="H18" s="372">
        <f>H56</f>
        <v>67.310131199425371</v>
      </c>
      <c r="I18" s="371">
        <f>I56/1000000</f>
        <v>0.440722</v>
      </c>
      <c r="J18" s="371">
        <f>J56/1000000</f>
        <v>0.58706800000000003</v>
      </c>
      <c r="K18" s="372">
        <f>K56</f>
        <v>75.071712305899823</v>
      </c>
      <c r="L18" s="372">
        <f>L56/1000000</f>
        <v>0.22700899999999999</v>
      </c>
      <c r="M18" s="371">
        <f>M56/1000000</f>
        <v>0.31542199999999998</v>
      </c>
      <c r="N18" s="372">
        <f>N56</f>
        <v>71.969932344604999</v>
      </c>
      <c r="O18" s="282">
        <f>O56</f>
        <v>570</v>
      </c>
      <c r="P18" s="383">
        <f>P56</f>
        <v>94.785964912280704</v>
      </c>
      <c r="Q18" s="12">
        <f>Q56</f>
        <v>54028</v>
      </c>
    </row>
    <row r="19" spans="1:17" ht="27" customHeight="1" x14ac:dyDescent="0.25">
      <c r="A19" s="222">
        <v>10</v>
      </c>
      <c r="B19" s="370" t="s">
        <v>356</v>
      </c>
      <c r="C19" s="371">
        <f>C68/1000000</f>
        <v>0.47228100000000001</v>
      </c>
      <c r="D19" s="371">
        <f>D68/1000000</f>
        <v>0.90101100000000001</v>
      </c>
      <c r="E19" s="372">
        <f>E68</f>
        <v>52.416785144687474</v>
      </c>
      <c r="F19" s="371">
        <f>F68/1000000</f>
        <v>0.20931</v>
      </c>
      <c r="G19" s="371">
        <f>G68/1000000</f>
        <v>0.120348</v>
      </c>
      <c r="H19" s="372">
        <f>H68</f>
        <v>173.92063017249976</v>
      </c>
      <c r="I19" s="371">
        <f>I68/1000000</f>
        <v>0.443415</v>
      </c>
      <c r="J19" s="371">
        <f>J68/1000000</f>
        <v>0.60346699999999998</v>
      </c>
      <c r="K19" s="372">
        <f>K68</f>
        <v>73.477920085108224</v>
      </c>
      <c r="L19" s="372">
        <f>L68/1000000</f>
        <v>6.3125000000000001E-2</v>
      </c>
      <c r="M19" s="371">
        <f>M68/1000000</f>
        <v>0.51024099999999994</v>
      </c>
      <c r="N19" s="372">
        <f>N68</f>
        <v>12.371604790677347</v>
      </c>
      <c r="O19" s="282">
        <f>O68</f>
        <v>412</v>
      </c>
      <c r="P19" s="383">
        <f>P68</f>
        <v>127.24029126213593</v>
      </c>
      <c r="Q19" s="12">
        <f t="shared" ref="Q19:Q24" si="4">O19*P19</f>
        <v>52423</v>
      </c>
    </row>
    <row r="20" spans="1:17" ht="27" customHeight="1" x14ac:dyDescent="0.25">
      <c r="A20" s="411">
        <v>11</v>
      </c>
      <c r="B20" s="370" t="s">
        <v>357</v>
      </c>
      <c r="C20" s="371">
        <f>C78/1000000</f>
        <v>2.308179</v>
      </c>
      <c r="D20" s="371">
        <f>D78/1000000</f>
        <v>2.2582010000000001</v>
      </c>
      <c r="E20" s="372">
        <f>E78</f>
        <v>102.21317765779044</v>
      </c>
      <c r="F20" s="371">
        <f>F78/1000000</f>
        <v>0.38109900000000002</v>
      </c>
      <c r="G20" s="371">
        <f>G78/1000000</f>
        <v>0.58158900000000002</v>
      </c>
      <c r="H20" s="372">
        <f>H78</f>
        <v>65.527202199491398</v>
      </c>
      <c r="I20" s="371">
        <f>I78/1000000</f>
        <v>3.2106180000000002</v>
      </c>
      <c r="J20" s="371">
        <f>J78/1000000</f>
        <v>3.9187050000000001</v>
      </c>
      <c r="K20" s="372">
        <f>K78</f>
        <v>81.930586762718804</v>
      </c>
      <c r="L20" s="372">
        <f>L78/1000000</f>
        <v>0.818052</v>
      </c>
      <c r="M20" s="371">
        <f>M78/1000000</f>
        <v>1.1827559999999999</v>
      </c>
      <c r="N20" s="372">
        <f>N78</f>
        <v>69.164899607357739</v>
      </c>
      <c r="O20" s="282">
        <f>O78</f>
        <v>3900</v>
      </c>
      <c r="P20" s="383">
        <f>P78</f>
        <v>114.83282051282052</v>
      </c>
      <c r="Q20" s="12">
        <f t="shared" si="4"/>
        <v>447848</v>
      </c>
    </row>
    <row r="21" spans="1:17" ht="27" customHeight="1" x14ac:dyDescent="0.25">
      <c r="A21" s="222">
        <v>12</v>
      </c>
      <c r="B21" s="370" t="s">
        <v>358</v>
      </c>
      <c r="C21" s="371">
        <f>C155/1000000</f>
        <v>68.052404999999993</v>
      </c>
      <c r="D21" s="371">
        <f>D155/1000000</f>
        <v>60.211720999999997</v>
      </c>
      <c r="E21" s="372">
        <f>E155</f>
        <v>113.02185665810815</v>
      </c>
      <c r="F21" s="371">
        <f>F155/1000000</f>
        <v>18.106522999999999</v>
      </c>
      <c r="G21" s="371">
        <f>G155/1000000</f>
        <v>11.822950000000001</v>
      </c>
      <c r="H21" s="372">
        <f>H155</f>
        <v>153.14725174343121</v>
      </c>
      <c r="I21" s="371">
        <f>I155/1000000</f>
        <v>66.046569000000005</v>
      </c>
      <c r="J21" s="371">
        <f>J155/1000000</f>
        <v>53.924320000000002</v>
      </c>
      <c r="K21" s="372">
        <f>K155</f>
        <v>122.48011472374615</v>
      </c>
      <c r="L21" s="372">
        <f>L155/1000000</f>
        <v>26.654962000000001</v>
      </c>
      <c r="M21" s="371">
        <f>M155/1000000</f>
        <v>23.499123999999998</v>
      </c>
      <c r="N21" s="372">
        <f>N155</f>
        <v>113.42959848205405</v>
      </c>
      <c r="O21" s="282">
        <f>O155</f>
        <v>6309</v>
      </c>
      <c r="P21" s="383">
        <f>P155</f>
        <v>91.122681883024256</v>
      </c>
      <c r="Q21" s="12">
        <f t="shared" si="4"/>
        <v>574893</v>
      </c>
    </row>
    <row r="22" spans="1:17" ht="27" customHeight="1" x14ac:dyDescent="0.25">
      <c r="A22" s="411">
        <v>13</v>
      </c>
      <c r="B22" s="370" t="s">
        <v>359</v>
      </c>
      <c r="C22" s="371">
        <f>C92/1000000</f>
        <v>1.8876250000000001</v>
      </c>
      <c r="D22" s="371">
        <f>D92/1000000</f>
        <v>1.1694420000000001</v>
      </c>
      <c r="E22" s="372">
        <f>E92</f>
        <v>161.4124514084495</v>
      </c>
      <c r="F22" s="371">
        <f>F92/1000000</f>
        <v>0.41018399999999999</v>
      </c>
      <c r="G22" s="371">
        <f>G92/1000000</f>
        <v>0.229377</v>
      </c>
      <c r="H22" s="372">
        <f>H92</f>
        <v>178.82525274983979</v>
      </c>
      <c r="I22" s="371">
        <f>I92/1000000</f>
        <v>1.9124049999999999</v>
      </c>
      <c r="J22" s="371">
        <f>J92/1000000</f>
        <v>1.109567</v>
      </c>
      <c r="K22" s="372">
        <f>K92</f>
        <v>72.355973095811265</v>
      </c>
      <c r="L22" s="372">
        <f>L92/1000000</f>
        <v>1.3442210000000001</v>
      </c>
      <c r="M22" s="371">
        <f>M92/1000000</f>
        <v>0.58831199999999995</v>
      </c>
      <c r="N22" s="372">
        <f>N92</f>
        <v>228.4877751941147</v>
      </c>
      <c r="O22" s="282">
        <f>O92</f>
        <v>1826</v>
      </c>
      <c r="P22" s="383">
        <f>P92</f>
        <v>79.337349397590359</v>
      </c>
      <c r="Q22" s="12">
        <f t="shared" si="4"/>
        <v>144870</v>
      </c>
    </row>
    <row r="23" spans="1:17" ht="27" customHeight="1" x14ac:dyDescent="0.25">
      <c r="A23" s="222">
        <v>14</v>
      </c>
      <c r="B23" s="370" t="s">
        <v>360</v>
      </c>
      <c r="C23" s="371">
        <f>C121/1000000</f>
        <v>6.2538999999999997E-2</v>
      </c>
      <c r="D23" s="371">
        <f>D121/1000000</f>
        <v>6.8114999999999995E-2</v>
      </c>
      <c r="E23" s="372">
        <f>E121</f>
        <v>91.813844234016003</v>
      </c>
      <c r="F23" s="371">
        <f>F121/1000000</f>
        <v>1.0274999999999999E-2</v>
      </c>
      <c r="G23" s="371">
        <f>G121/1000000</f>
        <v>2.2414E-2</v>
      </c>
      <c r="H23" s="372">
        <f>H121</f>
        <v>45.841884536450436</v>
      </c>
      <c r="I23" s="371">
        <f>I121/1000000</f>
        <v>5.3136999999999997E-2</v>
      </c>
      <c r="J23" s="371">
        <f>J121/1000000</f>
        <v>5.3207999999999998E-2</v>
      </c>
      <c r="K23" s="372">
        <f>K121</f>
        <v>99.86656141933544</v>
      </c>
      <c r="L23" s="372">
        <f>L121/1000000</f>
        <v>1.0266000000000001E-2</v>
      </c>
      <c r="M23" s="371">
        <f>M121/1000000</f>
        <v>0</v>
      </c>
      <c r="N23" s="372" t="e">
        <f>N121</f>
        <v>#DIV/0!</v>
      </c>
      <c r="O23" s="282">
        <f>O121</f>
        <v>100</v>
      </c>
      <c r="P23" s="383">
        <f>P121</f>
        <v>83.2</v>
      </c>
      <c r="Q23" s="12">
        <f t="shared" si="4"/>
        <v>8320</v>
      </c>
    </row>
    <row r="24" spans="1:17" ht="27" customHeight="1" x14ac:dyDescent="0.25">
      <c r="A24" s="411">
        <v>15</v>
      </c>
      <c r="B24" s="370" t="s">
        <v>361</v>
      </c>
      <c r="C24" s="371">
        <f>C215/1000000</f>
        <v>0.48370920000000001</v>
      </c>
      <c r="D24" s="371">
        <f>D215/1000000</f>
        <v>0.38501200000000002</v>
      </c>
      <c r="E24" s="372">
        <f>E215</f>
        <v>125.63483735571879</v>
      </c>
      <c r="F24" s="371">
        <f>F215/1000000</f>
        <v>8.3952100000000002E-2</v>
      </c>
      <c r="G24" s="371">
        <f>G215/1000000</f>
        <v>7.6685400000000001E-2</v>
      </c>
      <c r="H24" s="372">
        <f>H215</f>
        <v>109.47598891053578</v>
      </c>
      <c r="I24" s="371">
        <f>I215/1000000</f>
        <v>0.32805079999999998</v>
      </c>
      <c r="J24" s="371">
        <f>J215/1000000</f>
        <v>0.1524066</v>
      </c>
      <c r="K24" s="372">
        <f>K215</f>
        <v>215.24710872101335</v>
      </c>
      <c r="L24" s="372">
        <f>L215/1000000</f>
        <v>1.7565999999999998E-2</v>
      </c>
      <c r="M24" s="371">
        <f>M215/1000000</f>
        <v>1.1950000000000001E-3</v>
      </c>
      <c r="N24" s="282">
        <f>N215</f>
        <v>1469.9581589958159</v>
      </c>
      <c r="O24" s="282">
        <f>O215</f>
        <v>448</v>
      </c>
      <c r="P24" s="383">
        <f>P215</f>
        <v>160.83236607142859</v>
      </c>
      <c r="Q24" s="12">
        <f t="shared" si="4"/>
        <v>72052.900000000009</v>
      </c>
    </row>
    <row r="25" spans="1:17" s="314" customFormat="1" ht="17.25" thickBot="1" x14ac:dyDescent="0.35">
      <c r="A25" s="222">
        <v>16</v>
      </c>
      <c r="B25" s="377" t="s">
        <v>322</v>
      </c>
      <c r="C25" s="385">
        <f>C227/1000000</f>
        <v>58.620910000000002</v>
      </c>
      <c r="D25" s="385">
        <f>D227/1000000</f>
        <v>40.941046</v>
      </c>
      <c r="E25" s="386">
        <f t="shared" ref="E25" si="5">C25/D25*100</f>
        <v>143.1837134791329</v>
      </c>
      <c r="F25" s="385">
        <f>F227/1000000</f>
        <v>6.7322949999999997</v>
      </c>
      <c r="G25" s="385">
        <f>G227/1000000</f>
        <v>6.5963139999999996</v>
      </c>
      <c r="H25" s="386">
        <f t="shared" ref="H25" si="6">F25/G25*100</f>
        <v>102.06146948128909</v>
      </c>
      <c r="I25" s="385">
        <f>I227/1000000</f>
        <v>68.783089000000004</v>
      </c>
      <c r="J25" s="385">
        <f>J227/1000000</f>
        <v>47.319031000000003</v>
      </c>
      <c r="K25" s="386">
        <f t="shared" ref="K25" si="7">I25/J25*100</f>
        <v>145.36030756842842</v>
      </c>
      <c r="L25" s="385">
        <f>L227/1000000</f>
        <v>7.9444860000000004</v>
      </c>
      <c r="M25" s="385">
        <f>M227/1000000</f>
        <v>7.4575050000000003</v>
      </c>
      <c r="N25" s="386">
        <f t="shared" ref="N25" si="8">L25/M25*100</f>
        <v>106.53007943005066</v>
      </c>
      <c r="O25" s="387">
        <f>O227</f>
        <v>18854</v>
      </c>
      <c r="P25" s="388">
        <f>Q25/O25</f>
        <v>217.33198260316112</v>
      </c>
      <c r="Q25" s="320">
        <f>Q227</f>
        <v>4097577.1999999997</v>
      </c>
    </row>
    <row r="26" spans="1:17" s="314" customFormat="1" ht="18" thickBot="1" x14ac:dyDescent="0.35">
      <c r="A26" s="409"/>
      <c r="B26" s="410" t="s">
        <v>321</v>
      </c>
      <c r="C26" s="404">
        <f>C245/1000000</f>
        <v>0.95655299999999999</v>
      </c>
      <c r="D26" s="404">
        <f>D245/1000000</f>
        <v>0.95655299999999999</v>
      </c>
      <c r="E26" s="405">
        <f>C26/D26*100</f>
        <v>100</v>
      </c>
      <c r="F26" s="406">
        <f>F245/1000000</f>
        <v>0.18406110000000001</v>
      </c>
      <c r="G26" s="406">
        <f>G245/1000000</f>
        <v>0.175478</v>
      </c>
      <c r="H26" s="405">
        <f>F26/G26*100</f>
        <v>104.89126842111263</v>
      </c>
      <c r="I26" s="404">
        <f>I245/1000000</f>
        <v>0.95655299999999999</v>
      </c>
      <c r="J26" s="404">
        <f>J245/1000000</f>
        <v>0.89235500000000001</v>
      </c>
      <c r="K26" s="405">
        <f>I26/J26*100</f>
        <v>107.19422203046993</v>
      </c>
      <c r="L26" s="404">
        <f>L245/1000000</f>
        <v>0.15542400000000001</v>
      </c>
      <c r="M26" s="404">
        <f>M245/1000000</f>
        <v>0.17763699999999999</v>
      </c>
      <c r="N26" s="405">
        <f>L26/M26*100</f>
        <v>87.495285329069972</v>
      </c>
      <c r="O26" s="407">
        <f>O245</f>
        <v>1292</v>
      </c>
      <c r="P26" s="408">
        <f>Q26/O26</f>
        <v>82.421904024767784</v>
      </c>
      <c r="Q26" s="320">
        <f>Q245</f>
        <v>106489.09999999998</v>
      </c>
    </row>
    <row r="28" spans="1:17" ht="65.25" customHeight="1" x14ac:dyDescent="0.25"/>
    <row r="29" spans="1:17" ht="30.75" customHeight="1" x14ac:dyDescent="0.25">
      <c r="A29" s="941" t="s">
        <v>347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  <c r="O29" s="1000"/>
      <c r="P29" s="1000"/>
      <c r="Q29" s="24"/>
    </row>
    <row r="30" spans="1:17" s="1" customFormat="1" ht="6.75" customHeight="1" x14ac:dyDescent="0.2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  <c r="O30" s="1000"/>
      <c r="P30" s="1000"/>
      <c r="Q30" s="367"/>
    </row>
    <row r="31" spans="1:17" ht="15" customHeight="1" x14ac:dyDescent="0.25">
      <c r="A31" s="954" t="s">
        <v>1</v>
      </c>
      <c r="B31" s="1011" t="s">
        <v>338</v>
      </c>
      <c r="C31" s="929" t="s">
        <v>3</v>
      </c>
      <c r="D31" s="930"/>
      <c r="E31" s="930"/>
      <c r="F31" s="930"/>
      <c r="G31" s="931"/>
      <c r="H31" s="929" t="s">
        <v>4</v>
      </c>
      <c r="I31" s="930"/>
      <c r="J31" s="930"/>
      <c r="K31" s="931"/>
      <c r="L31" s="223"/>
      <c r="M31" s="223" t="s">
        <v>5</v>
      </c>
      <c r="N31" s="244"/>
      <c r="O31" s="898" t="s">
        <v>330</v>
      </c>
      <c r="P31" s="935" t="s">
        <v>325</v>
      </c>
      <c r="Q31" s="28"/>
    </row>
    <row r="32" spans="1:17" ht="60" customHeight="1" x14ac:dyDescent="0.25">
      <c r="A32" s="926"/>
      <c r="B32" s="1012"/>
      <c r="C32" s="240" t="s">
        <v>302</v>
      </c>
      <c r="D32" s="240" t="s">
        <v>303</v>
      </c>
      <c r="E32" s="241" t="s">
        <v>323</v>
      </c>
      <c r="F32" s="240" t="s">
        <v>304</v>
      </c>
      <c r="G32" s="240" t="s">
        <v>305</v>
      </c>
      <c r="H32" s="241" t="s">
        <v>323</v>
      </c>
      <c r="I32" s="240" t="s">
        <v>302</v>
      </c>
      <c r="J32" s="240" t="s">
        <v>303</v>
      </c>
      <c r="K32" s="241" t="s">
        <v>323</v>
      </c>
      <c r="L32" s="240" t="s">
        <v>302</v>
      </c>
      <c r="M32" s="240" t="s">
        <v>303</v>
      </c>
      <c r="N32" s="241" t="s">
        <v>323</v>
      </c>
      <c r="O32" s="900"/>
      <c r="P32" s="937"/>
      <c r="Q32" s="31"/>
    </row>
    <row r="33" spans="1:17" ht="29.25" customHeight="1" x14ac:dyDescent="0.25">
      <c r="A33" s="223">
        <v>1</v>
      </c>
      <c r="B33" s="223">
        <v>2</v>
      </c>
      <c r="C33" s="223">
        <v>3</v>
      </c>
      <c r="D33" s="337">
        <v>4</v>
      </c>
      <c r="E33" s="338">
        <v>5</v>
      </c>
      <c r="F33" s="337">
        <v>6</v>
      </c>
      <c r="G33" s="337">
        <v>7</v>
      </c>
      <c r="H33" s="337">
        <v>8</v>
      </c>
      <c r="I33" s="337">
        <v>9</v>
      </c>
      <c r="J33" s="337">
        <v>10</v>
      </c>
      <c r="K33" s="337">
        <v>11</v>
      </c>
      <c r="L33" s="337">
        <v>12</v>
      </c>
      <c r="M33" s="337">
        <v>13</v>
      </c>
      <c r="N33" s="337">
        <v>14</v>
      </c>
      <c r="O33" s="337">
        <v>15</v>
      </c>
      <c r="P33" s="338">
        <v>16</v>
      </c>
      <c r="Q33" s="31"/>
    </row>
    <row r="34" spans="1:17" x14ac:dyDescent="0.25">
      <c r="A34" s="242"/>
      <c r="B34" s="419" t="s">
        <v>369</v>
      </c>
      <c r="C34" s="242"/>
      <c r="D34" s="32"/>
      <c r="E34" s="32"/>
      <c r="F34" s="32"/>
      <c r="G34" s="32"/>
      <c r="H34" s="32"/>
      <c r="I34" s="32"/>
      <c r="J34" s="32"/>
      <c r="K34" s="34"/>
      <c r="L34" s="32"/>
      <c r="M34" s="32"/>
      <c r="N34" s="32"/>
      <c r="O34" s="32"/>
      <c r="P34" s="35"/>
      <c r="Q34" s="36"/>
    </row>
    <row r="35" spans="1:17" x14ac:dyDescent="0.25">
      <c r="A35" s="1009" t="s">
        <v>370</v>
      </c>
      <c r="B35" s="1010" t="s">
        <v>78</v>
      </c>
      <c r="C35" s="330">
        <f>C36+C56+C68</f>
        <v>1805467</v>
      </c>
      <c r="D35" s="331">
        <f>D36+D56+D68</f>
        <v>2844633</v>
      </c>
      <c r="E35" s="335">
        <f>C35/D35*100</f>
        <v>63.469241902206718</v>
      </c>
      <c r="F35" s="331">
        <f>F36+F56+F68</f>
        <v>531328</v>
      </c>
      <c r="G35" s="331">
        <f>G36+G56+G68</f>
        <v>563893</v>
      </c>
      <c r="H35" s="335">
        <f>F35/G35*100</f>
        <v>94.224968212054421</v>
      </c>
      <c r="I35" s="331">
        <f>I36+I56+I68</f>
        <v>1881389</v>
      </c>
      <c r="J35" s="331">
        <f>J36+J56+J68</f>
        <v>2589206</v>
      </c>
      <c r="K35" s="335">
        <f>I35/J35*100</f>
        <v>72.662777700963161</v>
      </c>
      <c r="L35" s="331">
        <f>L36+L56+L68</f>
        <v>1360765</v>
      </c>
      <c r="M35" s="331">
        <f>M36+M56+M68</f>
        <v>2349641</v>
      </c>
      <c r="N35" s="335">
        <f>L35/M35*100</f>
        <v>57.913740865093857</v>
      </c>
      <c r="O35" s="332">
        <f>O36+O56+O68</f>
        <v>1626</v>
      </c>
      <c r="P35" s="333">
        <f>Q35/O35</f>
        <v>108.6340713407134</v>
      </c>
      <c r="Q35" s="334">
        <f>Q36+Q56+Q68</f>
        <v>176639</v>
      </c>
    </row>
    <row r="36" spans="1:17" ht="27" customHeight="1" x14ac:dyDescent="0.25">
      <c r="A36" s="1003" t="s">
        <v>371</v>
      </c>
      <c r="B36" s="1004"/>
      <c r="C36" s="254">
        <f>SUM(C37:C54)</f>
        <v>855361</v>
      </c>
      <c r="D36" s="68">
        <f>SUM(D37:D54)</f>
        <v>1393615</v>
      </c>
      <c r="E36" s="57">
        <f>C36/D36*100</f>
        <v>61.377137875238141</v>
      </c>
      <c r="F36" s="68">
        <f>SUM(F37:F54)</f>
        <v>202070</v>
      </c>
      <c r="G36" s="68">
        <f>SUM(G37:G54)</f>
        <v>265343</v>
      </c>
      <c r="H36" s="57">
        <f>F36/G36*100</f>
        <v>76.154260711607236</v>
      </c>
      <c r="I36" s="68">
        <f>SUM(I37:I54)</f>
        <v>997252</v>
      </c>
      <c r="J36" s="68">
        <f>SUM(J37:J54)</f>
        <v>1398671</v>
      </c>
      <c r="K36" s="57">
        <f>I36/J36*100</f>
        <v>71.299969757005044</v>
      </c>
      <c r="L36" s="68">
        <f>SUM(L37:L54)</f>
        <v>1070631</v>
      </c>
      <c r="M36" s="68">
        <f>SUM(M37:M54)</f>
        <v>1523978</v>
      </c>
      <c r="N36" s="57">
        <f>L36/M36*100</f>
        <v>70.252392094899008</v>
      </c>
      <c r="O36" s="68">
        <f>SUM(O37:O54)</f>
        <v>644</v>
      </c>
      <c r="P36" s="69">
        <f>Q36/O36</f>
        <v>108.98757763975155</v>
      </c>
      <c r="Q36" s="67">
        <f>SUM(Q37:Q54)</f>
        <v>70188</v>
      </c>
    </row>
    <row r="37" spans="1:17" x14ac:dyDescent="0.25">
      <c r="A37" s="253">
        <v>1</v>
      </c>
      <c r="B37" s="304" t="s">
        <v>372</v>
      </c>
      <c r="C37" s="54">
        <v>38691</v>
      </c>
      <c r="D37" s="54">
        <v>52349</v>
      </c>
      <c r="E37" s="43">
        <f>C37/D37*100</f>
        <v>73.909721293625481</v>
      </c>
      <c r="F37" s="54">
        <v>8874</v>
      </c>
      <c r="G37" s="54">
        <v>9313</v>
      </c>
      <c r="H37" s="43">
        <f>F37/G37*100</f>
        <v>95.286159132395582</v>
      </c>
      <c r="I37" s="54">
        <v>25025</v>
      </c>
      <c r="J37" s="54">
        <v>52349</v>
      </c>
      <c r="K37" s="43">
        <f>I37/J37*100</f>
        <v>47.804160537928134</v>
      </c>
      <c r="L37" s="54">
        <v>0</v>
      </c>
      <c r="M37" s="54">
        <v>1672</v>
      </c>
      <c r="N37" s="43">
        <f>L37/M37*100</f>
        <v>0</v>
      </c>
      <c r="O37" s="54">
        <v>72</v>
      </c>
      <c r="P37" s="42">
        <v>105</v>
      </c>
      <c r="Q37" s="44">
        <f>O37*P37</f>
        <v>7560</v>
      </c>
    </row>
    <row r="38" spans="1:17" x14ac:dyDescent="0.25">
      <c r="A38" s="253">
        <v>2</v>
      </c>
      <c r="B38" s="304" t="s">
        <v>373</v>
      </c>
      <c r="C38" s="54">
        <v>159392</v>
      </c>
      <c r="D38" s="54">
        <v>107195</v>
      </c>
      <c r="E38" s="43">
        <f t="shared" ref="E38:E54" si="9">C38/D38*100</f>
        <v>148.69350249545221</v>
      </c>
      <c r="F38" s="54">
        <v>44435</v>
      </c>
      <c r="G38" s="54">
        <v>7568</v>
      </c>
      <c r="H38" s="43">
        <f t="shared" ref="H38:H54" si="10">F38/G38*100</f>
        <v>587.1432346723044</v>
      </c>
      <c r="I38" s="54">
        <v>159392</v>
      </c>
      <c r="J38" s="54">
        <v>107195</v>
      </c>
      <c r="K38" s="43">
        <f t="shared" ref="K38:K54" si="11">I38/J38*100</f>
        <v>148.69350249545221</v>
      </c>
      <c r="L38" s="54">
        <f>595824+7884</f>
        <v>603708</v>
      </c>
      <c r="M38" s="54">
        <v>664978</v>
      </c>
      <c r="N38" s="43">
        <f t="shared" ref="N38:N54" si="12">L38/M38*100</f>
        <v>90.786161346691159</v>
      </c>
      <c r="O38" s="54">
        <v>72</v>
      </c>
      <c r="P38" s="46">
        <v>207</v>
      </c>
      <c r="Q38" s="44">
        <f t="shared" ref="Q38:Q54" si="13">O38*P38</f>
        <v>14904</v>
      </c>
    </row>
    <row r="39" spans="1:17" x14ac:dyDescent="0.25">
      <c r="A39" s="253">
        <v>3</v>
      </c>
      <c r="B39" s="304" t="s">
        <v>374</v>
      </c>
      <c r="C39" s="54">
        <v>1739</v>
      </c>
      <c r="D39" s="54">
        <v>28263</v>
      </c>
      <c r="E39" s="43">
        <f t="shared" si="9"/>
        <v>6.1529207798181371</v>
      </c>
      <c r="F39" s="54">
        <v>7595</v>
      </c>
      <c r="G39" s="54">
        <v>4347</v>
      </c>
      <c r="H39" s="43">
        <f t="shared" si="10"/>
        <v>174.71819645732688</v>
      </c>
      <c r="I39" s="54">
        <v>23223</v>
      </c>
      <c r="J39" s="54">
        <v>35654</v>
      </c>
      <c r="K39" s="43">
        <f t="shared" si="11"/>
        <v>65.134346777360179</v>
      </c>
      <c r="L39" s="54">
        <v>0</v>
      </c>
      <c r="M39" s="54">
        <v>0</v>
      </c>
      <c r="N39" s="43" t="e">
        <f t="shared" si="12"/>
        <v>#DIV/0!</v>
      </c>
      <c r="O39" s="54">
        <v>23</v>
      </c>
      <c r="P39" s="46">
        <v>90</v>
      </c>
      <c r="Q39" s="44">
        <f t="shared" si="13"/>
        <v>2070</v>
      </c>
    </row>
    <row r="40" spans="1:17" ht="24.75" customHeight="1" x14ac:dyDescent="0.25">
      <c r="A40" s="253">
        <v>4</v>
      </c>
      <c r="B40" s="304" t="s">
        <v>375</v>
      </c>
      <c r="C40" s="54">
        <v>7840</v>
      </c>
      <c r="D40" s="54">
        <v>6030</v>
      </c>
      <c r="E40" s="43">
        <f t="shared" si="9"/>
        <v>130.01658374792703</v>
      </c>
      <c r="F40" s="54">
        <v>4680</v>
      </c>
      <c r="G40" s="54">
        <v>1000</v>
      </c>
      <c r="H40" s="43">
        <f t="shared" si="10"/>
        <v>468</v>
      </c>
      <c r="I40" s="54">
        <v>7024</v>
      </c>
      <c r="J40" s="54">
        <v>11668</v>
      </c>
      <c r="K40" s="43">
        <f t="shared" si="11"/>
        <v>60.198834418923553</v>
      </c>
      <c r="L40" s="54">
        <v>7024</v>
      </c>
      <c r="M40" s="54">
        <v>11668</v>
      </c>
      <c r="N40" s="43">
        <f t="shared" si="12"/>
        <v>60.198834418923553</v>
      </c>
      <c r="O40" s="54">
        <v>9</v>
      </c>
      <c r="P40" s="46">
        <v>60</v>
      </c>
      <c r="Q40" s="44">
        <f t="shared" si="13"/>
        <v>540</v>
      </c>
    </row>
    <row r="41" spans="1:17" x14ac:dyDescent="0.25">
      <c r="A41" s="253">
        <v>5</v>
      </c>
      <c r="B41" s="304" t="s">
        <v>376</v>
      </c>
      <c r="C41" s="54">
        <v>22611</v>
      </c>
      <c r="D41" s="54">
        <v>18693</v>
      </c>
      <c r="E41" s="43">
        <f t="shared" si="9"/>
        <v>120.95971754132565</v>
      </c>
      <c r="F41" s="54">
        <v>10150</v>
      </c>
      <c r="G41" s="54">
        <v>3574</v>
      </c>
      <c r="H41" s="43">
        <f t="shared" si="10"/>
        <v>283.99552322327924</v>
      </c>
      <c r="I41" s="54">
        <v>24051</v>
      </c>
      <c r="J41" s="54">
        <v>28733</v>
      </c>
      <c r="K41" s="43">
        <f t="shared" si="11"/>
        <v>83.705147391501072</v>
      </c>
      <c r="L41" s="54">
        <v>5380</v>
      </c>
      <c r="M41" s="54">
        <v>5045</v>
      </c>
      <c r="N41" s="43">
        <f t="shared" si="12"/>
        <v>106.64023785926659</v>
      </c>
      <c r="O41" s="54">
        <v>54</v>
      </c>
      <c r="P41" s="46">
        <v>65</v>
      </c>
      <c r="Q41" s="44">
        <f t="shared" si="13"/>
        <v>3510</v>
      </c>
    </row>
    <row r="42" spans="1:17" x14ac:dyDescent="0.25">
      <c r="A42" s="253">
        <v>6</v>
      </c>
      <c r="B42" s="304" t="s">
        <v>377</v>
      </c>
      <c r="C42" s="54">
        <v>42741</v>
      </c>
      <c r="D42" s="54">
        <v>52158</v>
      </c>
      <c r="E42" s="43">
        <f t="shared" si="9"/>
        <v>81.945243299206254</v>
      </c>
      <c r="F42" s="54">
        <v>14503</v>
      </c>
      <c r="G42" s="54">
        <v>15809</v>
      </c>
      <c r="H42" s="43">
        <f t="shared" si="10"/>
        <v>91.738882914795369</v>
      </c>
      <c r="I42" s="54">
        <v>43048</v>
      </c>
      <c r="J42" s="54">
        <v>44848</v>
      </c>
      <c r="K42" s="43">
        <f t="shared" si="11"/>
        <v>95.986443096682123</v>
      </c>
      <c r="L42" s="54">
        <v>0</v>
      </c>
      <c r="M42" s="54">
        <v>0</v>
      </c>
      <c r="N42" s="43" t="e">
        <f t="shared" si="12"/>
        <v>#DIV/0!</v>
      </c>
      <c r="O42" s="54">
        <v>65</v>
      </c>
      <c r="P42" s="46">
        <v>70</v>
      </c>
      <c r="Q42" s="44">
        <f t="shared" si="13"/>
        <v>4550</v>
      </c>
    </row>
    <row r="43" spans="1:17" x14ac:dyDescent="0.25">
      <c r="A43" s="253">
        <v>7</v>
      </c>
      <c r="B43" s="304" t="s">
        <v>378</v>
      </c>
      <c r="C43" s="54">
        <v>0</v>
      </c>
      <c r="D43" s="54">
        <v>0</v>
      </c>
      <c r="E43" s="43" t="e">
        <f t="shared" si="9"/>
        <v>#DIV/0!</v>
      </c>
      <c r="F43" s="54">
        <v>0</v>
      </c>
      <c r="G43" s="54">
        <v>0</v>
      </c>
      <c r="H43" s="43" t="e">
        <f t="shared" si="10"/>
        <v>#DIV/0!</v>
      </c>
      <c r="I43" s="54">
        <v>0</v>
      </c>
      <c r="J43" s="54">
        <v>0</v>
      </c>
      <c r="K43" s="43" t="e">
        <f t="shared" si="11"/>
        <v>#DIV/0!</v>
      </c>
      <c r="L43" s="54">
        <v>0</v>
      </c>
      <c r="M43" s="54">
        <v>0</v>
      </c>
      <c r="N43" s="43" t="e">
        <f t="shared" si="12"/>
        <v>#DIV/0!</v>
      </c>
      <c r="O43" s="54">
        <v>0</v>
      </c>
      <c r="P43" s="46">
        <v>0</v>
      </c>
      <c r="Q43" s="44">
        <f t="shared" si="13"/>
        <v>0</v>
      </c>
    </row>
    <row r="44" spans="1:17" ht="27" customHeight="1" x14ac:dyDescent="0.25">
      <c r="A44" s="253">
        <v>8</v>
      </c>
      <c r="B44" s="304" t="s">
        <v>379</v>
      </c>
      <c r="C44" s="54">
        <v>50615</v>
      </c>
      <c r="D44" s="54">
        <v>57632</v>
      </c>
      <c r="E44" s="43">
        <f t="shared" si="9"/>
        <v>87.824472515269292</v>
      </c>
      <c r="F44" s="54">
        <v>9264</v>
      </c>
      <c r="G44" s="54">
        <v>16372</v>
      </c>
      <c r="H44" s="43">
        <f t="shared" si="10"/>
        <v>56.584412411434158</v>
      </c>
      <c r="I44" s="54">
        <v>50852</v>
      </c>
      <c r="J44" s="54">
        <v>57139</v>
      </c>
      <c r="K44" s="43">
        <f t="shared" si="11"/>
        <v>88.99700729799261</v>
      </c>
      <c r="L44" s="54">
        <v>0</v>
      </c>
      <c r="M44" s="54">
        <v>0</v>
      </c>
      <c r="N44" s="43" t="e">
        <f t="shared" si="12"/>
        <v>#DIV/0!</v>
      </c>
      <c r="O44" s="54">
        <v>39</v>
      </c>
      <c r="P44" s="46">
        <v>93</v>
      </c>
      <c r="Q44" s="44">
        <f t="shared" si="13"/>
        <v>3627</v>
      </c>
    </row>
    <row r="45" spans="1:17" x14ac:dyDescent="0.25">
      <c r="A45" s="253">
        <v>9</v>
      </c>
      <c r="B45" s="304" t="s">
        <v>380</v>
      </c>
      <c r="C45" s="54">
        <v>49376</v>
      </c>
      <c r="D45" s="54">
        <v>88995</v>
      </c>
      <c r="E45" s="43">
        <f t="shared" si="9"/>
        <v>55.481768638687569</v>
      </c>
      <c r="F45" s="54">
        <v>7102</v>
      </c>
      <c r="G45" s="54">
        <v>31888</v>
      </c>
      <c r="H45" s="43">
        <f t="shared" si="10"/>
        <v>22.27170095333668</v>
      </c>
      <c r="I45" s="54">
        <v>65694</v>
      </c>
      <c r="J45" s="54">
        <v>54435</v>
      </c>
      <c r="K45" s="43">
        <f t="shared" si="11"/>
        <v>120.68338385230091</v>
      </c>
      <c r="L45" s="54">
        <v>0</v>
      </c>
      <c r="M45" s="54">
        <v>0</v>
      </c>
      <c r="N45" s="43" t="e">
        <f t="shared" si="12"/>
        <v>#DIV/0!</v>
      </c>
      <c r="O45" s="54">
        <v>54</v>
      </c>
      <c r="P45" s="46">
        <v>125</v>
      </c>
      <c r="Q45" s="44">
        <f t="shared" si="13"/>
        <v>6750</v>
      </c>
    </row>
    <row r="46" spans="1:17" x14ac:dyDescent="0.25">
      <c r="A46" s="252">
        <v>10</v>
      </c>
      <c r="B46" s="304" t="s">
        <v>381</v>
      </c>
      <c r="C46" s="54">
        <v>179553</v>
      </c>
      <c r="D46" s="54">
        <v>285419</v>
      </c>
      <c r="E46" s="43">
        <f t="shared" si="9"/>
        <v>62.908566002964065</v>
      </c>
      <c r="F46" s="54">
        <v>0</v>
      </c>
      <c r="G46" s="54">
        <v>7680</v>
      </c>
      <c r="H46" s="43">
        <f t="shared" si="10"/>
        <v>0</v>
      </c>
      <c r="I46" s="54">
        <v>183341</v>
      </c>
      <c r="J46" s="54">
        <v>302212</v>
      </c>
      <c r="K46" s="43">
        <f t="shared" si="11"/>
        <v>60.666353420777462</v>
      </c>
      <c r="L46" s="54">
        <v>183324</v>
      </c>
      <c r="M46" s="54">
        <v>299899</v>
      </c>
      <c r="N46" s="43">
        <f t="shared" si="12"/>
        <v>61.128579955251602</v>
      </c>
      <c r="O46" s="54"/>
      <c r="P46" s="46">
        <v>84</v>
      </c>
      <c r="Q46" s="44">
        <f t="shared" si="13"/>
        <v>0</v>
      </c>
    </row>
    <row r="47" spans="1:17" x14ac:dyDescent="0.25">
      <c r="A47" s="253">
        <v>11</v>
      </c>
      <c r="B47" s="304" t="s">
        <v>382</v>
      </c>
      <c r="C47" s="54"/>
      <c r="D47" s="54"/>
      <c r="E47" s="43" t="e">
        <f t="shared" si="9"/>
        <v>#DIV/0!</v>
      </c>
      <c r="F47" s="54"/>
      <c r="G47" s="54"/>
      <c r="H47" s="43" t="e">
        <f t="shared" si="10"/>
        <v>#DIV/0!</v>
      </c>
      <c r="I47" s="54"/>
      <c r="J47" s="54"/>
      <c r="K47" s="43" t="e">
        <f t="shared" si="11"/>
        <v>#DIV/0!</v>
      </c>
      <c r="L47" s="54"/>
      <c r="M47" s="54"/>
      <c r="N47" s="43" t="e">
        <f t="shared" si="12"/>
        <v>#DIV/0!</v>
      </c>
      <c r="O47" s="54">
        <v>21</v>
      </c>
      <c r="P47" s="46">
        <v>80</v>
      </c>
      <c r="Q47" s="44">
        <f t="shared" si="13"/>
        <v>1680</v>
      </c>
    </row>
    <row r="48" spans="1:17" x14ac:dyDescent="0.25">
      <c r="A48" s="253">
        <v>12</v>
      </c>
      <c r="B48" s="304" t="s">
        <v>383</v>
      </c>
      <c r="C48" s="54">
        <v>16546</v>
      </c>
      <c r="D48" s="54">
        <v>42701</v>
      </c>
      <c r="E48" s="43">
        <f t="shared" si="9"/>
        <v>38.748507060724577</v>
      </c>
      <c r="F48" s="54">
        <v>10861</v>
      </c>
      <c r="G48" s="54">
        <v>16498</v>
      </c>
      <c r="H48" s="43">
        <f t="shared" si="10"/>
        <v>65.832222087525764</v>
      </c>
      <c r="I48" s="54">
        <v>16546</v>
      </c>
      <c r="J48" s="54">
        <v>47820</v>
      </c>
      <c r="K48" s="43">
        <f t="shared" si="11"/>
        <v>34.600585529067338</v>
      </c>
      <c r="L48" s="54">
        <f>12059+4487</f>
        <v>16546</v>
      </c>
      <c r="M48" s="54">
        <f>40404+7416</f>
        <v>47820</v>
      </c>
      <c r="N48" s="43">
        <f t="shared" si="12"/>
        <v>34.600585529067338</v>
      </c>
      <c r="O48" s="54">
        <v>22</v>
      </c>
      <c r="P48" s="46">
        <v>135</v>
      </c>
      <c r="Q48" s="44">
        <f t="shared" si="13"/>
        <v>2970</v>
      </c>
    </row>
    <row r="49" spans="1:17" x14ac:dyDescent="0.25">
      <c r="A49" s="253">
        <v>13</v>
      </c>
      <c r="B49" s="304" t="s">
        <v>384</v>
      </c>
      <c r="C49" s="54">
        <v>70902</v>
      </c>
      <c r="D49" s="54">
        <v>133783</v>
      </c>
      <c r="E49" s="43">
        <f t="shared" si="9"/>
        <v>52.997765037411327</v>
      </c>
      <c r="F49" s="54">
        <v>21283</v>
      </c>
      <c r="G49" s="54">
        <v>25881</v>
      </c>
      <c r="H49" s="43">
        <f t="shared" si="10"/>
        <v>82.234071326455705</v>
      </c>
      <c r="I49" s="54">
        <v>79074</v>
      </c>
      <c r="J49" s="54">
        <v>128845</v>
      </c>
      <c r="K49" s="43">
        <f t="shared" si="11"/>
        <v>61.371415266405371</v>
      </c>
      <c r="L49" s="54">
        <v>0</v>
      </c>
      <c r="M49" s="54">
        <v>0</v>
      </c>
      <c r="N49" s="43" t="e">
        <f t="shared" si="12"/>
        <v>#DIV/0!</v>
      </c>
      <c r="O49" s="54">
        <v>35</v>
      </c>
      <c r="P49" s="46">
        <v>110</v>
      </c>
      <c r="Q49" s="44">
        <f t="shared" si="13"/>
        <v>3850</v>
      </c>
    </row>
    <row r="50" spans="1:17" x14ac:dyDescent="0.25">
      <c r="A50" s="253">
        <v>14</v>
      </c>
      <c r="B50" s="304" t="s">
        <v>385</v>
      </c>
      <c r="C50" s="54">
        <v>9135</v>
      </c>
      <c r="D50" s="54">
        <v>8972</v>
      </c>
      <c r="E50" s="43">
        <f t="shared" si="9"/>
        <v>101.81676326348641</v>
      </c>
      <c r="F50" s="54">
        <v>1745</v>
      </c>
      <c r="G50" s="54">
        <v>1316</v>
      </c>
      <c r="H50" s="43">
        <f t="shared" si="10"/>
        <v>132.59878419452889</v>
      </c>
      <c r="I50" s="54">
        <v>8089</v>
      </c>
      <c r="J50" s="54">
        <v>7880</v>
      </c>
      <c r="K50" s="43">
        <f t="shared" si="11"/>
        <v>102.65228426395939</v>
      </c>
      <c r="L50" s="54">
        <v>0</v>
      </c>
      <c r="M50" s="54">
        <v>1576</v>
      </c>
      <c r="N50" s="43">
        <f t="shared" si="12"/>
        <v>0</v>
      </c>
      <c r="O50" s="54">
        <v>11</v>
      </c>
      <c r="P50" s="46">
        <v>80</v>
      </c>
      <c r="Q50" s="44">
        <f t="shared" si="13"/>
        <v>880</v>
      </c>
    </row>
    <row r="51" spans="1:17" x14ac:dyDescent="0.25">
      <c r="A51" s="253">
        <v>15</v>
      </c>
      <c r="B51" s="304" t="s">
        <v>386</v>
      </c>
      <c r="C51" s="54">
        <v>58430</v>
      </c>
      <c r="D51" s="54">
        <v>82238</v>
      </c>
      <c r="E51" s="43">
        <f t="shared" si="9"/>
        <v>71.049879617694984</v>
      </c>
      <c r="F51" s="54">
        <v>450</v>
      </c>
      <c r="G51" s="54">
        <v>30154</v>
      </c>
      <c r="H51" s="43">
        <f t="shared" si="10"/>
        <v>1.4923393247993633</v>
      </c>
      <c r="I51" s="54">
        <v>128518</v>
      </c>
      <c r="J51" s="54">
        <v>90706</v>
      </c>
      <c r="K51" s="43">
        <f t="shared" si="11"/>
        <v>141.68632725508786</v>
      </c>
      <c r="L51" s="54">
        <v>116001</v>
      </c>
      <c r="M51" s="54">
        <v>84873</v>
      </c>
      <c r="N51" s="43">
        <f t="shared" si="12"/>
        <v>136.67597469159804</v>
      </c>
      <c r="O51" s="54">
        <v>58</v>
      </c>
      <c r="P51" s="46">
        <v>140</v>
      </c>
      <c r="Q51" s="44">
        <f t="shared" si="13"/>
        <v>8120</v>
      </c>
    </row>
    <row r="52" spans="1:17" x14ac:dyDescent="0.25">
      <c r="A52" s="253">
        <v>16</v>
      </c>
      <c r="B52" s="304" t="s">
        <v>387</v>
      </c>
      <c r="C52" s="54">
        <v>0</v>
      </c>
      <c r="D52" s="54">
        <v>0</v>
      </c>
      <c r="E52" s="43" t="e">
        <f t="shared" si="9"/>
        <v>#DIV/0!</v>
      </c>
      <c r="F52" s="54">
        <v>0</v>
      </c>
      <c r="G52" s="54">
        <v>0</v>
      </c>
      <c r="H52" s="43" t="e">
        <f t="shared" si="10"/>
        <v>#DIV/0!</v>
      </c>
      <c r="I52" s="54">
        <v>0</v>
      </c>
      <c r="J52" s="54">
        <v>0</v>
      </c>
      <c r="K52" s="43" t="e">
        <f t="shared" si="11"/>
        <v>#DIV/0!</v>
      </c>
      <c r="L52" s="54">
        <v>0</v>
      </c>
      <c r="M52" s="54">
        <v>0</v>
      </c>
      <c r="N52" s="43" t="e">
        <f t="shared" si="12"/>
        <v>#DIV/0!</v>
      </c>
      <c r="O52" s="54">
        <v>0</v>
      </c>
      <c r="P52" s="46">
        <v>45</v>
      </c>
      <c r="Q52" s="44">
        <f t="shared" si="13"/>
        <v>0</v>
      </c>
    </row>
    <row r="53" spans="1:17" x14ac:dyDescent="0.25">
      <c r="A53" s="253">
        <v>17</v>
      </c>
      <c r="B53" s="304" t="s">
        <v>388</v>
      </c>
      <c r="C53" s="54">
        <v>8242</v>
      </c>
      <c r="D53" s="54">
        <v>12110</v>
      </c>
      <c r="E53" s="43">
        <f t="shared" si="9"/>
        <v>68.059454995871178</v>
      </c>
      <c r="F53" s="54">
        <v>2894</v>
      </c>
      <c r="G53" s="54">
        <v>0</v>
      </c>
      <c r="H53" s="43" t="e">
        <f t="shared" si="10"/>
        <v>#DIV/0!</v>
      </c>
      <c r="I53" s="54">
        <v>8242</v>
      </c>
      <c r="J53" s="54">
        <v>12110</v>
      </c>
      <c r="K53" s="43">
        <f t="shared" si="11"/>
        <v>68.059454995871178</v>
      </c>
      <c r="L53" s="54">
        <v>0</v>
      </c>
      <c r="M53" s="54">
        <v>0</v>
      </c>
      <c r="N53" s="43" t="e">
        <f t="shared" si="12"/>
        <v>#DIV/0!</v>
      </c>
      <c r="O53" s="54">
        <v>4</v>
      </c>
      <c r="P53" s="46">
        <v>63</v>
      </c>
      <c r="Q53" s="44">
        <f t="shared" si="13"/>
        <v>252</v>
      </c>
    </row>
    <row r="54" spans="1:17" x14ac:dyDescent="0.25">
      <c r="A54" s="253">
        <v>18</v>
      </c>
      <c r="B54" s="304" t="s">
        <v>389</v>
      </c>
      <c r="C54" s="54">
        <v>139548</v>
      </c>
      <c r="D54" s="54">
        <v>417077</v>
      </c>
      <c r="E54" s="43">
        <f t="shared" si="9"/>
        <v>33.458570000263741</v>
      </c>
      <c r="F54" s="54">
        <v>58234</v>
      </c>
      <c r="G54" s="54">
        <v>93943</v>
      </c>
      <c r="H54" s="43">
        <f t="shared" si="10"/>
        <v>61.988652693654664</v>
      </c>
      <c r="I54" s="54">
        <v>175133</v>
      </c>
      <c r="J54" s="54">
        <v>417077</v>
      </c>
      <c r="K54" s="43">
        <f t="shared" si="11"/>
        <v>41.990567688939933</v>
      </c>
      <c r="L54" s="54">
        <v>138648</v>
      </c>
      <c r="M54" s="54">
        <f>401572+4875</f>
        <v>406447</v>
      </c>
      <c r="N54" s="43">
        <f t="shared" si="12"/>
        <v>34.112196670168558</v>
      </c>
      <c r="O54" s="54">
        <v>105</v>
      </c>
      <c r="P54" s="46">
        <v>85</v>
      </c>
      <c r="Q54" s="44">
        <f t="shared" si="13"/>
        <v>8925</v>
      </c>
    </row>
    <row r="55" spans="1:17" s="328" customFormat="1" x14ac:dyDescent="0.25"/>
    <row r="56" spans="1:17" ht="30.75" customHeight="1" x14ac:dyDescent="0.25">
      <c r="A56" s="1003" t="s">
        <v>390</v>
      </c>
      <c r="B56" s="1004"/>
      <c r="C56" s="254">
        <f>SUM(C57:C66)</f>
        <v>477825</v>
      </c>
      <c r="D56" s="254">
        <f>SUM(D57:D66)</f>
        <v>550007</v>
      </c>
      <c r="E56" s="57">
        <f>C56/D56*100</f>
        <v>86.876167030601422</v>
      </c>
      <c r="F56" s="254">
        <f>SUM(F57:F66)</f>
        <v>119948</v>
      </c>
      <c r="G56" s="254">
        <f>SUM(G57:G66)</f>
        <v>178202</v>
      </c>
      <c r="H56" s="57">
        <f>F56/G56*100</f>
        <v>67.310131199425371</v>
      </c>
      <c r="I56" s="254">
        <f>SUM(I57:I66)</f>
        <v>440722</v>
      </c>
      <c r="J56" s="254">
        <f>SUM(J57:J66)</f>
        <v>587068</v>
      </c>
      <c r="K56" s="57">
        <f>I56/J56*100</f>
        <v>75.071712305899823</v>
      </c>
      <c r="L56" s="254">
        <f>SUM(L57:L66)</f>
        <v>227009</v>
      </c>
      <c r="M56" s="254">
        <f>SUM(M57:M66)</f>
        <v>315422</v>
      </c>
      <c r="N56" s="57">
        <f>L56/M56*100</f>
        <v>71.969932344604999</v>
      </c>
      <c r="O56" s="254">
        <f>SUM(O57:O66)</f>
        <v>570</v>
      </c>
      <c r="P56" s="69">
        <f>Q56/O56</f>
        <v>94.785964912280704</v>
      </c>
      <c r="Q56" s="70">
        <f>SUM(Q57:Q66)</f>
        <v>54028</v>
      </c>
    </row>
    <row r="57" spans="1:17" x14ac:dyDescent="0.25">
      <c r="A57" s="253">
        <v>1</v>
      </c>
      <c r="B57" s="304" t="s">
        <v>391</v>
      </c>
      <c r="C57" s="247">
        <v>132973</v>
      </c>
      <c r="D57" s="54">
        <v>181101</v>
      </c>
      <c r="E57" s="43">
        <f t="shared" ref="E57:E65" si="14">C57/D57*100</f>
        <v>73.424774021126339</v>
      </c>
      <c r="F57" s="54">
        <v>51599</v>
      </c>
      <c r="G57" s="54">
        <v>61688</v>
      </c>
      <c r="H57" s="43">
        <f t="shared" ref="H57:H65" si="15">F57/G57*100</f>
        <v>83.645117364803525</v>
      </c>
      <c r="I57" s="54">
        <v>89387</v>
      </c>
      <c r="J57" s="54">
        <v>188036</v>
      </c>
      <c r="K57" s="43">
        <f t="shared" ref="K57:K65" si="16">I57/J57*100</f>
        <v>47.537173732689489</v>
      </c>
      <c r="L57" s="54">
        <v>88409</v>
      </c>
      <c r="M57" s="54">
        <v>187209</v>
      </c>
      <c r="N57" s="43">
        <f t="shared" ref="N57:N65" si="17">L57/M57*100</f>
        <v>47.224759493400427</v>
      </c>
      <c r="O57" s="54">
        <v>138</v>
      </c>
      <c r="P57" s="62">
        <v>94</v>
      </c>
      <c r="Q57" s="44">
        <f>O57*P57</f>
        <v>12972</v>
      </c>
    </row>
    <row r="58" spans="1:17" x14ac:dyDescent="0.25">
      <c r="A58" s="253">
        <v>2</v>
      </c>
      <c r="B58" s="304" t="s">
        <v>392</v>
      </c>
      <c r="C58" s="247">
        <v>19502</v>
      </c>
      <c r="D58" s="54">
        <v>54359</v>
      </c>
      <c r="E58" s="43">
        <f t="shared" si="14"/>
        <v>35.876303831932155</v>
      </c>
      <c r="F58" s="54">
        <v>6537</v>
      </c>
      <c r="G58" s="54">
        <v>33731</v>
      </c>
      <c r="H58" s="43">
        <f t="shared" si="15"/>
        <v>19.379798997954403</v>
      </c>
      <c r="I58" s="54">
        <v>30295</v>
      </c>
      <c r="J58" s="54">
        <v>26159</v>
      </c>
      <c r="K58" s="43">
        <f t="shared" si="16"/>
        <v>115.81100194961581</v>
      </c>
      <c r="L58" s="54">
        <v>0</v>
      </c>
      <c r="M58" s="54">
        <v>0</v>
      </c>
      <c r="N58" s="43" t="e">
        <f t="shared" si="17"/>
        <v>#DIV/0!</v>
      </c>
      <c r="O58" s="54">
        <v>105</v>
      </c>
      <c r="P58" s="54">
        <v>105</v>
      </c>
      <c r="Q58" s="44">
        <f t="shared" ref="Q58:Q65" si="18">O58*P58</f>
        <v>11025</v>
      </c>
    </row>
    <row r="59" spans="1:17" x14ac:dyDescent="0.25">
      <c r="A59" s="253">
        <v>3</v>
      </c>
      <c r="B59" s="304" t="s">
        <v>393</v>
      </c>
      <c r="C59" s="247">
        <v>85152</v>
      </c>
      <c r="D59" s="54">
        <v>113605</v>
      </c>
      <c r="E59" s="43">
        <f t="shared" si="14"/>
        <v>74.954447427489995</v>
      </c>
      <c r="F59" s="54">
        <v>16537</v>
      </c>
      <c r="G59" s="54">
        <v>36010</v>
      </c>
      <c r="H59" s="43">
        <f t="shared" si="15"/>
        <v>45.923354623715632</v>
      </c>
      <c r="I59" s="54">
        <v>85152</v>
      </c>
      <c r="J59" s="54">
        <v>113605</v>
      </c>
      <c r="K59" s="43">
        <f t="shared" si="16"/>
        <v>74.954447427489995</v>
      </c>
      <c r="L59" s="54">
        <v>0</v>
      </c>
      <c r="M59" s="54">
        <v>0</v>
      </c>
      <c r="N59" s="43" t="e">
        <f t="shared" si="17"/>
        <v>#DIV/0!</v>
      </c>
      <c r="O59" s="54">
        <v>105</v>
      </c>
      <c r="P59" s="54">
        <v>92</v>
      </c>
      <c r="Q59" s="44">
        <f t="shared" si="18"/>
        <v>9660</v>
      </c>
    </row>
    <row r="60" spans="1:17" x14ac:dyDescent="0.25">
      <c r="A60" s="253">
        <v>4</v>
      </c>
      <c r="B60" s="304" t="s">
        <v>394</v>
      </c>
      <c r="C60" s="247">
        <v>143898</v>
      </c>
      <c r="D60" s="54">
        <v>118289</v>
      </c>
      <c r="E60" s="43">
        <f t="shared" si="14"/>
        <v>121.64951939740804</v>
      </c>
      <c r="F60" s="54">
        <v>20973</v>
      </c>
      <c r="G60" s="54">
        <v>30083</v>
      </c>
      <c r="H60" s="43">
        <f t="shared" si="15"/>
        <v>69.717115979124429</v>
      </c>
      <c r="I60" s="54">
        <v>143440</v>
      </c>
      <c r="J60" s="54">
        <v>165156</v>
      </c>
      <c r="K60" s="43">
        <f t="shared" si="16"/>
        <v>86.851219453123107</v>
      </c>
      <c r="L60" s="54">
        <f>44055+2625</f>
        <v>46680</v>
      </c>
      <c r="M60" s="54">
        <f>33075+1051</f>
        <v>34126</v>
      </c>
      <c r="N60" s="43">
        <f t="shared" si="17"/>
        <v>136.78720037508057</v>
      </c>
      <c r="O60" s="54">
        <v>67</v>
      </c>
      <c r="P60" s="54">
        <v>124</v>
      </c>
      <c r="Q60" s="44">
        <f t="shared" si="18"/>
        <v>8308</v>
      </c>
    </row>
    <row r="61" spans="1:17" x14ac:dyDescent="0.25">
      <c r="A61" s="253">
        <v>5</v>
      </c>
      <c r="B61" s="304" t="s">
        <v>395</v>
      </c>
      <c r="C61" s="247">
        <v>0</v>
      </c>
      <c r="D61" s="54">
        <v>0</v>
      </c>
      <c r="E61" s="43" t="e">
        <f t="shared" si="14"/>
        <v>#DIV/0!</v>
      </c>
      <c r="F61" s="54">
        <v>0</v>
      </c>
      <c r="G61" s="54"/>
      <c r="H61" s="43" t="e">
        <f t="shared" si="15"/>
        <v>#DIV/0!</v>
      </c>
      <c r="I61" s="54">
        <v>0</v>
      </c>
      <c r="J61" s="54">
        <v>0</v>
      </c>
      <c r="K61" s="43" t="e">
        <f t="shared" si="16"/>
        <v>#DIV/0!</v>
      </c>
      <c r="L61" s="54">
        <v>0</v>
      </c>
      <c r="M61" s="54">
        <v>0</v>
      </c>
      <c r="N61" s="43" t="e">
        <f t="shared" si="17"/>
        <v>#DIV/0!</v>
      </c>
      <c r="O61" s="54">
        <v>0</v>
      </c>
      <c r="P61" s="46">
        <v>0</v>
      </c>
      <c r="Q61" s="44">
        <f t="shared" si="18"/>
        <v>0</v>
      </c>
    </row>
    <row r="62" spans="1:17" x14ac:dyDescent="0.25">
      <c r="A62" s="253">
        <v>6</v>
      </c>
      <c r="B62" s="304" t="s">
        <v>396</v>
      </c>
      <c r="C62" s="247">
        <v>23120</v>
      </c>
      <c r="D62" s="54">
        <v>24242</v>
      </c>
      <c r="E62" s="43">
        <f t="shared" si="14"/>
        <v>95.371669004207575</v>
      </c>
      <c r="F62" s="54">
        <v>7889</v>
      </c>
      <c r="G62" s="54">
        <v>4975</v>
      </c>
      <c r="H62" s="43">
        <f t="shared" si="15"/>
        <v>158.57286432160805</v>
      </c>
      <c r="I62" s="54">
        <v>25226</v>
      </c>
      <c r="J62" s="54">
        <v>24136</v>
      </c>
      <c r="K62" s="43">
        <f t="shared" si="16"/>
        <v>104.51607557176004</v>
      </c>
      <c r="L62" s="54">
        <v>25226</v>
      </c>
      <c r="M62" s="54">
        <v>24136</v>
      </c>
      <c r="N62" s="43">
        <f t="shared" si="17"/>
        <v>104.51607557176004</v>
      </c>
      <c r="O62" s="54">
        <v>32</v>
      </c>
      <c r="P62" s="54">
        <v>67</v>
      </c>
      <c r="Q62" s="44">
        <f t="shared" si="18"/>
        <v>2144</v>
      </c>
    </row>
    <row r="63" spans="1:17" x14ac:dyDescent="0.25">
      <c r="A63" s="253">
        <v>7</v>
      </c>
      <c r="B63" s="304" t="s">
        <v>397</v>
      </c>
      <c r="C63" s="247">
        <v>40517</v>
      </c>
      <c r="D63" s="54">
        <v>12139</v>
      </c>
      <c r="E63" s="43">
        <f t="shared" si="14"/>
        <v>333.77543454979815</v>
      </c>
      <c r="F63" s="54">
        <v>10607</v>
      </c>
      <c r="G63" s="54">
        <v>5832</v>
      </c>
      <c r="H63" s="43">
        <f t="shared" si="15"/>
        <v>181.87585733882031</v>
      </c>
      <c r="I63" s="54">
        <v>34559</v>
      </c>
      <c r="J63" s="54">
        <v>23704</v>
      </c>
      <c r="K63" s="43">
        <f t="shared" si="16"/>
        <v>145.79395882551469</v>
      </c>
      <c r="L63" s="54">
        <v>34031</v>
      </c>
      <c r="M63" s="54">
        <v>23679</v>
      </c>
      <c r="N63" s="43">
        <f t="shared" si="17"/>
        <v>143.71806241817643</v>
      </c>
      <c r="O63" s="54">
        <v>40</v>
      </c>
      <c r="P63" s="54">
        <v>92</v>
      </c>
      <c r="Q63" s="44">
        <f t="shared" si="18"/>
        <v>3680</v>
      </c>
    </row>
    <row r="64" spans="1:17" x14ac:dyDescent="0.25">
      <c r="A64" s="253">
        <v>8</v>
      </c>
      <c r="B64" s="304" t="s">
        <v>398</v>
      </c>
      <c r="C64" s="247">
        <v>0</v>
      </c>
      <c r="D64" s="54">
        <v>0</v>
      </c>
      <c r="E64" s="43" t="e">
        <f t="shared" si="14"/>
        <v>#DIV/0!</v>
      </c>
      <c r="F64" s="54">
        <v>0</v>
      </c>
      <c r="G64" s="54">
        <v>0</v>
      </c>
      <c r="H64" s="43" t="e">
        <f t="shared" si="15"/>
        <v>#DIV/0!</v>
      </c>
      <c r="I64" s="54">
        <v>0</v>
      </c>
      <c r="J64" s="54">
        <v>0</v>
      </c>
      <c r="K64" s="43" t="e">
        <f t="shared" si="16"/>
        <v>#DIV/0!</v>
      </c>
      <c r="L64" s="54">
        <v>0</v>
      </c>
      <c r="M64" s="54">
        <v>0</v>
      </c>
      <c r="N64" s="43" t="e">
        <f t="shared" si="17"/>
        <v>#DIV/0!</v>
      </c>
      <c r="O64" s="54">
        <v>35</v>
      </c>
      <c r="P64" s="62">
        <v>85</v>
      </c>
      <c r="Q64" s="44">
        <f t="shared" si="18"/>
        <v>2975</v>
      </c>
    </row>
    <row r="65" spans="1:17" x14ac:dyDescent="0.25">
      <c r="A65" s="253">
        <v>9</v>
      </c>
      <c r="B65" s="304" t="s">
        <v>399</v>
      </c>
      <c r="C65" s="247">
        <v>0</v>
      </c>
      <c r="D65" s="54">
        <v>0</v>
      </c>
      <c r="E65" s="43" t="e">
        <f t="shared" si="14"/>
        <v>#DIV/0!</v>
      </c>
      <c r="F65" s="54">
        <v>0</v>
      </c>
      <c r="G65" s="54">
        <v>0</v>
      </c>
      <c r="H65" s="43" t="e">
        <f t="shared" si="15"/>
        <v>#DIV/0!</v>
      </c>
      <c r="I65" s="54">
        <v>0</v>
      </c>
      <c r="J65" s="54">
        <v>0</v>
      </c>
      <c r="K65" s="43" t="e">
        <f t="shared" si="16"/>
        <v>#DIV/0!</v>
      </c>
      <c r="L65" s="54">
        <v>0</v>
      </c>
      <c r="M65" s="54">
        <v>0</v>
      </c>
      <c r="N65" s="43" t="e">
        <f t="shared" si="17"/>
        <v>#DIV/0!</v>
      </c>
      <c r="O65" s="54">
        <v>0</v>
      </c>
      <c r="P65" s="46">
        <v>0</v>
      </c>
      <c r="Q65" s="44">
        <f t="shared" si="18"/>
        <v>0</v>
      </c>
    </row>
    <row r="66" spans="1:17" x14ac:dyDescent="0.25">
      <c r="A66" s="253">
        <v>10</v>
      </c>
      <c r="B66" s="304" t="s">
        <v>400</v>
      </c>
      <c r="C66" s="256">
        <v>32663</v>
      </c>
      <c r="D66" s="60">
        <v>46272</v>
      </c>
      <c r="E66" s="43">
        <f>C66/D66*100</f>
        <v>70.589125172890732</v>
      </c>
      <c r="F66" s="60">
        <v>5806</v>
      </c>
      <c r="G66" s="60">
        <v>5883</v>
      </c>
      <c r="H66" s="43">
        <f>F66/G66*100</f>
        <v>98.691143974162841</v>
      </c>
      <c r="I66" s="60">
        <v>32663</v>
      </c>
      <c r="J66" s="60">
        <v>46272</v>
      </c>
      <c r="K66" s="43">
        <f>I66/J66*100</f>
        <v>70.589125172890732</v>
      </c>
      <c r="L66" s="60">
        <v>32663</v>
      </c>
      <c r="M66" s="60">
        <f>19229+27043</f>
        <v>46272</v>
      </c>
      <c r="N66" s="43">
        <f>L66/M66*100</f>
        <v>70.589125172890732</v>
      </c>
      <c r="O66" s="34">
        <v>48</v>
      </c>
      <c r="P66" s="100">
        <v>68</v>
      </c>
      <c r="Q66" s="72">
        <f>O66*P66</f>
        <v>3264</v>
      </c>
    </row>
    <row r="68" spans="1:17" ht="26.25" x14ac:dyDescent="0.25">
      <c r="A68" s="350"/>
      <c r="B68" s="420" t="s">
        <v>401</v>
      </c>
      <c r="C68" s="250">
        <f>SUM(C69:C76)</f>
        <v>472281</v>
      </c>
      <c r="D68" s="87">
        <f>SUM(D69:D76)</f>
        <v>901011</v>
      </c>
      <c r="E68" s="57">
        <f>C68/D68*100</f>
        <v>52.416785144687474</v>
      </c>
      <c r="F68" s="87">
        <f>SUM(F69:F76)</f>
        <v>209310</v>
      </c>
      <c r="G68" s="87">
        <f>SUM(G69:G76)</f>
        <v>120348</v>
      </c>
      <c r="H68" s="57">
        <f>F68/G68*100</f>
        <v>173.92063017249976</v>
      </c>
      <c r="I68" s="87">
        <f>SUM(I69:I76)</f>
        <v>443415</v>
      </c>
      <c r="J68" s="87">
        <f>SUM(J69:J76)</f>
        <v>603467</v>
      </c>
      <c r="K68" s="57">
        <f>I68/J68*100</f>
        <v>73.477920085108224</v>
      </c>
      <c r="L68" s="87">
        <f>SUM(L69:L76)</f>
        <v>63125</v>
      </c>
      <c r="M68" s="87">
        <f>SUM(M69:M76)</f>
        <v>510241</v>
      </c>
      <c r="N68" s="57">
        <f>L68/M68*100</f>
        <v>12.371604790677347</v>
      </c>
      <c r="O68" s="56">
        <f>SUM(O69:O76)</f>
        <v>412</v>
      </c>
      <c r="P68" s="58">
        <f>Q68/O68</f>
        <v>127.24029126213593</v>
      </c>
      <c r="Q68" s="70">
        <f>SUM(Q69:Q76)</f>
        <v>52423</v>
      </c>
    </row>
    <row r="69" spans="1:17" x14ac:dyDescent="0.25">
      <c r="A69" s="245">
        <v>1</v>
      </c>
      <c r="B69" s="304" t="s">
        <v>402</v>
      </c>
      <c r="C69" s="256">
        <v>3305</v>
      </c>
      <c r="D69" s="60">
        <v>7485</v>
      </c>
      <c r="E69" s="43">
        <f t="shared" ref="E69:E76" si="19">C69/D69*100</f>
        <v>44.154976619906478</v>
      </c>
      <c r="F69" s="60">
        <v>2729</v>
      </c>
      <c r="G69" s="60">
        <v>3288</v>
      </c>
      <c r="H69" s="43">
        <f t="shared" ref="H69:H76" si="20">F69/G69*100</f>
        <v>82.99878345498783</v>
      </c>
      <c r="I69" s="60">
        <v>1652</v>
      </c>
      <c r="J69" s="60">
        <v>15725</v>
      </c>
      <c r="K69" s="43">
        <f t="shared" ref="K69:K76" si="21">I69/J69*100</f>
        <v>10.50556438791733</v>
      </c>
      <c r="L69" s="60">
        <v>1653</v>
      </c>
      <c r="M69" s="60">
        <v>14816</v>
      </c>
      <c r="N69" s="43">
        <f t="shared" ref="N69:N76" si="22">L69/M69*100</f>
        <v>11.156857451403887</v>
      </c>
      <c r="O69" s="45">
        <v>136</v>
      </c>
      <c r="P69" s="60">
        <v>55</v>
      </c>
      <c r="Q69" s="44">
        <f>O69*P69</f>
        <v>7480</v>
      </c>
    </row>
    <row r="70" spans="1:17" x14ac:dyDescent="0.25">
      <c r="A70" s="245">
        <v>2</v>
      </c>
      <c r="B70" s="304" t="s">
        <v>403</v>
      </c>
      <c r="C70" s="256">
        <v>40591</v>
      </c>
      <c r="D70" s="60">
        <v>233938</v>
      </c>
      <c r="E70" s="43">
        <f t="shared" si="19"/>
        <v>17.351178517384948</v>
      </c>
      <c r="F70" s="60">
        <v>0</v>
      </c>
      <c r="G70" s="60">
        <v>35234</v>
      </c>
      <c r="H70" s="43">
        <f t="shared" si="20"/>
        <v>0</v>
      </c>
      <c r="I70" s="60">
        <v>40687</v>
      </c>
      <c r="J70" s="60">
        <v>234254</v>
      </c>
      <c r="K70" s="43">
        <f t="shared" si="21"/>
        <v>17.368753575179081</v>
      </c>
      <c r="L70" s="60">
        <v>40687</v>
      </c>
      <c r="M70" s="60">
        <v>234254</v>
      </c>
      <c r="N70" s="43">
        <f t="shared" si="22"/>
        <v>17.368753575179081</v>
      </c>
      <c r="O70" s="45">
        <v>4</v>
      </c>
      <c r="P70" s="46">
        <v>102</v>
      </c>
      <c r="Q70" s="44">
        <f t="shared" ref="Q70:Q76" si="23">O70*P70</f>
        <v>408</v>
      </c>
    </row>
    <row r="71" spans="1:17" x14ac:dyDescent="0.25">
      <c r="A71" s="245">
        <v>3</v>
      </c>
      <c r="B71" s="304" t="s">
        <v>404</v>
      </c>
      <c r="C71" s="256">
        <v>0</v>
      </c>
      <c r="D71" s="60">
        <v>0</v>
      </c>
      <c r="E71" s="43" t="e">
        <f t="shared" si="19"/>
        <v>#DIV/0!</v>
      </c>
      <c r="F71" s="60">
        <v>0</v>
      </c>
      <c r="G71" s="60">
        <v>0</v>
      </c>
      <c r="H71" s="43" t="e">
        <f t="shared" si="20"/>
        <v>#DIV/0!</v>
      </c>
      <c r="I71" s="60">
        <v>0</v>
      </c>
      <c r="J71" s="60">
        <v>0</v>
      </c>
      <c r="K71" s="43" t="e">
        <f t="shared" si="21"/>
        <v>#DIV/0!</v>
      </c>
      <c r="L71" s="60">
        <v>0</v>
      </c>
      <c r="M71" s="60">
        <v>0</v>
      </c>
      <c r="N71" s="43" t="e">
        <f t="shared" si="22"/>
        <v>#DIV/0!</v>
      </c>
      <c r="O71" s="45">
        <v>25</v>
      </c>
      <c r="P71" s="60">
        <v>71</v>
      </c>
      <c r="Q71" s="44">
        <f t="shared" si="23"/>
        <v>1775</v>
      </c>
    </row>
    <row r="72" spans="1:17" x14ac:dyDescent="0.25">
      <c r="A72" s="245">
        <v>4</v>
      </c>
      <c r="B72" s="304" t="s">
        <v>405</v>
      </c>
      <c r="C72" s="256">
        <v>8901</v>
      </c>
      <c r="D72" s="60">
        <v>32554</v>
      </c>
      <c r="E72" s="43">
        <f t="shared" si="19"/>
        <v>27.342262087608283</v>
      </c>
      <c r="F72" s="60">
        <v>5106</v>
      </c>
      <c r="G72" s="60">
        <v>10379</v>
      </c>
      <c r="H72" s="43">
        <f t="shared" si="20"/>
        <v>49.195490895076603</v>
      </c>
      <c r="I72" s="60">
        <v>865</v>
      </c>
      <c r="J72" s="60">
        <v>28471</v>
      </c>
      <c r="K72" s="43">
        <f t="shared" si="21"/>
        <v>3.0381791998876051</v>
      </c>
      <c r="L72" s="60">
        <v>0</v>
      </c>
      <c r="M72" s="60">
        <v>22158</v>
      </c>
      <c r="N72" s="43">
        <f t="shared" si="22"/>
        <v>0</v>
      </c>
      <c r="O72" s="45">
        <v>18</v>
      </c>
      <c r="P72" s="75">
        <v>50</v>
      </c>
      <c r="Q72" s="44">
        <f t="shared" si="23"/>
        <v>900</v>
      </c>
    </row>
    <row r="73" spans="1:17" x14ac:dyDescent="0.25">
      <c r="A73" s="245">
        <v>5</v>
      </c>
      <c r="B73" s="304" t="s">
        <v>406</v>
      </c>
      <c r="C73" s="256">
        <v>1167</v>
      </c>
      <c r="D73" s="60">
        <v>1850</v>
      </c>
      <c r="E73" s="43">
        <f t="shared" si="19"/>
        <v>63.081081081081081</v>
      </c>
      <c r="F73" s="60">
        <v>334</v>
      </c>
      <c r="G73" s="60">
        <v>1375</v>
      </c>
      <c r="H73" s="43">
        <f t="shared" si="20"/>
        <v>24.290909090909089</v>
      </c>
      <c r="I73" s="60">
        <v>1167</v>
      </c>
      <c r="J73" s="60">
        <v>1850</v>
      </c>
      <c r="K73" s="43">
        <f t="shared" si="21"/>
        <v>63.081081081081081</v>
      </c>
      <c r="L73" s="60">
        <v>0</v>
      </c>
      <c r="M73" s="60">
        <v>0</v>
      </c>
      <c r="N73" s="43" t="e">
        <f t="shared" si="22"/>
        <v>#DIV/0!</v>
      </c>
      <c r="O73" s="45">
        <v>64</v>
      </c>
      <c r="P73" s="60">
        <v>120</v>
      </c>
      <c r="Q73" s="44">
        <f t="shared" si="23"/>
        <v>7680</v>
      </c>
    </row>
    <row r="74" spans="1:17" x14ac:dyDescent="0.25">
      <c r="A74" s="248">
        <v>6</v>
      </c>
      <c r="B74" s="304" t="s">
        <v>407</v>
      </c>
      <c r="C74" s="256">
        <v>186</v>
      </c>
      <c r="D74" s="60">
        <v>358035</v>
      </c>
      <c r="E74" s="43">
        <f t="shared" si="19"/>
        <v>5.1950228329632579E-2</v>
      </c>
      <c r="F74" s="60">
        <v>0</v>
      </c>
      <c r="G74" s="60">
        <v>11</v>
      </c>
      <c r="H74" s="43">
        <f t="shared" si="20"/>
        <v>0</v>
      </c>
      <c r="I74" s="60">
        <v>416</v>
      </c>
      <c r="J74" s="60">
        <v>54852</v>
      </c>
      <c r="K74" s="43">
        <f t="shared" si="21"/>
        <v>0.75840443374899735</v>
      </c>
      <c r="L74" s="60">
        <v>53</v>
      </c>
      <c r="M74" s="60">
        <v>33899</v>
      </c>
      <c r="N74" s="43">
        <f t="shared" si="22"/>
        <v>0.15634679489070474</v>
      </c>
      <c r="O74" s="45">
        <v>6</v>
      </c>
      <c r="P74" s="60">
        <v>65</v>
      </c>
      <c r="Q74" s="44">
        <f t="shared" si="23"/>
        <v>390</v>
      </c>
    </row>
    <row r="75" spans="1:17" x14ac:dyDescent="0.25">
      <c r="A75" s="245">
        <v>7</v>
      </c>
      <c r="B75" s="304" t="s">
        <v>408</v>
      </c>
      <c r="C75" s="256">
        <v>366513</v>
      </c>
      <c r="D75" s="60">
        <v>231827</v>
      </c>
      <c r="E75" s="43">
        <f t="shared" si="19"/>
        <v>158.09763314885669</v>
      </c>
      <c r="F75" s="60">
        <v>193416</v>
      </c>
      <c r="G75" s="60">
        <v>66136</v>
      </c>
      <c r="H75" s="43">
        <f t="shared" si="20"/>
        <v>292.45191726140075</v>
      </c>
      <c r="I75" s="60">
        <v>347010</v>
      </c>
      <c r="J75" s="60">
        <v>232993</v>
      </c>
      <c r="K75" s="43">
        <f t="shared" si="21"/>
        <v>148.9358049383458</v>
      </c>
      <c r="L75" s="60">
        <v>20732</v>
      </c>
      <c r="M75" s="60">
        <f>178395+25674</f>
        <v>204069</v>
      </c>
      <c r="N75" s="43">
        <f t="shared" si="22"/>
        <v>10.159308861218509</v>
      </c>
      <c r="O75" s="45">
        <v>130</v>
      </c>
      <c r="P75" s="46">
        <v>251</v>
      </c>
      <c r="Q75" s="44">
        <f t="shared" si="23"/>
        <v>32630</v>
      </c>
    </row>
    <row r="76" spans="1:17" x14ac:dyDescent="0.25">
      <c r="A76" s="245">
        <v>8</v>
      </c>
      <c r="B76" s="304" t="s">
        <v>409</v>
      </c>
      <c r="C76" s="256">
        <v>51618</v>
      </c>
      <c r="D76" s="60">
        <v>35322</v>
      </c>
      <c r="E76" s="43">
        <f t="shared" si="19"/>
        <v>146.13555291319858</v>
      </c>
      <c r="F76" s="60">
        <v>7725</v>
      </c>
      <c r="G76" s="60">
        <v>3925</v>
      </c>
      <c r="H76" s="43">
        <f t="shared" si="20"/>
        <v>196.81528662420382</v>
      </c>
      <c r="I76" s="60">
        <v>51618</v>
      </c>
      <c r="J76" s="60">
        <v>35322</v>
      </c>
      <c r="K76" s="43">
        <f t="shared" si="21"/>
        <v>146.13555291319858</v>
      </c>
      <c r="L76" s="60">
        <v>0</v>
      </c>
      <c r="M76" s="60">
        <v>1045</v>
      </c>
      <c r="N76" s="43">
        <f t="shared" si="22"/>
        <v>0</v>
      </c>
      <c r="O76" s="45">
        <v>29</v>
      </c>
      <c r="P76" s="60">
        <v>40</v>
      </c>
      <c r="Q76" s="44">
        <f t="shared" si="23"/>
        <v>1160</v>
      </c>
    </row>
    <row r="78" spans="1:17" s="126" customFormat="1" ht="25.5" x14ac:dyDescent="0.25">
      <c r="A78" s="351"/>
      <c r="B78" s="351" t="s">
        <v>410</v>
      </c>
      <c r="C78" s="254">
        <f>SUM(C79:C90)</f>
        <v>2308179</v>
      </c>
      <c r="D78" s="254">
        <f>SUM(D79:D90)</f>
        <v>2258201</v>
      </c>
      <c r="E78" s="57">
        <f>C78/D78*100</f>
        <v>102.21317765779044</v>
      </c>
      <c r="F78" s="254">
        <f>SUM(F79:F90)</f>
        <v>381099</v>
      </c>
      <c r="G78" s="254">
        <f>SUM(G79:G90)</f>
        <v>581589</v>
      </c>
      <c r="H78" s="57">
        <f>F78/G78*100</f>
        <v>65.527202199491398</v>
      </c>
      <c r="I78" s="254">
        <f>SUM(I79:I90)</f>
        <v>3210618</v>
      </c>
      <c r="J78" s="254">
        <f>SUM(J79:J90)</f>
        <v>3918705</v>
      </c>
      <c r="K78" s="57">
        <f>I78/J78*100</f>
        <v>81.930586762718804</v>
      </c>
      <c r="L78" s="254">
        <f>SUM(L79:L90)</f>
        <v>818052</v>
      </c>
      <c r="M78" s="254">
        <f>SUM(M79:M90)</f>
        <v>1182756</v>
      </c>
      <c r="N78" s="57">
        <f>L78/M78*100</f>
        <v>69.164899607357739</v>
      </c>
      <c r="O78" s="254">
        <f>SUM(O79:O90)</f>
        <v>3900</v>
      </c>
      <c r="P78" s="69">
        <f>Q78/O78</f>
        <v>114.83282051282052</v>
      </c>
      <c r="Q78" s="254">
        <f>SUM(Q79:Q90)</f>
        <v>447848</v>
      </c>
    </row>
    <row r="79" spans="1:17" x14ac:dyDescent="0.25">
      <c r="A79" s="260">
        <v>1</v>
      </c>
      <c r="B79" s="304" t="s">
        <v>411</v>
      </c>
      <c r="C79" s="256">
        <v>446</v>
      </c>
      <c r="D79" s="60">
        <v>2086</v>
      </c>
      <c r="E79" s="43">
        <f t="shared" ref="E79:E89" si="24">C79/D79*100</f>
        <v>21.380632790028763</v>
      </c>
      <c r="F79" s="60">
        <v>273</v>
      </c>
      <c r="G79" s="60">
        <v>674</v>
      </c>
      <c r="H79" s="43">
        <f t="shared" ref="H79:H89" si="25">F79/G79*100</f>
        <v>40.504451038575667</v>
      </c>
      <c r="I79" s="60">
        <v>446</v>
      </c>
      <c r="J79" s="60">
        <v>2086</v>
      </c>
      <c r="K79" s="43">
        <f t="shared" ref="K79:K89" si="26">I79/J79*100</f>
        <v>21.380632790028763</v>
      </c>
      <c r="L79" s="60">
        <v>0</v>
      </c>
      <c r="M79" s="60">
        <v>0</v>
      </c>
      <c r="N79" s="43" t="e">
        <f t="shared" ref="N79:N89" si="27">L79/M79*100</f>
        <v>#DIV/0!</v>
      </c>
      <c r="O79" s="45">
        <v>2501</v>
      </c>
      <c r="P79" s="49">
        <v>113</v>
      </c>
      <c r="Q79" s="44">
        <f t="shared" ref="Q79:Q89" si="28">O79*P79</f>
        <v>282613</v>
      </c>
    </row>
    <row r="80" spans="1:17" x14ac:dyDescent="0.25">
      <c r="A80" s="261">
        <v>2</v>
      </c>
      <c r="B80" s="304" t="s">
        <v>412</v>
      </c>
      <c r="C80" s="256">
        <v>2505</v>
      </c>
      <c r="D80" s="60">
        <v>319162</v>
      </c>
      <c r="E80" s="43">
        <f t="shared" si="24"/>
        <v>0.78486787274174241</v>
      </c>
      <c r="F80" s="60">
        <v>797</v>
      </c>
      <c r="G80" s="60">
        <v>62193</v>
      </c>
      <c r="H80" s="43">
        <f t="shared" si="25"/>
        <v>1.2814947019761067</v>
      </c>
      <c r="I80" s="60">
        <v>3145</v>
      </c>
      <c r="J80" s="60">
        <v>369777</v>
      </c>
      <c r="K80" s="43">
        <f t="shared" si="26"/>
        <v>0.85051260624646741</v>
      </c>
      <c r="L80" s="60">
        <v>0</v>
      </c>
      <c r="M80" s="60">
        <v>361588</v>
      </c>
      <c r="N80" s="43">
        <f t="shared" si="27"/>
        <v>0</v>
      </c>
      <c r="O80" s="45">
        <v>674</v>
      </c>
      <c r="P80" s="49">
        <v>105</v>
      </c>
      <c r="Q80" s="44">
        <f t="shared" si="28"/>
        <v>70770</v>
      </c>
    </row>
    <row r="81" spans="1:18" x14ac:dyDescent="0.25">
      <c r="A81" s="260">
        <v>3</v>
      </c>
      <c r="B81" s="304" t="s">
        <v>413</v>
      </c>
      <c r="C81" s="256">
        <v>482450</v>
      </c>
      <c r="D81" s="60">
        <v>358056</v>
      </c>
      <c r="E81" s="43">
        <f t="shared" si="24"/>
        <v>134.74149295082333</v>
      </c>
      <c r="F81" s="60">
        <v>26038</v>
      </c>
      <c r="G81" s="60">
        <v>101715</v>
      </c>
      <c r="H81" s="43">
        <f t="shared" si="25"/>
        <v>25.598977535270116</v>
      </c>
      <c r="I81" s="60">
        <v>541026</v>
      </c>
      <c r="J81" s="60">
        <v>514468</v>
      </c>
      <c r="K81" s="43">
        <f t="shared" si="26"/>
        <v>105.16222583328798</v>
      </c>
      <c r="L81" s="60">
        <v>118115</v>
      </c>
      <c r="M81" s="60">
        <v>118552</v>
      </c>
      <c r="N81" s="43">
        <f t="shared" si="27"/>
        <v>99.631385383629123</v>
      </c>
      <c r="O81" s="45">
        <v>34</v>
      </c>
      <c r="P81" s="49">
        <v>365</v>
      </c>
      <c r="Q81" s="44">
        <f t="shared" si="28"/>
        <v>12410</v>
      </c>
    </row>
    <row r="82" spans="1:18" x14ac:dyDescent="0.25">
      <c r="A82" s="261">
        <v>4</v>
      </c>
      <c r="B82" s="304" t="s">
        <v>414</v>
      </c>
      <c r="C82" s="256"/>
      <c r="D82" s="60"/>
      <c r="E82" s="43" t="e">
        <f t="shared" si="24"/>
        <v>#DIV/0!</v>
      </c>
      <c r="F82" s="60"/>
      <c r="G82" s="60"/>
      <c r="H82" s="43" t="e">
        <f t="shared" si="25"/>
        <v>#DIV/0!</v>
      </c>
      <c r="I82" s="60"/>
      <c r="J82" s="60"/>
      <c r="K82" s="43" t="e">
        <f t="shared" si="26"/>
        <v>#DIV/0!</v>
      </c>
      <c r="L82" s="60"/>
      <c r="M82" s="60"/>
      <c r="N82" s="43" t="e">
        <f t="shared" si="27"/>
        <v>#DIV/0!</v>
      </c>
      <c r="O82" s="45">
        <v>174</v>
      </c>
      <c r="P82" s="49">
        <v>40</v>
      </c>
      <c r="Q82" s="44">
        <f t="shared" si="28"/>
        <v>6960</v>
      </c>
    </row>
    <row r="83" spans="1:18" x14ac:dyDescent="0.25">
      <c r="A83" s="260">
        <v>5</v>
      </c>
      <c r="B83" s="304" t="s">
        <v>415</v>
      </c>
      <c r="C83" s="256">
        <v>123444</v>
      </c>
      <c r="D83" s="60">
        <v>145225</v>
      </c>
      <c r="E83" s="43">
        <f t="shared" si="24"/>
        <v>85.001893613358575</v>
      </c>
      <c r="F83" s="60">
        <v>27355</v>
      </c>
      <c r="G83" s="60">
        <v>31679</v>
      </c>
      <c r="H83" s="43">
        <f t="shared" si="25"/>
        <v>86.350579248082326</v>
      </c>
      <c r="I83" s="60">
        <v>115448</v>
      </c>
      <c r="J83" s="60">
        <v>146337</v>
      </c>
      <c r="K83" s="43">
        <f t="shared" si="26"/>
        <v>78.891872868789164</v>
      </c>
      <c r="L83" s="60">
        <v>60599</v>
      </c>
      <c r="M83" s="60">
        <v>76329</v>
      </c>
      <c r="N83" s="43">
        <f t="shared" si="27"/>
        <v>79.391843205072774</v>
      </c>
      <c r="O83" s="45">
        <v>90</v>
      </c>
      <c r="P83" s="60">
        <v>70</v>
      </c>
      <c r="Q83" s="44">
        <f t="shared" si="28"/>
        <v>6300</v>
      </c>
    </row>
    <row r="84" spans="1:18" x14ac:dyDescent="0.25">
      <c r="A84" s="261">
        <v>6</v>
      </c>
      <c r="B84" s="304" t="s">
        <v>416</v>
      </c>
      <c r="C84" s="256">
        <v>0</v>
      </c>
      <c r="D84" s="60">
        <v>0</v>
      </c>
      <c r="E84" s="43" t="e">
        <f t="shared" si="24"/>
        <v>#DIV/0!</v>
      </c>
      <c r="F84" s="60">
        <v>0</v>
      </c>
      <c r="G84" s="60">
        <v>0</v>
      </c>
      <c r="H84" s="43" t="e">
        <f t="shared" si="25"/>
        <v>#DIV/0!</v>
      </c>
      <c r="I84" s="60">
        <v>0</v>
      </c>
      <c r="J84" s="60">
        <v>0</v>
      </c>
      <c r="K84" s="43" t="e">
        <f t="shared" si="26"/>
        <v>#DIV/0!</v>
      </c>
      <c r="L84" s="60">
        <v>0</v>
      </c>
      <c r="M84" s="60">
        <v>0</v>
      </c>
      <c r="N84" s="43" t="e">
        <f t="shared" si="27"/>
        <v>#DIV/0!</v>
      </c>
      <c r="O84" s="45">
        <v>0</v>
      </c>
      <c r="P84" s="46">
        <v>0</v>
      </c>
      <c r="Q84" s="44">
        <f t="shared" si="28"/>
        <v>0</v>
      </c>
    </row>
    <row r="85" spans="1:18" x14ac:dyDescent="0.25">
      <c r="A85" s="261">
        <v>7</v>
      </c>
      <c r="B85" s="304" t="s">
        <v>417</v>
      </c>
      <c r="C85" s="256">
        <v>252147</v>
      </c>
      <c r="D85" s="60">
        <v>227487</v>
      </c>
      <c r="E85" s="43">
        <f t="shared" si="24"/>
        <v>110.84017987841064</v>
      </c>
      <c r="F85" s="60">
        <v>73859</v>
      </c>
      <c r="G85" s="60">
        <v>65388</v>
      </c>
      <c r="H85" s="43">
        <f t="shared" si="25"/>
        <v>112.95497644827796</v>
      </c>
      <c r="I85" s="60">
        <v>310579</v>
      </c>
      <c r="J85" s="60">
        <v>414453</v>
      </c>
      <c r="K85" s="43">
        <f t="shared" si="26"/>
        <v>74.937085749168176</v>
      </c>
      <c r="L85" s="60">
        <v>37475</v>
      </c>
      <c r="M85" s="60">
        <v>133409</v>
      </c>
      <c r="N85" s="43">
        <f t="shared" si="27"/>
        <v>28.090308749784498</v>
      </c>
      <c r="O85" s="45"/>
      <c r="P85" s="49"/>
      <c r="Q85" s="44">
        <f t="shared" si="28"/>
        <v>0</v>
      </c>
    </row>
    <row r="86" spans="1:18" x14ac:dyDescent="0.25">
      <c r="A86" s="260">
        <v>8</v>
      </c>
      <c r="B86" s="304" t="s">
        <v>418</v>
      </c>
      <c r="C86" s="256">
        <v>796073</v>
      </c>
      <c r="D86" s="60">
        <v>609299</v>
      </c>
      <c r="E86" s="43">
        <f t="shared" si="24"/>
        <v>130.65391540114132</v>
      </c>
      <c r="F86" s="60">
        <v>144039</v>
      </c>
      <c r="G86" s="60">
        <v>174154</v>
      </c>
      <c r="H86" s="43">
        <f t="shared" si="25"/>
        <v>82.707833296967053</v>
      </c>
      <c r="I86" s="60">
        <v>760040</v>
      </c>
      <c r="J86" s="60">
        <v>606531</v>
      </c>
      <c r="K86" s="43">
        <f t="shared" si="26"/>
        <v>125.30934115486265</v>
      </c>
      <c r="L86" s="60">
        <f>194981+283570</f>
        <v>478551</v>
      </c>
      <c r="M86" s="60">
        <f>140170+216951</f>
        <v>357121</v>
      </c>
      <c r="N86" s="43">
        <f t="shared" si="27"/>
        <v>134.00248095183426</v>
      </c>
      <c r="O86" s="45">
        <v>105</v>
      </c>
      <c r="P86" s="49">
        <v>245</v>
      </c>
      <c r="Q86" s="44">
        <f t="shared" si="28"/>
        <v>25725</v>
      </c>
    </row>
    <row r="87" spans="1:18" x14ac:dyDescent="0.25">
      <c r="A87" s="260">
        <v>9</v>
      </c>
      <c r="B87" s="304" t="s">
        <v>419</v>
      </c>
      <c r="C87" s="256">
        <v>372457</v>
      </c>
      <c r="D87" s="60">
        <v>354070</v>
      </c>
      <c r="E87" s="43">
        <f t="shared" si="24"/>
        <v>105.19304092411106</v>
      </c>
      <c r="F87" s="60">
        <v>56099</v>
      </c>
      <c r="G87" s="60">
        <v>94484</v>
      </c>
      <c r="H87" s="43">
        <f t="shared" si="25"/>
        <v>59.374073917277002</v>
      </c>
      <c r="I87" s="60">
        <v>333449</v>
      </c>
      <c r="J87" s="60">
        <v>338904</v>
      </c>
      <c r="K87" s="43">
        <f t="shared" si="26"/>
        <v>98.390399641196325</v>
      </c>
      <c r="L87" s="60">
        <f>70044+27441</f>
        <v>97485</v>
      </c>
      <c r="M87" s="60">
        <f>50984+23912</f>
        <v>74896</v>
      </c>
      <c r="N87" s="43">
        <f t="shared" si="27"/>
        <v>130.1604892117069</v>
      </c>
      <c r="O87" s="45">
        <v>86</v>
      </c>
      <c r="P87" s="49">
        <v>165</v>
      </c>
      <c r="Q87" s="44">
        <f t="shared" si="28"/>
        <v>14190</v>
      </c>
    </row>
    <row r="88" spans="1:18" x14ac:dyDescent="0.25">
      <c r="A88" s="260">
        <v>10</v>
      </c>
      <c r="B88" s="304" t="s">
        <v>420</v>
      </c>
      <c r="C88" s="256">
        <v>66864</v>
      </c>
      <c r="D88" s="60">
        <v>67754</v>
      </c>
      <c r="E88" s="43">
        <f t="shared" si="24"/>
        <v>98.686424417746551</v>
      </c>
      <c r="F88" s="60">
        <v>6952</v>
      </c>
      <c r="G88" s="60">
        <v>13413</v>
      </c>
      <c r="H88" s="43">
        <f t="shared" si="25"/>
        <v>51.830313874599263</v>
      </c>
      <c r="I88" s="60">
        <v>66864</v>
      </c>
      <c r="J88" s="60">
        <v>67754</v>
      </c>
      <c r="K88" s="43">
        <f t="shared" si="26"/>
        <v>98.686424417746551</v>
      </c>
      <c r="L88" s="60">
        <v>0</v>
      </c>
      <c r="M88" s="60">
        <f>12747+11584</f>
        <v>24331</v>
      </c>
      <c r="N88" s="43">
        <f t="shared" si="27"/>
        <v>0</v>
      </c>
      <c r="O88" s="45">
        <v>24</v>
      </c>
      <c r="P88" s="49">
        <v>136</v>
      </c>
      <c r="Q88" s="44">
        <f t="shared" si="28"/>
        <v>3264</v>
      </c>
    </row>
    <row r="89" spans="1:18" x14ac:dyDescent="0.25">
      <c r="A89" s="261">
        <v>11</v>
      </c>
      <c r="B89" s="304" t="s">
        <v>421</v>
      </c>
      <c r="C89" s="256">
        <v>159935</v>
      </c>
      <c r="D89" s="60">
        <v>145090</v>
      </c>
      <c r="E89" s="43">
        <f t="shared" si="24"/>
        <v>110.23158039837342</v>
      </c>
      <c r="F89" s="60">
        <v>28816</v>
      </c>
      <c r="G89" s="60">
        <v>28400</v>
      </c>
      <c r="H89" s="43">
        <f t="shared" si="25"/>
        <v>101.46478873239437</v>
      </c>
      <c r="I89" s="60">
        <v>1025997</v>
      </c>
      <c r="J89" s="60">
        <v>1428425</v>
      </c>
      <c r="K89" s="43">
        <f t="shared" si="26"/>
        <v>71.827152283109015</v>
      </c>
      <c r="L89" s="60">
        <v>2350</v>
      </c>
      <c r="M89" s="60">
        <v>25669</v>
      </c>
      <c r="N89" s="43">
        <f t="shared" si="27"/>
        <v>9.1550118820366979</v>
      </c>
      <c r="O89" s="45">
        <v>49</v>
      </c>
      <c r="P89" s="49">
        <v>250</v>
      </c>
      <c r="Q89" s="44">
        <f t="shared" si="28"/>
        <v>12250</v>
      </c>
    </row>
    <row r="90" spans="1:18" x14ac:dyDescent="0.25">
      <c r="A90" s="271">
        <v>2</v>
      </c>
      <c r="B90" s="304" t="s">
        <v>422</v>
      </c>
      <c r="C90" s="256">
        <v>51858</v>
      </c>
      <c r="D90" s="60">
        <v>29972</v>
      </c>
      <c r="E90" s="43">
        <f>C90/D90*100</f>
        <v>173.02148672093955</v>
      </c>
      <c r="F90" s="60">
        <v>16871</v>
      </c>
      <c r="G90" s="60">
        <v>9489</v>
      </c>
      <c r="H90" s="43">
        <f>F90/G90*100</f>
        <v>177.79534197491833</v>
      </c>
      <c r="I90" s="60">
        <v>53624</v>
      </c>
      <c r="J90" s="60">
        <v>29970</v>
      </c>
      <c r="K90" s="43">
        <f>I90/J90*100</f>
        <v>178.9255922589256</v>
      </c>
      <c r="L90" s="60">
        <v>23477</v>
      </c>
      <c r="M90" s="60">
        <v>10861</v>
      </c>
      <c r="N90" s="43">
        <f>L90/M90*100</f>
        <v>216.15873308166837</v>
      </c>
      <c r="O90" s="34">
        <v>163</v>
      </c>
      <c r="P90" s="100">
        <v>82</v>
      </c>
      <c r="Q90" s="72">
        <f>O90*P90</f>
        <v>13366</v>
      </c>
    </row>
    <row r="92" spans="1:18" s="126" customFormat="1" x14ac:dyDescent="0.25">
      <c r="A92" s="351"/>
      <c r="B92" s="351" t="s">
        <v>423</v>
      </c>
      <c r="C92" s="254">
        <f>SUM(C93:C119)</f>
        <v>1887625</v>
      </c>
      <c r="D92" s="68">
        <f>SUM(D93:D119)</f>
        <v>1169442</v>
      </c>
      <c r="E92" s="57">
        <f>C92/D92*100</f>
        <v>161.4124514084495</v>
      </c>
      <c r="F92" s="68">
        <f>SUM(F93:F119)</f>
        <v>410184</v>
      </c>
      <c r="G92" s="68">
        <f>SUM(G93:G119)</f>
        <v>229377</v>
      </c>
      <c r="H92" s="57">
        <f>F92/G92*100</f>
        <v>178.82525274983979</v>
      </c>
      <c r="I92" s="68">
        <f>SUM(I93:I119)</f>
        <v>1912405</v>
      </c>
      <c r="J92" s="68">
        <f>SUM(J93:J119)</f>
        <v>1109567</v>
      </c>
      <c r="K92" s="57">
        <f t="shared" ref="K92" si="29">I92/J92*100-100</f>
        <v>72.355973095811265</v>
      </c>
      <c r="L92" s="68">
        <f>SUM(L93:L119)</f>
        <v>1344221</v>
      </c>
      <c r="M92" s="68">
        <f>SUM(M93:M119)</f>
        <v>588312</v>
      </c>
      <c r="N92" s="57">
        <f>L92/M92*100</f>
        <v>228.4877751941147</v>
      </c>
      <c r="O92" s="68">
        <f>SUM(O93:O119)</f>
        <v>1826</v>
      </c>
      <c r="P92" s="69">
        <f>Q92/O92</f>
        <v>79.337349397590359</v>
      </c>
      <c r="Q92" s="68">
        <f>SUM(Q93:Q119)</f>
        <v>144870</v>
      </c>
    </row>
    <row r="93" spans="1:18" x14ac:dyDescent="0.25">
      <c r="A93" s="264">
        <v>1</v>
      </c>
      <c r="B93" s="304" t="s">
        <v>424</v>
      </c>
      <c r="C93" s="256">
        <v>225680</v>
      </c>
      <c r="D93" s="60">
        <v>106873</v>
      </c>
      <c r="E93" s="43">
        <f t="shared" ref="E93:E119" si="30">C93/D93*100</f>
        <v>211.1665247536796</v>
      </c>
      <c r="F93" s="60">
        <v>60160</v>
      </c>
      <c r="G93" s="60">
        <v>41256</v>
      </c>
      <c r="H93" s="43">
        <f t="shared" ref="H93:H119" si="31">F93/G93*100</f>
        <v>145.8212138840411</v>
      </c>
      <c r="I93" s="60">
        <v>211816</v>
      </c>
      <c r="J93" s="60">
        <v>100168</v>
      </c>
      <c r="K93" s="43">
        <f t="shared" ref="K93:K119" si="32">I93/J93*100</f>
        <v>211.46074594680937</v>
      </c>
      <c r="L93" s="60">
        <v>203890</v>
      </c>
      <c r="M93" s="60">
        <v>100148</v>
      </c>
      <c r="N93" s="43">
        <f t="shared" ref="N93:N119" si="33">L93/M93*100</f>
        <v>203.5886887406638</v>
      </c>
      <c r="O93" s="89">
        <v>319</v>
      </c>
      <c r="P93" s="89">
        <v>129</v>
      </c>
      <c r="Q93" s="44">
        <f t="shared" ref="Q93:Q119" si="34">O93*P93</f>
        <v>41151</v>
      </c>
    </row>
    <row r="94" spans="1:18" x14ac:dyDescent="0.25">
      <c r="A94" s="264">
        <v>2</v>
      </c>
      <c r="B94" s="304" t="s">
        <v>425</v>
      </c>
      <c r="C94" s="256">
        <v>0</v>
      </c>
      <c r="D94" s="60">
        <v>0</v>
      </c>
      <c r="E94" s="43" t="e">
        <f t="shared" si="30"/>
        <v>#DIV/0!</v>
      </c>
      <c r="F94" s="60">
        <v>0</v>
      </c>
      <c r="G94" s="60">
        <v>0</v>
      </c>
      <c r="H94" s="43" t="e">
        <f t="shared" si="31"/>
        <v>#DIV/0!</v>
      </c>
      <c r="I94" s="60">
        <v>0</v>
      </c>
      <c r="J94" s="60">
        <v>0</v>
      </c>
      <c r="K94" s="43" t="e">
        <f t="shared" si="32"/>
        <v>#DIV/0!</v>
      </c>
      <c r="L94" s="60">
        <v>0</v>
      </c>
      <c r="M94" s="60">
        <v>0</v>
      </c>
      <c r="N94" s="43" t="e">
        <f t="shared" si="33"/>
        <v>#DIV/0!</v>
      </c>
      <c r="O94" s="89">
        <v>0</v>
      </c>
      <c r="P94" s="89">
        <v>0</v>
      </c>
      <c r="Q94" s="44">
        <f t="shared" si="34"/>
        <v>0</v>
      </c>
    </row>
    <row r="95" spans="1:18" x14ac:dyDescent="0.25">
      <c r="A95" s="264">
        <v>3</v>
      </c>
      <c r="B95" s="304" t="s">
        <v>426</v>
      </c>
      <c r="C95" s="256">
        <v>0</v>
      </c>
      <c r="D95" s="60">
        <v>0</v>
      </c>
      <c r="E95" s="43" t="e">
        <f t="shared" si="30"/>
        <v>#DIV/0!</v>
      </c>
      <c r="F95" s="60">
        <v>0</v>
      </c>
      <c r="G95" s="60">
        <v>0</v>
      </c>
      <c r="H95" s="43" t="e">
        <f t="shared" si="31"/>
        <v>#DIV/0!</v>
      </c>
      <c r="I95" s="60">
        <v>0</v>
      </c>
      <c r="J95" s="60">
        <v>0</v>
      </c>
      <c r="K95" s="43" t="e">
        <f t="shared" si="32"/>
        <v>#DIV/0!</v>
      </c>
      <c r="L95" s="60">
        <v>0</v>
      </c>
      <c r="M95" s="60">
        <v>0</v>
      </c>
      <c r="N95" s="43" t="e">
        <f t="shared" si="33"/>
        <v>#DIV/0!</v>
      </c>
      <c r="O95" s="89">
        <v>0</v>
      </c>
      <c r="P95" s="89">
        <v>0</v>
      </c>
      <c r="Q95" s="44">
        <f t="shared" si="34"/>
        <v>0</v>
      </c>
      <c r="R95" s="191"/>
    </row>
    <row r="96" spans="1:18" x14ac:dyDescent="0.25">
      <c r="A96" s="264">
        <v>4</v>
      </c>
      <c r="B96" s="304" t="s">
        <v>427</v>
      </c>
      <c r="C96" s="256">
        <v>27270</v>
      </c>
      <c r="D96" s="60">
        <v>0</v>
      </c>
      <c r="E96" s="43" t="e">
        <f t="shared" si="30"/>
        <v>#DIV/0!</v>
      </c>
      <c r="F96" s="60">
        <v>8201</v>
      </c>
      <c r="G96" s="60">
        <v>0</v>
      </c>
      <c r="H96" s="43" t="e">
        <f t="shared" si="31"/>
        <v>#DIV/0!</v>
      </c>
      <c r="I96" s="60">
        <v>622</v>
      </c>
      <c r="J96" s="60">
        <v>6671</v>
      </c>
      <c r="K96" s="43">
        <f t="shared" si="32"/>
        <v>9.3239394393644126</v>
      </c>
      <c r="L96" s="60">
        <v>0</v>
      </c>
      <c r="M96" s="60">
        <v>0</v>
      </c>
      <c r="N96" s="43" t="e">
        <f t="shared" si="33"/>
        <v>#DIV/0!</v>
      </c>
      <c r="O96" s="89">
        <v>23</v>
      </c>
      <c r="P96" s="89">
        <v>130</v>
      </c>
      <c r="Q96" s="44">
        <f t="shared" si="34"/>
        <v>2990</v>
      </c>
    </row>
    <row r="97" spans="1:17" x14ac:dyDescent="0.25">
      <c r="A97" s="264">
        <v>5</v>
      </c>
      <c r="B97" s="304" t="s">
        <v>428</v>
      </c>
      <c r="C97" s="256">
        <v>221878</v>
      </c>
      <c r="D97" s="60">
        <v>288543</v>
      </c>
      <c r="E97" s="43">
        <f t="shared" si="30"/>
        <v>76.895991238740848</v>
      </c>
      <c r="F97" s="60">
        <v>30067</v>
      </c>
      <c r="G97" s="60">
        <v>42755</v>
      </c>
      <c r="H97" s="43">
        <f t="shared" si="31"/>
        <v>70.323938720617477</v>
      </c>
      <c r="I97" s="60">
        <v>266785</v>
      </c>
      <c r="J97" s="60">
        <v>250815</v>
      </c>
      <c r="K97" s="43">
        <f t="shared" si="32"/>
        <v>106.36724278850946</v>
      </c>
      <c r="L97" s="60">
        <f>3169+263727</f>
        <v>266896</v>
      </c>
      <c r="M97" s="60">
        <v>250815</v>
      </c>
      <c r="N97" s="43">
        <f t="shared" si="33"/>
        <v>106.41149851484161</v>
      </c>
      <c r="O97" s="89">
        <v>357</v>
      </c>
      <c r="P97" s="89">
        <v>52</v>
      </c>
      <c r="Q97" s="44">
        <f t="shared" si="34"/>
        <v>18564</v>
      </c>
    </row>
    <row r="98" spans="1:17" x14ac:dyDescent="0.25">
      <c r="A98" s="264">
        <v>6</v>
      </c>
      <c r="B98" s="304" t="s">
        <v>429</v>
      </c>
      <c r="C98" s="256">
        <v>0</v>
      </c>
      <c r="D98" s="60">
        <v>0</v>
      </c>
      <c r="E98" s="43" t="e">
        <f t="shared" si="30"/>
        <v>#DIV/0!</v>
      </c>
      <c r="F98" s="60">
        <v>0</v>
      </c>
      <c r="G98" s="60">
        <v>0</v>
      </c>
      <c r="H98" s="43" t="e">
        <f t="shared" si="31"/>
        <v>#DIV/0!</v>
      </c>
      <c r="I98" s="60">
        <v>0</v>
      </c>
      <c r="J98" s="60">
        <v>0</v>
      </c>
      <c r="K98" s="43" t="e">
        <f t="shared" si="32"/>
        <v>#DIV/0!</v>
      </c>
      <c r="L98" s="60">
        <v>0</v>
      </c>
      <c r="M98" s="60">
        <v>0</v>
      </c>
      <c r="N98" s="43" t="e">
        <f t="shared" si="33"/>
        <v>#DIV/0!</v>
      </c>
      <c r="O98" s="89">
        <v>0</v>
      </c>
      <c r="P98" s="89">
        <v>0</v>
      </c>
      <c r="Q98" s="44">
        <f t="shared" si="34"/>
        <v>0</v>
      </c>
    </row>
    <row r="99" spans="1:17" x14ac:dyDescent="0.25">
      <c r="A99" s="264">
        <v>7</v>
      </c>
      <c r="B99" s="304" t="s">
        <v>430</v>
      </c>
      <c r="C99" s="256">
        <v>0</v>
      </c>
      <c r="D99" s="60">
        <v>0</v>
      </c>
      <c r="E99" s="43" t="e">
        <f t="shared" si="30"/>
        <v>#DIV/0!</v>
      </c>
      <c r="F99" s="60">
        <v>0</v>
      </c>
      <c r="G99" s="60">
        <v>0</v>
      </c>
      <c r="H99" s="43" t="e">
        <f t="shared" si="31"/>
        <v>#DIV/0!</v>
      </c>
      <c r="I99" s="60">
        <v>0</v>
      </c>
      <c r="J99" s="60">
        <v>0</v>
      </c>
      <c r="K99" s="43" t="e">
        <f t="shared" si="32"/>
        <v>#DIV/0!</v>
      </c>
      <c r="L99" s="60">
        <v>0</v>
      </c>
      <c r="M99" s="60">
        <v>0</v>
      </c>
      <c r="N99" s="43" t="e">
        <f t="shared" si="33"/>
        <v>#DIV/0!</v>
      </c>
      <c r="O99" s="89">
        <v>0</v>
      </c>
      <c r="P99" s="89">
        <v>0</v>
      </c>
      <c r="Q99" s="44">
        <f t="shared" si="34"/>
        <v>0</v>
      </c>
    </row>
    <row r="100" spans="1:17" x14ac:dyDescent="0.25">
      <c r="A100" s="264">
        <v>8</v>
      </c>
      <c r="B100" s="304" t="s">
        <v>431</v>
      </c>
      <c r="C100" s="256">
        <v>78201</v>
      </c>
      <c r="D100" s="60">
        <v>179880</v>
      </c>
      <c r="E100" s="43">
        <f t="shared" si="30"/>
        <v>43.473982655103406</v>
      </c>
      <c r="F100" s="60">
        <v>17987</v>
      </c>
      <c r="G100" s="60">
        <v>18714</v>
      </c>
      <c r="H100" s="43">
        <f t="shared" si="31"/>
        <v>96.115207865768951</v>
      </c>
      <c r="I100" s="60">
        <v>100763</v>
      </c>
      <c r="J100" s="60">
        <v>182221</v>
      </c>
      <c r="K100" s="43">
        <f t="shared" si="32"/>
        <v>55.297139188128696</v>
      </c>
      <c r="L100" s="60">
        <v>10196</v>
      </c>
      <c r="M100" s="60">
        <v>67551</v>
      </c>
      <c r="N100" s="43">
        <f t="shared" si="33"/>
        <v>15.093780995099998</v>
      </c>
      <c r="O100" s="89">
        <v>105</v>
      </c>
      <c r="P100" s="89">
        <v>90</v>
      </c>
      <c r="Q100" s="44">
        <f t="shared" si="34"/>
        <v>9450</v>
      </c>
    </row>
    <row r="101" spans="1:17" x14ac:dyDescent="0.25">
      <c r="A101" s="264">
        <v>9</v>
      </c>
      <c r="B101" s="304" t="s">
        <v>432</v>
      </c>
      <c r="C101" s="256">
        <v>0</v>
      </c>
      <c r="D101" s="60">
        <v>0</v>
      </c>
      <c r="E101" s="43" t="e">
        <f t="shared" si="30"/>
        <v>#DIV/0!</v>
      </c>
      <c r="F101" s="60">
        <v>0</v>
      </c>
      <c r="G101" s="60">
        <v>0</v>
      </c>
      <c r="H101" s="43" t="e">
        <f t="shared" si="31"/>
        <v>#DIV/0!</v>
      </c>
      <c r="I101" s="60">
        <v>0</v>
      </c>
      <c r="J101" s="60">
        <v>0</v>
      </c>
      <c r="K101" s="43" t="e">
        <f t="shared" si="32"/>
        <v>#DIV/0!</v>
      </c>
      <c r="L101" s="60"/>
      <c r="M101" s="60">
        <v>0</v>
      </c>
      <c r="N101" s="43" t="e">
        <f t="shared" si="33"/>
        <v>#DIV/0!</v>
      </c>
      <c r="O101" s="89">
        <v>0</v>
      </c>
      <c r="P101" s="89">
        <v>0</v>
      </c>
      <c r="Q101" s="44">
        <f t="shared" si="34"/>
        <v>0</v>
      </c>
    </row>
    <row r="102" spans="1:17" x14ac:dyDescent="0.25">
      <c r="A102" s="264">
        <v>10</v>
      </c>
      <c r="B102" s="304" t="s">
        <v>433</v>
      </c>
      <c r="C102" s="256">
        <v>42759</v>
      </c>
      <c r="D102" s="60">
        <v>76233</v>
      </c>
      <c r="E102" s="43">
        <f t="shared" si="30"/>
        <v>56.0898823344221</v>
      </c>
      <c r="F102" s="60">
        <v>23536</v>
      </c>
      <c r="G102" s="60">
        <v>26222</v>
      </c>
      <c r="H102" s="43">
        <f t="shared" si="31"/>
        <v>89.75669285332927</v>
      </c>
      <c r="I102" s="60">
        <v>42759</v>
      </c>
      <c r="J102" s="60">
        <v>76233</v>
      </c>
      <c r="K102" s="43">
        <f t="shared" si="32"/>
        <v>56.0898823344221</v>
      </c>
      <c r="L102" s="60">
        <v>42759</v>
      </c>
      <c r="M102" s="60">
        <v>76233</v>
      </c>
      <c r="N102" s="43">
        <f t="shared" si="33"/>
        <v>56.0898823344221</v>
      </c>
      <c r="O102" s="89">
        <v>3</v>
      </c>
      <c r="P102" s="89">
        <v>65</v>
      </c>
      <c r="Q102" s="44">
        <f t="shared" si="34"/>
        <v>195</v>
      </c>
    </row>
    <row r="103" spans="1:17" x14ac:dyDescent="0.25">
      <c r="A103" s="264">
        <v>11</v>
      </c>
      <c r="B103" s="304" t="s">
        <v>434</v>
      </c>
      <c r="C103" s="256">
        <v>0</v>
      </c>
      <c r="D103" s="60">
        <v>0</v>
      </c>
      <c r="E103" s="43" t="e">
        <f t="shared" si="30"/>
        <v>#DIV/0!</v>
      </c>
      <c r="F103" s="60">
        <v>0</v>
      </c>
      <c r="G103" s="60">
        <v>0</v>
      </c>
      <c r="H103" s="43" t="e">
        <f t="shared" si="31"/>
        <v>#DIV/0!</v>
      </c>
      <c r="I103" s="60">
        <v>0</v>
      </c>
      <c r="J103" s="60">
        <v>0</v>
      </c>
      <c r="K103" s="43" t="e">
        <f t="shared" si="32"/>
        <v>#DIV/0!</v>
      </c>
      <c r="L103" s="60">
        <v>0</v>
      </c>
      <c r="M103" s="60">
        <v>0</v>
      </c>
      <c r="N103" s="43" t="e">
        <f t="shared" si="33"/>
        <v>#DIV/0!</v>
      </c>
      <c r="O103" s="89">
        <v>0</v>
      </c>
      <c r="P103" s="89">
        <v>0</v>
      </c>
      <c r="Q103" s="44">
        <f t="shared" si="34"/>
        <v>0</v>
      </c>
    </row>
    <row r="104" spans="1:17" x14ac:dyDescent="0.25">
      <c r="A104" s="264">
        <v>12</v>
      </c>
      <c r="B104" s="304" t="s">
        <v>435</v>
      </c>
      <c r="C104" s="256">
        <v>0</v>
      </c>
      <c r="D104" s="60"/>
      <c r="E104" s="43" t="e">
        <f t="shared" si="30"/>
        <v>#DIV/0!</v>
      </c>
      <c r="F104" s="60"/>
      <c r="G104" s="60"/>
      <c r="H104" s="43" t="e">
        <f t="shared" si="31"/>
        <v>#DIV/0!</v>
      </c>
      <c r="I104" s="60"/>
      <c r="J104" s="60"/>
      <c r="K104" s="43" t="e">
        <f t="shared" si="32"/>
        <v>#DIV/0!</v>
      </c>
      <c r="L104" s="60"/>
      <c r="M104" s="60"/>
      <c r="N104" s="43" t="e">
        <f t="shared" si="33"/>
        <v>#DIV/0!</v>
      </c>
      <c r="O104" s="89">
        <v>8</v>
      </c>
      <c r="P104" s="89">
        <v>58</v>
      </c>
      <c r="Q104" s="44">
        <f t="shared" si="34"/>
        <v>464</v>
      </c>
    </row>
    <row r="105" spans="1:17" x14ac:dyDescent="0.25">
      <c r="A105" s="264">
        <v>13</v>
      </c>
      <c r="B105" s="304" t="s">
        <v>436</v>
      </c>
      <c r="C105" s="256">
        <v>6733</v>
      </c>
      <c r="D105" s="60">
        <v>6191</v>
      </c>
      <c r="E105" s="43">
        <f t="shared" si="30"/>
        <v>108.75464383782911</v>
      </c>
      <c r="F105" s="60">
        <v>0</v>
      </c>
      <c r="G105" s="60">
        <v>2251</v>
      </c>
      <c r="H105" s="43">
        <f t="shared" si="31"/>
        <v>0</v>
      </c>
      <c r="I105" s="60">
        <v>18133</v>
      </c>
      <c r="J105" s="60">
        <v>7781</v>
      </c>
      <c r="K105" s="43">
        <f t="shared" si="32"/>
        <v>233.04202544660072</v>
      </c>
      <c r="L105" s="60">
        <v>16736</v>
      </c>
      <c r="M105" s="60">
        <v>1529</v>
      </c>
      <c r="N105" s="43">
        <f t="shared" si="33"/>
        <v>1094.5716154349248</v>
      </c>
      <c r="O105" s="90">
        <v>9</v>
      </c>
      <c r="P105" s="90">
        <v>75</v>
      </c>
      <c r="Q105" s="44">
        <f t="shared" si="34"/>
        <v>675</v>
      </c>
    </row>
    <row r="106" spans="1:17" x14ac:dyDescent="0.25">
      <c r="A106" s="264">
        <v>14</v>
      </c>
      <c r="B106" s="304" t="s">
        <v>437</v>
      </c>
      <c r="C106" s="256">
        <v>0</v>
      </c>
      <c r="D106" s="60">
        <v>0</v>
      </c>
      <c r="E106" s="43" t="e">
        <f t="shared" si="30"/>
        <v>#DIV/0!</v>
      </c>
      <c r="F106" s="60">
        <v>0</v>
      </c>
      <c r="G106" s="60">
        <v>0</v>
      </c>
      <c r="H106" s="43" t="e">
        <f t="shared" si="31"/>
        <v>#DIV/0!</v>
      </c>
      <c r="I106" s="60">
        <v>0</v>
      </c>
      <c r="J106" s="60">
        <v>0</v>
      </c>
      <c r="K106" s="43" t="e">
        <f t="shared" si="32"/>
        <v>#DIV/0!</v>
      </c>
      <c r="L106" s="60">
        <v>0</v>
      </c>
      <c r="M106" s="60">
        <v>0</v>
      </c>
      <c r="N106" s="43" t="e">
        <f t="shared" si="33"/>
        <v>#DIV/0!</v>
      </c>
      <c r="O106" s="89">
        <v>0</v>
      </c>
      <c r="P106" s="89">
        <v>0</v>
      </c>
      <c r="Q106" s="44">
        <f t="shared" si="34"/>
        <v>0</v>
      </c>
    </row>
    <row r="107" spans="1:17" x14ac:dyDescent="0.25">
      <c r="A107" s="264">
        <v>15</v>
      </c>
      <c r="B107" s="304" t="s">
        <v>438</v>
      </c>
      <c r="C107" s="256">
        <v>56518</v>
      </c>
      <c r="D107" s="60">
        <v>68395</v>
      </c>
      <c r="E107" s="43">
        <f t="shared" si="30"/>
        <v>82.634695518678271</v>
      </c>
      <c r="F107" s="60">
        <v>3422</v>
      </c>
      <c r="G107" s="60">
        <v>0</v>
      </c>
      <c r="H107" s="43" t="e">
        <f t="shared" si="31"/>
        <v>#DIV/0!</v>
      </c>
      <c r="I107" s="60">
        <v>56518</v>
      </c>
      <c r="J107" s="60">
        <v>68395</v>
      </c>
      <c r="K107" s="43">
        <f t="shared" si="32"/>
        <v>82.634695518678271</v>
      </c>
      <c r="L107" s="60">
        <v>56518</v>
      </c>
      <c r="M107" s="60">
        <v>68395</v>
      </c>
      <c r="N107" s="43">
        <f t="shared" si="33"/>
        <v>82.634695518678271</v>
      </c>
      <c r="O107" s="89">
        <v>75</v>
      </c>
      <c r="P107" s="89">
        <v>95</v>
      </c>
      <c r="Q107" s="44">
        <f t="shared" si="34"/>
        <v>7125</v>
      </c>
    </row>
    <row r="108" spans="1:17" x14ac:dyDescent="0.25">
      <c r="A108" s="264">
        <v>16</v>
      </c>
      <c r="B108" s="304" t="s">
        <v>439</v>
      </c>
      <c r="C108" s="256">
        <v>90690</v>
      </c>
      <c r="D108" s="60">
        <v>85824</v>
      </c>
      <c r="E108" s="43">
        <f t="shared" si="30"/>
        <v>105.66974272930649</v>
      </c>
      <c r="F108" s="60">
        <v>21814</v>
      </c>
      <c r="G108" s="60">
        <v>29814</v>
      </c>
      <c r="H108" s="43">
        <f t="shared" si="31"/>
        <v>73.166968538270609</v>
      </c>
      <c r="I108" s="60">
        <v>85672</v>
      </c>
      <c r="J108" s="60">
        <v>86528</v>
      </c>
      <c r="K108" s="43">
        <f t="shared" si="32"/>
        <v>99.010724852071007</v>
      </c>
      <c r="L108" s="60">
        <v>0</v>
      </c>
      <c r="M108" s="60">
        <v>0</v>
      </c>
      <c r="N108" s="43" t="e">
        <f t="shared" si="33"/>
        <v>#DIV/0!</v>
      </c>
      <c r="O108" s="89">
        <v>72</v>
      </c>
      <c r="P108" s="89">
        <v>62</v>
      </c>
      <c r="Q108" s="44">
        <f t="shared" si="34"/>
        <v>4464</v>
      </c>
    </row>
    <row r="109" spans="1:17" x14ac:dyDescent="0.25">
      <c r="A109" s="264">
        <v>17</v>
      </c>
      <c r="B109" s="304" t="s">
        <v>440</v>
      </c>
      <c r="C109" s="256">
        <v>226702</v>
      </c>
      <c r="D109" s="60">
        <v>213029</v>
      </c>
      <c r="E109" s="43">
        <f t="shared" si="30"/>
        <v>106.41837496303319</v>
      </c>
      <c r="F109" s="60">
        <v>50073</v>
      </c>
      <c r="G109" s="60">
        <v>31051</v>
      </c>
      <c r="H109" s="43">
        <f t="shared" si="31"/>
        <v>161.26050690799008</v>
      </c>
      <c r="I109" s="60">
        <v>209023</v>
      </c>
      <c r="J109" s="60">
        <v>133942</v>
      </c>
      <c r="K109" s="43">
        <f t="shared" si="32"/>
        <v>156.05485956608084</v>
      </c>
      <c r="L109" s="60">
        <v>0</v>
      </c>
      <c r="M109" s="60">
        <v>0</v>
      </c>
      <c r="N109" s="43" t="e">
        <f t="shared" si="33"/>
        <v>#DIV/0!</v>
      </c>
      <c r="O109" s="89">
        <v>171</v>
      </c>
      <c r="P109" s="89">
        <v>70</v>
      </c>
      <c r="Q109" s="44">
        <f t="shared" si="34"/>
        <v>11970</v>
      </c>
    </row>
    <row r="110" spans="1:17" x14ac:dyDescent="0.25">
      <c r="A110" s="265">
        <v>18</v>
      </c>
      <c r="B110" s="304" t="s">
        <v>441</v>
      </c>
      <c r="C110" s="247">
        <v>714384</v>
      </c>
      <c r="D110" s="54">
        <v>0</v>
      </c>
      <c r="E110" s="43" t="e">
        <f t="shared" si="30"/>
        <v>#DIV/0!</v>
      </c>
      <c r="F110" s="54">
        <v>138376</v>
      </c>
      <c r="G110" s="54">
        <v>0</v>
      </c>
      <c r="H110" s="43" t="e">
        <f t="shared" si="31"/>
        <v>#DIV/0!</v>
      </c>
      <c r="I110" s="54">
        <v>714384</v>
      </c>
      <c r="J110" s="54">
        <v>0</v>
      </c>
      <c r="K110" s="43" t="e">
        <f t="shared" si="32"/>
        <v>#DIV/0!</v>
      </c>
      <c r="L110" s="54">
        <v>714384</v>
      </c>
      <c r="M110" s="54">
        <v>0</v>
      </c>
      <c r="N110" s="43" t="e">
        <f t="shared" si="33"/>
        <v>#DIV/0!</v>
      </c>
      <c r="O110" s="125">
        <v>502</v>
      </c>
      <c r="P110" s="125">
        <v>70</v>
      </c>
      <c r="Q110" s="44">
        <f t="shared" si="34"/>
        <v>35140</v>
      </c>
    </row>
    <row r="111" spans="1:17" x14ac:dyDescent="0.25">
      <c r="A111" s="264">
        <v>19</v>
      </c>
      <c r="B111" s="304" t="s">
        <v>442</v>
      </c>
      <c r="C111" s="256">
        <v>0</v>
      </c>
      <c r="D111" s="60">
        <v>0</v>
      </c>
      <c r="E111" s="43" t="e">
        <f t="shared" si="30"/>
        <v>#DIV/0!</v>
      </c>
      <c r="F111" s="60">
        <v>0</v>
      </c>
      <c r="G111" s="60">
        <v>0</v>
      </c>
      <c r="H111" s="43" t="e">
        <f t="shared" si="31"/>
        <v>#DIV/0!</v>
      </c>
      <c r="I111" s="60">
        <v>0</v>
      </c>
      <c r="J111" s="60">
        <v>0</v>
      </c>
      <c r="K111" s="43" t="e">
        <f t="shared" si="32"/>
        <v>#DIV/0!</v>
      </c>
      <c r="L111" s="60">
        <v>0</v>
      </c>
      <c r="M111" s="60">
        <v>0</v>
      </c>
      <c r="N111" s="43" t="e">
        <f t="shared" si="33"/>
        <v>#DIV/0!</v>
      </c>
      <c r="O111" s="90">
        <v>0</v>
      </c>
      <c r="P111" s="90">
        <v>0</v>
      </c>
      <c r="Q111" s="44">
        <f t="shared" si="34"/>
        <v>0</v>
      </c>
    </row>
    <row r="112" spans="1:17" x14ac:dyDescent="0.25">
      <c r="A112" s="264">
        <v>20</v>
      </c>
      <c r="B112" s="304" t="s">
        <v>443</v>
      </c>
      <c r="C112" s="256">
        <v>0</v>
      </c>
      <c r="D112" s="60">
        <v>0</v>
      </c>
      <c r="E112" s="43" t="e">
        <f t="shared" si="30"/>
        <v>#DIV/0!</v>
      </c>
      <c r="F112" s="60">
        <v>0</v>
      </c>
      <c r="G112" s="60">
        <v>0</v>
      </c>
      <c r="H112" s="43" t="e">
        <f t="shared" si="31"/>
        <v>#DIV/0!</v>
      </c>
      <c r="I112" s="60">
        <v>0</v>
      </c>
      <c r="J112" s="60">
        <v>0</v>
      </c>
      <c r="K112" s="43" t="e">
        <f t="shared" si="32"/>
        <v>#DIV/0!</v>
      </c>
      <c r="L112" s="60">
        <v>0</v>
      </c>
      <c r="M112" s="60">
        <v>0</v>
      </c>
      <c r="N112" s="43" t="e">
        <f t="shared" si="33"/>
        <v>#DIV/0!</v>
      </c>
      <c r="O112" s="90">
        <v>0</v>
      </c>
      <c r="P112" s="90">
        <v>0</v>
      </c>
      <c r="Q112" s="44">
        <f t="shared" si="34"/>
        <v>0</v>
      </c>
    </row>
    <row r="113" spans="1:17" x14ac:dyDescent="0.25">
      <c r="A113" s="264">
        <v>21</v>
      </c>
      <c r="B113" s="304" t="s">
        <v>444</v>
      </c>
      <c r="C113" s="256">
        <v>33367</v>
      </c>
      <c r="D113" s="60">
        <v>24495</v>
      </c>
      <c r="E113" s="43">
        <f t="shared" si="30"/>
        <v>136.21963666054299</v>
      </c>
      <c r="F113" s="60">
        <v>12274</v>
      </c>
      <c r="G113" s="60">
        <v>2623</v>
      </c>
      <c r="H113" s="43">
        <f t="shared" si="31"/>
        <v>467.93747617232179</v>
      </c>
      <c r="I113" s="60">
        <v>33367</v>
      </c>
      <c r="J113" s="60">
        <v>24495</v>
      </c>
      <c r="K113" s="43">
        <f t="shared" si="32"/>
        <v>136.21963666054299</v>
      </c>
      <c r="L113" s="60">
        <v>32842</v>
      </c>
      <c r="M113" s="60">
        <v>23641</v>
      </c>
      <c r="N113" s="43">
        <f t="shared" si="33"/>
        <v>138.9196734486697</v>
      </c>
      <c r="O113" s="90">
        <v>14</v>
      </c>
      <c r="P113" s="90">
        <v>67</v>
      </c>
      <c r="Q113" s="44">
        <f t="shared" si="34"/>
        <v>938</v>
      </c>
    </row>
    <row r="114" spans="1:17" x14ac:dyDescent="0.25">
      <c r="A114" s="264">
        <v>22</v>
      </c>
      <c r="B114" s="304" t="s">
        <v>445</v>
      </c>
      <c r="C114" s="256">
        <v>9450</v>
      </c>
      <c r="D114" s="60">
        <v>10490</v>
      </c>
      <c r="E114" s="43">
        <f t="shared" si="30"/>
        <v>90.085795996186846</v>
      </c>
      <c r="F114" s="60">
        <v>3570</v>
      </c>
      <c r="G114" s="60">
        <v>3360</v>
      </c>
      <c r="H114" s="43">
        <f t="shared" si="31"/>
        <v>106.25</v>
      </c>
      <c r="I114" s="60">
        <v>17210</v>
      </c>
      <c r="J114" s="60">
        <v>17458</v>
      </c>
      <c r="K114" s="43">
        <f t="shared" si="32"/>
        <v>98.579447817619425</v>
      </c>
      <c r="L114" s="60">
        <v>0</v>
      </c>
      <c r="M114" s="60">
        <v>0</v>
      </c>
      <c r="N114" s="43" t="e">
        <f t="shared" si="33"/>
        <v>#DIV/0!</v>
      </c>
      <c r="O114" s="90">
        <v>14</v>
      </c>
      <c r="P114" s="90">
        <v>94</v>
      </c>
      <c r="Q114" s="44">
        <f t="shared" si="34"/>
        <v>1316</v>
      </c>
    </row>
    <row r="115" spans="1:17" x14ac:dyDescent="0.25">
      <c r="A115" s="264">
        <v>23</v>
      </c>
      <c r="B115" s="304" t="s">
        <v>446</v>
      </c>
      <c r="C115" s="256">
        <v>59128</v>
      </c>
      <c r="D115" s="60">
        <v>40032</v>
      </c>
      <c r="E115" s="43">
        <f t="shared" si="30"/>
        <v>147.70183852917665</v>
      </c>
      <c r="F115" s="60">
        <v>12329</v>
      </c>
      <c r="G115" s="60">
        <v>11878</v>
      </c>
      <c r="H115" s="43">
        <f t="shared" si="31"/>
        <v>103.79693551102879</v>
      </c>
      <c r="I115" s="60">
        <v>59993</v>
      </c>
      <c r="J115" s="60">
        <v>48767</v>
      </c>
      <c r="K115" s="43">
        <f t="shared" si="32"/>
        <v>123.01966493735519</v>
      </c>
      <c r="L115" s="60">
        <v>0</v>
      </c>
      <c r="M115" s="60">
        <v>0</v>
      </c>
      <c r="N115" s="43" t="e">
        <f t="shared" si="33"/>
        <v>#DIV/0!</v>
      </c>
      <c r="O115" s="90">
        <v>36</v>
      </c>
      <c r="P115" s="90">
        <v>73</v>
      </c>
      <c r="Q115" s="44">
        <f t="shared" si="34"/>
        <v>2628</v>
      </c>
    </row>
    <row r="116" spans="1:17" x14ac:dyDescent="0.25">
      <c r="A116" s="264">
        <v>24</v>
      </c>
      <c r="B116" s="304" t="s">
        <v>447</v>
      </c>
      <c r="C116" s="256">
        <v>32149</v>
      </c>
      <c r="D116" s="60">
        <v>22980</v>
      </c>
      <c r="E116" s="43">
        <f t="shared" si="30"/>
        <v>139.89991296779809</v>
      </c>
      <c r="F116" s="60">
        <v>9977</v>
      </c>
      <c r="G116" s="60">
        <v>1357</v>
      </c>
      <c r="H116" s="43">
        <f t="shared" si="31"/>
        <v>735.22476050110538</v>
      </c>
      <c r="I116" s="60">
        <v>38421</v>
      </c>
      <c r="J116" s="60">
        <v>56209</v>
      </c>
      <c r="K116" s="43">
        <f t="shared" si="32"/>
        <v>68.353822341617885</v>
      </c>
      <c r="L116" s="60">
        <v>0</v>
      </c>
      <c r="M116" s="60">
        <v>0</v>
      </c>
      <c r="N116" s="43" t="e">
        <f t="shared" si="33"/>
        <v>#DIV/0!</v>
      </c>
      <c r="O116" s="90">
        <v>45</v>
      </c>
      <c r="P116" s="90">
        <v>63</v>
      </c>
      <c r="Q116" s="44">
        <f t="shared" si="34"/>
        <v>2835</v>
      </c>
    </row>
    <row r="117" spans="1:17" x14ac:dyDescent="0.25">
      <c r="A117" s="264">
        <v>25</v>
      </c>
      <c r="B117" s="304" t="s">
        <v>448</v>
      </c>
      <c r="C117" s="256">
        <v>10226</v>
      </c>
      <c r="D117" s="60">
        <v>14638</v>
      </c>
      <c r="E117" s="43">
        <f t="shared" si="30"/>
        <v>69.859270392130071</v>
      </c>
      <c r="F117" s="60">
        <v>2294</v>
      </c>
      <c r="G117" s="60">
        <v>9845</v>
      </c>
      <c r="H117" s="43">
        <f t="shared" si="31"/>
        <v>23.30116810563738</v>
      </c>
      <c r="I117" s="60">
        <v>10290</v>
      </c>
      <c r="J117" s="60">
        <v>15075</v>
      </c>
      <c r="K117" s="43">
        <f t="shared" si="32"/>
        <v>68.258706467661696</v>
      </c>
      <c r="L117" s="60">
        <v>0</v>
      </c>
      <c r="M117" s="60">
        <v>0</v>
      </c>
      <c r="N117" s="43" t="e">
        <f t="shared" si="33"/>
        <v>#DIV/0!</v>
      </c>
      <c r="O117" s="90">
        <v>22</v>
      </c>
      <c r="P117" s="90">
        <v>60</v>
      </c>
      <c r="Q117" s="44">
        <f t="shared" si="34"/>
        <v>1320</v>
      </c>
    </row>
    <row r="118" spans="1:17" x14ac:dyDescent="0.25">
      <c r="A118" s="264">
        <v>26</v>
      </c>
      <c r="B118" s="304" t="s">
        <v>449</v>
      </c>
      <c r="C118" s="256">
        <v>14792</v>
      </c>
      <c r="D118" s="60">
        <v>6077</v>
      </c>
      <c r="E118" s="43">
        <f t="shared" si="30"/>
        <v>243.40957709396082</v>
      </c>
      <c r="F118" s="60">
        <v>3138</v>
      </c>
      <c r="G118" s="60">
        <v>656</v>
      </c>
      <c r="H118" s="43">
        <f t="shared" si="31"/>
        <v>478.35365853658533</v>
      </c>
      <c r="I118" s="60">
        <v>8951</v>
      </c>
      <c r="J118" s="60">
        <v>9047</v>
      </c>
      <c r="K118" s="43">
        <f t="shared" si="32"/>
        <v>98.9388747651155</v>
      </c>
      <c r="L118" s="60">
        <v>0</v>
      </c>
      <c r="M118" s="60">
        <v>0</v>
      </c>
      <c r="N118" s="43" t="e">
        <f t="shared" si="33"/>
        <v>#DIV/0!</v>
      </c>
      <c r="O118" s="90">
        <v>18</v>
      </c>
      <c r="P118" s="90">
        <v>65</v>
      </c>
      <c r="Q118" s="44">
        <f t="shared" si="34"/>
        <v>1170</v>
      </c>
    </row>
    <row r="119" spans="1:17" x14ac:dyDescent="0.25">
      <c r="A119" s="264">
        <v>27</v>
      </c>
      <c r="B119" s="304" t="s">
        <v>450</v>
      </c>
      <c r="C119" s="256">
        <v>37698</v>
      </c>
      <c r="D119" s="60">
        <v>25762</v>
      </c>
      <c r="E119" s="43">
        <f t="shared" si="30"/>
        <v>146.33180653675956</v>
      </c>
      <c r="F119" s="60">
        <v>12966</v>
      </c>
      <c r="G119" s="60">
        <v>7595</v>
      </c>
      <c r="H119" s="43">
        <f t="shared" si="31"/>
        <v>170.71757735352205</v>
      </c>
      <c r="I119" s="60">
        <v>37698</v>
      </c>
      <c r="J119" s="60">
        <v>25762</v>
      </c>
      <c r="K119" s="43">
        <f t="shared" si="32"/>
        <v>146.33180653675956</v>
      </c>
      <c r="L119" s="60">
        <v>0</v>
      </c>
      <c r="M119" s="60">
        <v>0</v>
      </c>
      <c r="N119" s="43" t="e">
        <f t="shared" si="33"/>
        <v>#DIV/0!</v>
      </c>
      <c r="O119" s="90">
        <v>33</v>
      </c>
      <c r="P119" s="90">
        <v>75</v>
      </c>
      <c r="Q119" s="44">
        <f t="shared" si="34"/>
        <v>2475</v>
      </c>
    </row>
    <row r="121" spans="1:17" s="126" customFormat="1" ht="35.25" customHeight="1" x14ac:dyDescent="0.25">
      <c r="A121" s="353"/>
      <c r="B121" s="416" t="s">
        <v>367</v>
      </c>
      <c r="C121" s="417">
        <f>SUM(C122:C127)</f>
        <v>62539</v>
      </c>
      <c r="D121" s="67">
        <f>SUM(D122:D127)</f>
        <v>68115</v>
      </c>
      <c r="E121" s="57">
        <f>C121/D121*100</f>
        <v>91.813844234016003</v>
      </c>
      <c r="F121" s="67">
        <f>SUM(F122:F127)</f>
        <v>10275</v>
      </c>
      <c r="G121" s="67">
        <f>SUM(G122:G127)</f>
        <v>22414</v>
      </c>
      <c r="H121" s="57">
        <f>F121/G121*100</f>
        <v>45.841884536450436</v>
      </c>
      <c r="I121" s="67">
        <f>SUM(I122:I127)</f>
        <v>53137</v>
      </c>
      <c r="J121" s="67">
        <f>SUM(J122:J127)</f>
        <v>53208</v>
      </c>
      <c r="K121" s="57">
        <f>I121/J121*100</f>
        <v>99.86656141933544</v>
      </c>
      <c r="L121" s="67">
        <f>SUM(L122:L127)</f>
        <v>10266</v>
      </c>
      <c r="M121" s="67">
        <f>SUM(M122:M127)</f>
        <v>0</v>
      </c>
      <c r="N121" s="57" t="e">
        <f>L121/M121*100</f>
        <v>#DIV/0!</v>
      </c>
      <c r="O121" s="67">
        <f>SUM(O122:O127)</f>
        <v>100</v>
      </c>
      <c r="P121" s="68">
        <f>Q121/O121</f>
        <v>83.2</v>
      </c>
      <c r="Q121" s="352">
        <f>SUM(Q122:Q127)</f>
        <v>8320</v>
      </c>
    </row>
    <row r="122" spans="1:17" x14ac:dyDescent="0.25">
      <c r="A122" s="248">
        <v>1</v>
      </c>
      <c r="B122" s="304" t="s">
        <v>451</v>
      </c>
      <c r="C122" s="256">
        <v>34516</v>
      </c>
      <c r="D122" s="60">
        <v>52458</v>
      </c>
      <c r="E122" s="43">
        <f t="shared" ref="E122:E127" si="35">C122/D122*100</f>
        <v>65.797399824621607</v>
      </c>
      <c r="F122" s="60">
        <v>4467</v>
      </c>
      <c r="G122" s="60">
        <v>18624</v>
      </c>
      <c r="H122" s="43">
        <f t="shared" ref="H122:H127" si="36">F122/G122*100</f>
        <v>23.985180412371136</v>
      </c>
      <c r="I122" s="60">
        <v>22874</v>
      </c>
      <c r="J122" s="60">
        <v>35390</v>
      </c>
      <c r="K122" s="43">
        <f t="shared" ref="K122:K127" si="37">I122/J122*100</f>
        <v>64.634077423000846</v>
      </c>
      <c r="L122" s="60">
        <v>0</v>
      </c>
      <c r="M122" s="60">
        <v>0</v>
      </c>
      <c r="N122" s="43" t="e">
        <f t="shared" ref="N122:N127" si="38">L122/M122*100</f>
        <v>#DIV/0!</v>
      </c>
      <c r="O122" s="60">
        <v>72</v>
      </c>
      <c r="P122" s="46">
        <v>80</v>
      </c>
      <c r="Q122" s="44">
        <f t="shared" ref="Q122:Q127" si="39">O122*P122</f>
        <v>5760</v>
      </c>
    </row>
    <row r="123" spans="1:17" x14ac:dyDescent="0.25">
      <c r="A123" s="248">
        <v>2</v>
      </c>
      <c r="B123" s="304" t="s">
        <v>452</v>
      </c>
      <c r="C123" s="256">
        <v>0</v>
      </c>
      <c r="D123" s="60">
        <v>0</v>
      </c>
      <c r="E123" s="43" t="e">
        <f t="shared" si="35"/>
        <v>#DIV/0!</v>
      </c>
      <c r="F123" s="60">
        <v>0</v>
      </c>
      <c r="G123" s="60">
        <v>0</v>
      </c>
      <c r="H123" s="43" t="e">
        <f t="shared" si="36"/>
        <v>#DIV/0!</v>
      </c>
      <c r="I123" s="60">
        <v>0</v>
      </c>
      <c r="J123" s="60">
        <v>0</v>
      </c>
      <c r="K123" s="43" t="e">
        <f t="shared" si="37"/>
        <v>#DIV/0!</v>
      </c>
      <c r="L123" s="60">
        <v>0</v>
      </c>
      <c r="M123" s="60">
        <v>0</v>
      </c>
      <c r="N123" s="43" t="e">
        <f t="shared" si="38"/>
        <v>#DIV/0!</v>
      </c>
      <c r="O123" s="45">
        <v>0</v>
      </c>
      <c r="P123" s="46">
        <v>0</v>
      </c>
      <c r="Q123" s="44">
        <f t="shared" si="39"/>
        <v>0</v>
      </c>
    </row>
    <row r="124" spans="1:17" x14ac:dyDescent="0.25">
      <c r="A124" s="248">
        <v>3</v>
      </c>
      <c r="B124" s="304" t="s">
        <v>453</v>
      </c>
      <c r="C124" s="256">
        <v>0</v>
      </c>
      <c r="D124" s="60">
        <v>0</v>
      </c>
      <c r="E124" s="43" t="e">
        <f t="shared" si="35"/>
        <v>#DIV/0!</v>
      </c>
      <c r="F124" s="60">
        <v>0</v>
      </c>
      <c r="G124" s="60">
        <v>0</v>
      </c>
      <c r="H124" s="43" t="e">
        <f t="shared" si="36"/>
        <v>#DIV/0!</v>
      </c>
      <c r="I124" s="60">
        <v>0</v>
      </c>
      <c r="J124" s="60">
        <v>0</v>
      </c>
      <c r="K124" s="43" t="e">
        <f t="shared" si="37"/>
        <v>#DIV/0!</v>
      </c>
      <c r="L124" s="60">
        <v>0</v>
      </c>
      <c r="M124" s="60">
        <v>0</v>
      </c>
      <c r="N124" s="43" t="e">
        <f t="shared" si="38"/>
        <v>#DIV/0!</v>
      </c>
      <c r="O124" s="45">
        <v>0</v>
      </c>
      <c r="P124" s="46">
        <v>0</v>
      </c>
      <c r="Q124" s="44">
        <f t="shared" si="39"/>
        <v>0</v>
      </c>
    </row>
    <row r="125" spans="1:17" x14ac:dyDescent="0.25">
      <c r="A125" s="248">
        <v>4</v>
      </c>
      <c r="B125" s="304" t="s">
        <v>454</v>
      </c>
      <c r="C125" s="256">
        <v>3250</v>
      </c>
      <c r="D125" s="60">
        <v>1050</v>
      </c>
      <c r="E125" s="43">
        <f t="shared" si="35"/>
        <v>309.52380952380952</v>
      </c>
      <c r="F125" s="60">
        <v>1800</v>
      </c>
      <c r="G125" s="60">
        <v>0</v>
      </c>
      <c r="H125" s="43" t="e">
        <f t="shared" si="36"/>
        <v>#DIV/0!</v>
      </c>
      <c r="I125" s="60">
        <v>5490</v>
      </c>
      <c r="J125" s="60">
        <v>3211</v>
      </c>
      <c r="K125" s="43">
        <f t="shared" si="37"/>
        <v>170.97477421364061</v>
      </c>
      <c r="L125" s="60">
        <v>0</v>
      </c>
      <c r="M125" s="60">
        <v>0</v>
      </c>
      <c r="N125" s="43" t="e">
        <f t="shared" si="38"/>
        <v>#DIV/0!</v>
      </c>
      <c r="O125" s="60">
        <v>8</v>
      </c>
      <c r="P125" s="99">
        <v>70</v>
      </c>
      <c r="Q125" s="44">
        <f t="shared" si="39"/>
        <v>560</v>
      </c>
    </row>
    <row r="126" spans="1:17" x14ac:dyDescent="0.25">
      <c r="A126" s="248">
        <v>5</v>
      </c>
      <c r="B126" s="304" t="s">
        <v>455</v>
      </c>
      <c r="C126" s="256">
        <v>0</v>
      </c>
      <c r="D126" s="60">
        <v>0</v>
      </c>
      <c r="E126" s="43" t="e">
        <f t="shared" si="35"/>
        <v>#DIV/0!</v>
      </c>
      <c r="F126" s="60">
        <v>0</v>
      </c>
      <c r="G126" s="60">
        <v>0</v>
      </c>
      <c r="H126" s="43" t="e">
        <f t="shared" si="36"/>
        <v>#DIV/0!</v>
      </c>
      <c r="I126" s="60">
        <v>0</v>
      </c>
      <c r="J126" s="60">
        <v>0</v>
      </c>
      <c r="K126" s="43" t="e">
        <f t="shared" si="37"/>
        <v>#DIV/0!</v>
      </c>
      <c r="L126" s="60">
        <v>0</v>
      </c>
      <c r="M126" s="60">
        <v>0</v>
      </c>
      <c r="N126" s="43" t="e">
        <f t="shared" si="38"/>
        <v>#DIV/0!</v>
      </c>
      <c r="O126" s="45">
        <v>0</v>
      </c>
      <c r="P126" s="46">
        <v>0</v>
      </c>
      <c r="Q126" s="44">
        <f t="shared" si="39"/>
        <v>0</v>
      </c>
    </row>
    <row r="127" spans="1:17" x14ac:dyDescent="0.25">
      <c r="A127" s="248">
        <v>6</v>
      </c>
      <c r="B127" s="304" t="s">
        <v>456</v>
      </c>
      <c r="C127" s="256">
        <v>24773</v>
      </c>
      <c r="D127" s="60">
        <v>14607</v>
      </c>
      <c r="E127" s="43">
        <f t="shared" si="35"/>
        <v>169.59676867255428</v>
      </c>
      <c r="F127" s="60">
        <v>4008</v>
      </c>
      <c r="G127" s="60">
        <v>3790</v>
      </c>
      <c r="H127" s="43">
        <f t="shared" si="36"/>
        <v>105.75197889182057</v>
      </c>
      <c r="I127" s="60">
        <v>24773</v>
      </c>
      <c r="J127" s="60">
        <v>14607</v>
      </c>
      <c r="K127" s="43">
        <f t="shared" si="37"/>
        <v>169.59676867255428</v>
      </c>
      <c r="L127" s="60">
        <v>10266</v>
      </c>
      <c r="M127" s="60">
        <v>0</v>
      </c>
      <c r="N127" s="43" t="e">
        <f t="shared" si="38"/>
        <v>#DIV/0!</v>
      </c>
      <c r="O127" s="60">
        <v>20</v>
      </c>
      <c r="P127" s="89">
        <v>100</v>
      </c>
      <c r="Q127" s="44">
        <f t="shared" si="39"/>
        <v>2000</v>
      </c>
    </row>
    <row r="128" spans="1:17" x14ac:dyDescent="0.25">
      <c r="A128" s="354"/>
      <c r="B128" s="355"/>
      <c r="C128" s="356"/>
      <c r="D128" s="73"/>
      <c r="E128" s="357"/>
      <c r="F128" s="73"/>
      <c r="G128" s="73"/>
      <c r="H128" s="357"/>
      <c r="I128" s="73"/>
      <c r="J128" s="73"/>
      <c r="K128" s="357"/>
      <c r="L128" s="73"/>
      <c r="M128" s="73"/>
      <c r="N128" s="357"/>
      <c r="O128" s="73"/>
      <c r="P128" s="358"/>
      <c r="Q128" s="44"/>
    </row>
    <row r="129" spans="1:17" s="363" customFormat="1" ht="43.5" customHeight="1" x14ac:dyDescent="0.25">
      <c r="A129" s="1005" t="s">
        <v>366</v>
      </c>
      <c r="B129" s="1006" t="s">
        <v>78</v>
      </c>
      <c r="C129" s="359">
        <f>C130+C140</f>
        <v>134393765</v>
      </c>
      <c r="D129" s="360">
        <f>D130+D140</f>
        <v>144290805</v>
      </c>
      <c r="E129" s="361">
        <f>C129/D129*100</f>
        <v>93.14090735026393</v>
      </c>
      <c r="F129" s="360">
        <f>F130+F140</f>
        <v>28835163</v>
      </c>
      <c r="G129" s="360">
        <f>G130+G140</f>
        <v>30397092</v>
      </c>
      <c r="H129" s="361">
        <f t="shared" ref="H129" si="40">F129/G129*100-100</f>
        <v>-5.1384158721498636</v>
      </c>
      <c r="I129" s="360">
        <f>I130+I140</f>
        <v>133168903</v>
      </c>
      <c r="J129" s="360">
        <f>J130+J140</f>
        <v>138616421</v>
      </c>
      <c r="K129" s="361">
        <f>I129/J129*100</f>
        <v>96.070077440536423</v>
      </c>
      <c r="L129" s="360">
        <f>L130+L140</f>
        <v>108692033</v>
      </c>
      <c r="M129" s="360">
        <f>M130+M140</f>
        <v>109676719</v>
      </c>
      <c r="N129" s="361">
        <f>L129/M129*100</f>
        <v>99.102192325793396</v>
      </c>
      <c r="O129" s="360">
        <f>O130+O140</f>
        <v>10055</v>
      </c>
      <c r="P129" s="362">
        <f>Q129/O129</f>
        <v>156.60885131775237</v>
      </c>
      <c r="Q129" s="363">
        <f>Q130+Q140</f>
        <v>1574702</v>
      </c>
    </row>
    <row r="130" spans="1:17" s="126" customFormat="1" ht="31.5" customHeight="1" x14ac:dyDescent="0.25">
      <c r="A130" s="1003" t="s">
        <v>365</v>
      </c>
      <c r="B130" s="1004" t="s">
        <v>135</v>
      </c>
      <c r="C130" s="254">
        <f>SUM(C131:C138)</f>
        <v>71375578</v>
      </c>
      <c r="D130" s="254">
        <f>SUM(D131:D138)</f>
        <v>73761562</v>
      </c>
      <c r="E130" s="57">
        <f>C130/D130*100</f>
        <v>96.765274574852413</v>
      </c>
      <c r="F130" s="254">
        <f>SUM(F131:F138)</f>
        <v>15266284</v>
      </c>
      <c r="G130" s="254">
        <f>SUM(G131:G138)</f>
        <v>16485445</v>
      </c>
      <c r="H130" s="57">
        <f>F130/G130*100</f>
        <v>92.604621834594099</v>
      </c>
      <c r="I130" s="254">
        <f>SUM(I131:I138)</f>
        <v>68439226</v>
      </c>
      <c r="J130" s="254">
        <f>SUM(J131:J138)</f>
        <v>69006652</v>
      </c>
      <c r="K130" s="57">
        <f>I130/J130*100</f>
        <v>99.177722750554537</v>
      </c>
      <c r="L130" s="254">
        <f>SUM(L131:L138)</f>
        <v>47521667</v>
      </c>
      <c r="M130" s="254">
        <f>SUM(M131:M138)</f>
        <v>43335055</v>
      </c>
      <c r="N130" s="57">
        <f>L130/M130*100</f>
        <v>109.66102846759973</v>
      </c>
      <c r="O130" s="254">
        <f>SUM(O131:O138)</f>
        <v>6372</v>
      </c>
      <c r="P130" s="68">
        <f>Q130/O130</f>
        <v>169.94224733207784</v>
      </c>
      <c r="Q130" s="68">
        <f>SUM(Q131:Q138)</f>
        <v>1082872</v>
      </c>
    </row>
    <row r="131" spans="1:17" x14ac:dyDescent="0.25">
      <c r="A131" s="271">
        <v>1</v>
      </c>
      <c r="B131" s="304" t="s">
        <v>457</v>
      </c>
      <c r="C131" s="256">
        <v>50032085</v>
      </c>
      <c r="D131" s="60">
        <v>51634044</v>
      </c>
      <c r="E131" s="43">
        <f t="shared" ref="E131:E135" si="41">C131/D131*100</f>
        <v>96.897475239398261</v>
      </c>
      <c r="F131" s="60">
        <v>10665898</v>
      </c>
      <c r="G131" s="60">
        <v>10833512</v>
      </c>
      <c r="H131" s="43">
        <f t="shared" ref="H131:H135" si="42">F131/G131*100</f>
        <v>98.452819362732967</v>
      </c>
      <c r="I131" s="60">
        <v>49477334</v>
      </c>
      <c r="J131" s="60">
        <v>52105709</v>
      </c>
      <c r="K131" s="43">
        <f t="shared" ref="K131:K135" si="43">I131/J131*100</f>
        <v>94.955687101388449</v>
      </c>
      <c r="L131" s="60">
        <v>28726947</v>
      </c>
      <c r="M131" s="60">
        <v>26450120</v>
      </c>
      <c r="N131" s="43">
        <f t="shared" ref="N131:N135" si="44">L131/M131*100</f>
        <v>108.60800253458207</v>
      </c>
      <c r="O131" s="45">
        <v>3025</v>
      </c>
      <c r="P131" s="60">
        <v>145</v>
      </c>
      <c r="Q131" s="44">
        <f t="shared" ref="Q131:Q138" si="45">O131*P131</f>
        <v>438625</v>
      </c>
    </row>
    <row r="132" spans="1:17" x14ac:dyDescent="0.25">
      <c r="A132" s="271">
        <v>2</v>
      </c>
      <c r="B132" s="304" t="s">
        <v>458</v>
      </c>
      <c r="C132" s="256">
        <v>11113922</v>
      </c>
      <c r="D132" s="60">
        <v>10071870</v>
      </c>
      <c r="E132" s="43">
        <f t="shared" si="41"/>
        <v>110.3461621327519</v>
      </c>
      <c r="F132" s="60">
        <v>2423534</v>
      </c>
      <c r="G132" s="60">
        <v>2459638</v>
      </c>
      <c r="H132" s="43">
        <f t="shared" si="42"/>
        <v>98.532141721667983</v>
      </c>
      <c r="I132" s="60">
        <v>9166524</v>
      </c>
      <c r="J132" s="60">
        <v>7438921</v>
      </c>
      <c r="K132" s="43">
        <f t="shared" si="43"/>
        <v>123.22383851098834</v>
      </c>
      <c r="L132" s="60">
        <v>9166524</v>
      </c>
      <c r="M132" s="60">
        <v>7438921</v>
      </c>
      <c r="N132" s="43">
        <f t="shared" si="44"/>
        <v>123.22383851098834</v>
      </c>
      <c r="O132" s="45">
        <v>1019</v>
      </c>
      <c r="P132" s="60">
        <v>120</v>
      </c>
      <c r="Q132" s="44">
        <f t="shared" si="45"/>
        <v>122280</v>
      </c>
    </row>
    <row r="133" spans="1:17" ht="27" customHeight="1" x14ac:dyDescent="0.25">
      <c r="A133" s="272">
        <v>3</v>
      </c>
      <c r="B133" s="304" t="s">
        <v>459</v>
      </c>
      <c r="C133" s="247">
        <v>7399415</v>
      </c>
      <c r="D133" s="54">
        <v>9892079</v>
      </c>
      <c r="E133" s="43">
        <f t="shared" si="41"/>
        <v>74.801414343739069</v>
      </c>
      <c r="F133" s="54">
        <v>1680796</v>
      </c>
      <c r="G133" s="54">
        <v>2661572</v>
      </c>
      <c r="H133" s="43">
        <f t="shared" si="42"/>
        <v>63.150499028393746</v>
      </c>
      <c r="I133" s="54">
        <v>7183147</v>
      </c>
      <c r="J133" s="54">
        <v>7191801</v>
      </c>
      <c r="K133" s="43">
        <f t="shared" si="43"/>
        <v>99.879668528091926</v>
      </c>
      <c r="L133" s="54">
        <v>7183147</v>
      </c>
      <c r="M133" s="54">
        <v>7191801</v>
      </c>
      <c r="N133" s="43">
        <f t="shared" si="44"/>
        <v>99.879668528091926</v>
      </c>
      <c r="O133" s="42">
        <v>1070</v>
      </c>
      <c r="P133" s="62">
        <v>306</v>
      </c>
      <c r="Q133" s="44">
        <f t="shared" si="45"/>
        <v>327420</v>
      </c>
    </row>
    <row r="134" spans="1:17" x14ac:dyDescent="0.25">
      <c r="A134" s="271">
        <v>4</v>
      </c>
      <c r="B134" s="304" t="s">
        <v>460</v>
      </c>
      <c r="C134" s="256">
        <v>2818179</v>
      </c>
      <c r="D134" s="60">
        <v>2149038</v>
      </c>
      <c r="E134" s="43">
        <f t="shared" si="41"/>
        <v>131.13676910319873</v>
      </c>
      <c r="F134" s="60">
        <v>491232</v>
      </c>
      <c r="G134" s="60">
        <v>525983</v>
      </c>
      <c r="H134" s="43">
        <f t="shared" si="42"/>
        <v>93.393132477665631</v>
      </c>
      <c r="I134" s="60">
        <v>2445049</v>
      </c>
      <c r="J134" s="60">
        <v>2254213</v>
      </c>
      <c r="K134" s="43">
        <f t="shared" si="43"/>
        <v>108.46574835652176</v>
      </c>
      <c r="L134" s="60">
        <v>2445049</v>
      </c>
      <c r="M134" s="60">
        <v>2254213</v>
      </c>
      <c r="N134" s="43">
        <f t="shared" si="44"/>
        <v>108.46574835652176</v>
      </c>
      <c r="O134" s="45">
        <v>643</v>
      </c>
      <c r="P134" s="60">
        <v>166</v>
      </c>
      <c r="Q134" s="44">
        <f t="shared" si="45"/>
        <v>106738</v>
      </c>
    </row>
    <row r="135" spans="1:17" x14ac:dyDescent="0.25">
      <c r="A135" s="271">
        <v>5</v>
      </c>
      <c r="B135" s="304" t="s">
        <v>461</v>
      </c>
      <c r="C135" s="256">
        <v>0</v>
      </c>
      <c r="D135" s="60">
        <v>0</v>
      </c>
      <c r="E135" s="43" t="e">
        <f t="shared" si="41"/>
        <v>#DIV/0!</v>
      </c>
      <c r="F135" s="60">
        <v>0</v>
      </c>
      <c r="G135" s="60">
        <v>0</v>
      </c>
      <c r="H135" s="43" t="e">
        <f t="shared" si="42"/>
        <v>#DIV/0!</v>
      </c>
      <c r="I135" s="60">
        <v>0</v>
      </c>
      <c r="J135" s="60">
        <v>0</v>
      </c>
      <c r="K135" s="43" t="e">
        <f t="shared" si="43"/>
        <v>#DIV/0!</v>
      </c>
      <c r="L135" s="60">
        <v>0</v>
      </c>
      <c r="M135" s="60">
        <v>0</v>
      </c>
      <c r="N135" s="43" t="e">
        <f t="shared" si="44"/>
        <v>#DIV/0!</v>
      </c>
      <c r="O135" s="45">
        <v>380</v>
      </c>
      <c r="P135" s="46">
        <v>189</v>
      </c>
      <c r="Q135" s="44">
        <f t="shared" si="45"/>
        <v>71820</v>
      </c>
    </row>
    <row r="136" spans="1:17" x14ac:dyDescent="0.25">
      <c r="A136" s="271">
        <v>6</v>
      </c>
      <c r="B136" s="304" t="s">
        <v>462</v>
      </c>
      <c r="C136" s="256">
        <v>0</v>
      </c>
      <c r="D136" s="60">
        <v>0</v>
      </c>
      <c r="E136" s="43" t="e">
        <f>C136/D136*100</f>
        <v>#DIV/0!</v>
      </c>
      <c r="F136" s="60">
        <v>0</v>
      </c>
      <c r="G136" s="60">
        <v>0</v>
      </c>
      <c r="H136" s="43" t="e">
        <f>F136/G136*100</f>
        <v>#DIV/0!</v>
      </c>
      <c r="I136" s="60">
        <v>155195</v>
      </c>
      <c r="J136" s="60">
        <v>1477</v>
      </c>
      <c r="K136" s="43">
        <f>I136/J136*100</f>
        <v>10507.447528774543</v>
      </c>
      <c r="L136" s="60">
        <v>0</v>
      </c>
      <c r="M136" s="60">
        <v>0</v>
      </c>
      <c r="N136" s="43" t="e">
        <f>L136/M136*100</f>
        <v>#DIV/0!</v>
      </c>
      <c r="O136" s="45">
        <v>201</v>
      </c>
      <c r="P136" s="46">
        <v>65</v>
      </c>
      <c r="Q136" s="44">
        <f t="shared" si="45"/>
        <v>13065</v>
      </c>
    </row>
    <row r="137" spans="1:17" x14ac:dyDescent="0.25">
      <c r="A137" s="271">
        <v>3</v>
      </c>
      <c r="B137" s="304" t="s">
        <v>463</v>
      </c>
      <c r="C137" s="256">
        <v>0</v>
      </c>
      <c r="D137" s="60">
        <v>0</v>
      </c>
      <c r="E137" s="43" t="e">
        <f>C137/D137*100</f>
        <v>#DIV/0!</v>
      </c>
      <c r="F137" s="60">
        <v>0</v>
      </c>
      <c r="G137" s="60">
        <v>0</v>
      </c>
      <c r="H137" s="43" t="e">
        <f>F137/G137*100</f>
        <v>#DIV/0!</v>
      </c>
      <c r="I137" s="60">
        <v>0</v>
      </c>
      <c r="J137" s="60">
        <v>0</v>
      </c>
      <c r="K137" s="43" t="e">
        <f>I137/J137*100</f>
        <v>#DIV/0!</v>
      </c>
      <c r="L137" s="60">
        <v>0</v>
      </c>
      <c r="M137" s="60">
        <v>0</v>
      </c>
      <c r="N137" s="43" t="e">
        <f>L137/M137*100</f>
        <v>#DIV/0!</v>
      </c>
      <c r="O137" s="45">
        <v>0</v>
      </c>
      <c r="P137" s="46">
        <v>0</v>
      </c>
      <c r="Q137" s="44">
        <f t="shared" si="45"/>
        <v>0</v>
      </c>
    </row>
    <row r="138" spans="1:17" x14ac:dyDescent="0.25">
      <c r="A138" s="271">
        <v>1</v>
      </c>
      <c r="B138" s="304" t="s">
        <v>464</v>
      </c>
      <c r="C138" s="256">
        <v>11977</v>
      </c>
      <c r="D138" s="60">
        <v>14531</v>
      </c>
      <c r="E138" s="43">
        <f>C138/D138*100</f>
        <v>82.423783634987274</v>
      </c>
      <c r="F138" s="60">
        <v>4824</v>
      </c>
      <c r="G138" s="60">
        <v>4740</v>
      </c>
      <c r="H138" s="43">
        <f>F138/G138*100</f>
        <v>101.77215189873419</v>
      </c>
      <c r="I138" s="60">
        <v>11977</v>
      </c>
      <c r="J138" s="60">
        <v>14531</v>
      </c>
      <c r="K138" s="43">
        <f>I138/J138*100</f>
        <v>82.423783634987274</v>
      </c>
      <c r="L138" s="60">
        <v>0</v>
      </c>
      <c r="M138" s="60">
        <v>0</v>
      </c>
      <c r="N138" s="43" t="e">
        <f>L138/M138*100</f>
        <v>#DIV/0!</v>
      </c>
      <c r="O138" s="100">
        <v>34</v>
      </c>
      <c r="P138" s="75">
        <v>86</v>
      </c>
      <c r="Q138" s="44">
        <f t="shared" si="45"/>
        <v>2924</v>
      </c>
    </row>
    <row r="140" spans="1:17" s="126" customFormat="1" ht="21.75" customHeight="1" x14ac:dyDescent="0.25">
      <c r="A140" s="1003" t="s">
        <v>465</v>
      </c>
      <c r="B140" s="1004" t="s">
        <v>135</v>
      </c>
      <c r="C140" s="254">
        <f>SUM(C141:C148)</f>
        <v>63018187</v>
      </c>
      <c r="D140" s="68">
        <f>SUM(D141:D148)</f>
        <v>70529243</v>
      </c>
      <c r="E140" s="57">
        <f>C140/D140*100</f>
        <v>89.350437236367327</v>
      </c>
      <c r="F140" s="68">
        <f>SUM(F141:F148)</f>
        <v>13568879</v>
      </c>
      <c r="G140" s="68">
        <f>SUM(G141:G148)</f>
        <v>13911647</v>
      </c>
      <c r="H140" s="57">
        <f>F140/G140*100</f>
        <v>97.536107694509496</v>
      </c>
      <c r="I140" s="68">
        <f>SUM(I141:I148)</f>
        <v>64729677</v>
      </c>
      <c r="J140" s="68">
        <f>SUM(J141:J148)</f>
        <v>69609769</v>
      </c>
      <c r="K140" s="57">
        <f>I140/J140*100</f>
        <v>92.989357571348933</v>
      </c>
      <c r="L140" s="68">
        <f>SUM(L141:L148)</f>
        <v>61170366</v>
      </c>
      <c r="M140" s="68">
        <f>SUM(M141:M148)</f>
        <v>66341664</v>
      </c>
      <c r="N140" s="57">
        <f>L140/M140*100</f>
        <v>92.205052318253578</v>
      </c>
      <c r="O140" s="67">
        <f>SUM(O141:O148)</f>
        <v>3683</v>
      </c>
      <c r="P140" s="68">
        <f>Q140/O140</f>
        <v>133.54059190877001</v>
      </c>
      <c r="Q140" s="352">
        <f>SUM(Q141:Q148)</f>
        <v>491830</v>
      </c>
    </row>
    <row r="141" spans="1:17" x14ac:dyDescent="0.25">
      <c r="A141" s="271">
        <v>1</v>
      </c>
      <c r="B141" s="304" t="s">
        <v>466</v>
      </c>
      <c r="C141" s="256">
        <v>8770187</v>
      </c>
      <c r="D141" s="60">
        <v>8940716</v>
      </c>
      <c r="E141" s="43">
        <f t="shared" ref="E141:E148" si="46">C141/D141*100</f>
        <v>98.092669535638976</v>
      </c>
      <c r="F141" s="60">
        <v>2130037</v>
      </c>
      <c r="G141" s="60">
        <v>1873147</v>
      </c>
      <c r="H141" s="43">
        <f t="shared" ref="H141:H148" si="47">F141/G141*100</f>
        <v>113.714353438358</v>
      </c>
      <c r="I141" s="60">
        <v>9024708</v>
      </c>
      <c r="J141" s="60">
        <v>8917183</v>
      </c>
      <c r="K141" s="43">
        <f t="shared" ref="K141:K148" si="48">I141/J141*100</f>
        <v>101.20581802571506</v>
      </c>
      <c r="L141" s="60">
        <v>9024708</v>
      </c>
      <c r="M141" s="60">
        <v>8917183</v>
      </c>
      <c r="N141" s="43">
        <f t="shared" ref="N141:N148" si="49">L141/M141*100</f>
        <v>101.20581802571506</v>
      </c>
      <c r="O141" s="45">
        <v>517</v>
      </c>
      <c r="P141" s="75">
        <v>150</v>
      </c>
      <c r="Q141" s="44">
        <f>O141*P141</f>
        <v>77550</v>
      </c>
    </row>
    <row r="142" spans="1:17" x14ac:dyDescent="0.25">
      <c r="A142" s="271">
        <v>2</v>
      </c>
      <c r="B142" s="304" t="s">
        <v>467</v>
      </c>
      <c r="C142" s="256">
        <v>12266387</v>
      </c>
      <c r="D142" s="60">
        <v>18370488</v>
      </c>
      <c r="E142" s="43">
        <f t="shared" si="46"/>
        <v>66.772243611601397</v>
      </c>
      <c r="F142" s="60">
        <v>2308979</v>
      </c>
      <c r="G142" s="60">
        <v>3357034</v>
      </c>
      <c r="H142" s="43">
        <f t="shared" si="47"/>
        <v>68.780328111064705</v>
      </c>
      <c r="I142" s="60">
        <v>12449201</v>
      </c>
      <c r="J142" s="60">
        <v>18221613</v>
      </c>
      <c r="K142" s="43">
        <f t="shared" si="48"/>
        <v>68.321070148948948</v>
      </c>
      <c r="L142" s="60">
        <v>12431248</v>
      </c>
      <c r="M142" s="60">
        <v>18177990</v>
      </c>
      <c r="N142" s="43">
        <f t="shared" si="49"/>
        <v>68.386262727617293</v>
      </c>
      <c r="O142" s="45">
        <v>683</v>
      </c>
      <c r="P142" s="60">
        <v>176</v>
      </c>
      <c r="Q142" s="44">
        <f t="shared" ref="Q142:Q148" si="50">O142*P142</f>
        <v>120208</v>
      </c>
    </row>
    <row r="143" spans="1:17" x14ac:dyDescent="0.25">
      <c r="A143" s="271">
        <v>3</v>
      </c>
      <c r="B143" s="304" t="s">
        <v>468</v>
      </c>
      <c r="C143" s="256">
        <v>12592334</v>
      </c>
      <c r="D143" s="60">
        <v>13283102</v>
      </c>
      <c r="E143" s="43">
        <f t="shared" si="46"/>
        <v>94.799648455609244</v>
      </c>
      <c r="F143" s="60">
        <v>3407639</v>
      </c>
      <c r="G143" s="60">
        <v>2889426</v>
      </c>
      <c r="H143" s="43">
        <f t="shared" si="47"/>
        <v>117.93480781303968</v>
      </c>
      <c r="I143" s="60">
        <v>12939818</v>
      </c>
      <c r="J143" s="60">
        <v>13332883</v>
      </c>
      <c r="K143" s="43">
        <f t="shared" si="48"/>
        <v>97.051912928359158</v>
      </c>
      <c r="L143" s="60">
        <v>12939818</v>
      </c>
      <c r="M143" s="60">
        <v>13332883</v>
      </c>
      <c r="N143" s="43">
        <f t="shared" si="49"/>
        <v>97.051912928359158</v>
      </c>
      <c r="O143" s="45">
        <v>500</v>
      </c>
      <c r="P143" s="60">
        <v>180</v>
      </c>
      <c r="Q143" s="44">
        <f t="shared" si="50"/>
        <v>90000</v>
      </c>
    </row>
    <row r="144" spans="1:17" x14ac:dyDescent="0.25">
      <c r="A144" s="271">
        <v>4</v>
      </c>
      <c r="B144" s="304" t="s">
        <v>469</v>
      </c>
      <c r="C144" s="256">
        <v>2564173</v>
      </c>
      <c r="D144" s="60">
        <v>1907561</v>
      </c>
      <c r="E144" s="43">
        <f t="shared" si="46"/>
        <v>134.42154667662004</v>
      </c>
      <c r="F144" s="60">
        <v>525762</v>
      </c>
      <c r="G144" s="60">
        <v>397852</v>
      </c>
      <c r="H144" s="43">
        <f t="shared" si="47"/>
        <v>132.1501462855534</v>
      </c>
      <c r="I144" s="60">
        <v>2264302</v>
      </c>
      <c r="J144" s="60">
        <v>2122118</v>
      </c>
      <c r="K144" s="43">
        <f t="shared" si="48"/>
        <v>106.70009867500299</v>
      </c>
      <c r="L144" s="60">
        <v>0</v>
      </c>
      <c r="M144" s="60">
        <v>0</v>
      </c>
      <c r="N144" s="43" t="e">
        <f t="shared" si="49"/>
        <v>#DIV/0!</v>
      </c>
      <c r="O144" s="45">
        <v>344</v>
      </c>
      <c r="P144" s="75">
        <v>58</v>
      </c>
      <c r="Q144" s="44">
        <f t="shared" si="50"/>
        <v>19952</v>
      </c>
    </row>
    <row r="145" spans="1:17" x14ac:dyDescent="0.25">
      <c r="A145" s="271">
        <v>5</v>
      </c>
      <c r="B145" s="304" t="s">
        <v>470</v>
      </c>
      <c r="C145" s="256">
        <v>11655108</v>
      </c>
      <c r="D145" s="60">
        <v>12285084</v>
      </c>
      <c r="E145" s="43">
        <f t="shared" si="46"/>
        <v>94.872025295065129</v>
      </c>
      <c r="F145" s="60">
        <v>2083598</v>
      </c>
      <c r="G145" s="60">
        <v>2420813</v>
      </c>
      <c r="H145" s="43">
        <f t="shared" si="47"/>
        <v>86.070175598032563</v>
      </c>
      <c r="I145" s="60">
        <v>11732681</v>
      </c>
      <c r="J145" s="60">
        <v>11373558</v>
      </c>
      <c r="K145" s="43">
        <f t="shared" si="48"/>
        <v>103.15752555181061</v>
      </c>
      <c r="L145" s="60">
        <v>11732681</v>
      </c>
      <c r="M145" s="60">
        <v>11373558</v>
      </c>
      <c r="N145" s="43">
        <f t="shared" si="49"/>
        <v>103.15752555181061</v>
      </c>
      <c r="O145" s="45">
        <v>965</v>
      </c>
      <c r="P145" s="60">
        <v>100</v>
      </c>
      <c r="Q145" s="44">
        <f t="shared" si="50"/>
        <v>96500</v>
      </c>
    </row>
    <row r="146" spans="1:17" x14ac:dyDescent="0.25">
      <c r="A146" s="271">
        <v>6</v>
      </c>
      <c r="B146" s="304" t="s">
        <v>471</v>
      </c>
      <c r="C146" s="256">
        <v>13904429</v>
      </c>
      <c r="D146" s="60">
        <v>14292779</v>
      </c>
      <c r="E146" s="43">
        <f t="shared" si="46"/>
        <v>97.282893690583194</v>
      </c>
      <c r="F146" s="60">
        <v>2829131</v>
      </c>
      <c r="G146" s="60">
        <v>2699319</v>
      </c>
      <c r="H146" s="43">
        <f t="shared" si="47"/>
        <v>104.80906480486374</v>
      </c>
      <c r="I146" s="60">
        <v>15062453</v>
      </c>
      <c r="J146" s="60">
        <v>14558666</v>
      </c>
      <c r="K146" s="43">
        <f t="shared" si="48"/>
        <v>103.46039259366209</v>
      </c>
      <c r="L146" s="60">
        <f>18241+15023670</f>
        <v>15041911</v>
      </c>
      <c r="M146" s="60">
        <v>14540050</v>
      </c>
      <c r="N146" s="43">
        <f t="shared" si="49"/>
        <v>103.45157685152388</v>
      </c>
      <c r="O146" s="45">
        <v>639</v>
      </c>
      <c r="P146" s="60">
        <v>130</v>
      </c>
      <c r="Q146" s="44">
        <f t="shared" si="50"/>
        <v>83070</v>
      </c>
    </row>
    <row r="147" spans="1:17" x14ac:dyDescent="0.25">
      <c r="A147" s="271">
        <v>7</v>
      </c>
      <c r="B147" s="304" t="s">
        <v>472</v>
      </c>
      <c r="C147" s="256">
        <v>1265569</v>
      </c>
      <c r="D147" s="60">
        <v>1449513</v>
      </c>
      <c r="E147" s="43">
        <f t="shared" si="46"/>
        <v>87.30994478835305</v>
      </c>
      <c r="F147" s="60">
        <v>283733</v>
      </c>
      <c r="G147" s="60">
        <v>274056</v>
      </c>
      <c r="H147" s="43">
        <f t="shared" si="47"/>
        <v>103.531030154421</v>
      </c>
      <c r="I147" s="60">
        <v>1256514</v>
      </c>
      <c r="J147" s="60">
        <v>1083748</v>
      </c>
      <c r="K147" s="43">
        <f t="shared" si="48"/>
        <v>115.94152884249844</v>
      </c>
      <c r="L147" s="60">
        <v>0</v>
      </c>
      <c r="M147" s="60">
        <v>0</v>
      </c>
      <c r="N147" s="43" t="e">
        <f t="shared" si="49"/>
        <v>#DIV/0!</v>
      </c>
      <c r="O147" s="45">
        <v>35</v>
      </c>
      <c r="P147" s="60">
        <v>130</v>
      </c>
      <c r="Q147" s="44">
        <f t="shared" si="50"/>
        <v>4550</v>
      </c>
    </row>
    <row r="148" spans="1:17" x14ac:dyDescent="0.25">
      <c r="A148" s="271">
        <v>8</v>
      </c>
      <c r="B148" s="304" t="s">
        <v>473</v>
      </c>
      <c r="C148" s="256">
        <v>0</v>
      </c>
      <c r="D148" s="60">
        <v>0</v>
      </c>
      <c r="E148" s="43" t="e">
        <f t="shared" si="46"/>
        <v>#DIV/0!</v>
      </c>
      <c r="F148" s="60">
        <v>0</v>
      </c>
      <c r="G148" s="60">
        <v>0</v>
      </c>
      <c r="H148" s="43" t="e">
        <f t="shared" si="47"/>
        <v>#DIV/0!</v>
      </c>
      <c r="I148" s="60">
        <v>0</v>
      </c>
      <c r="J148" s="60">
        <v>0</v>
      </c>
      <c r="K148" s="43" t="e">
        <f t="shared" si="48"/>
        <v>#DIV/0!</v>
      </c>
      <c r="L148" s="60">
        <v>0</v>
      </c>
      <c r="M148" s="60">
        <v>0</v>
      </c>
      <c r="N148" s="43" t="e">
        <f t="shared" si="49"/>
        <v>#DIV/0!</v>
      </c>
      <c r="O148" s="45">
        <v>0</v>
      </c>
      <c r="P148" s="46">
        <v>0</v>
      </c>
      <c r="Q148" s="44">
        <f t="shared" si="50"/>
        <v>0</v>
      </c>
    </row>
    <row r="150" spans="1:17" s="126" customFormat="1" ht="30" customHeight="1" x14ac:dyDescent="0.25">
      <c r="A150" s="1007" t="s">
        <v>474</v>
      </c>
      <c r="B150" s="1008" t="s">
        <v>155</v>
      </c>
      <c r="C150" s="368">
        <f>SUM(C151:C153)</f>
        <v>5896077</v>
      </c>
      <c r="D150" s="368">
        <f>SUM(D151:D153)</f>
        <v>5696564</v>
      </c>
      <c r="E150" s="57">
        <f>C150/D150*100</f>
        <v>103.50233930488623</v>
      </c>
      <c r="F150" s="368">
        <f>SUM(F151:F153)</f>
        <v>1284049</v>
      </c>
      <c r="G150" s="368">
        <f>SUM(G151:G153)</f>
        <v>1018289</v>
      </c>
      <c r="H150" s="57">
        <f>F150/G150*100</f>
        <v>126.09868121918237</v>
      </c>
      <c r="I150" s="368">
        <f>SUM(I151:I153)</f>
        <v>5808922</v>
      </c>
      <c r="J150" s="368">
        <f>SUM(J151:J153)</f>
        <v>4860359</v>
      </c>
      <c r="K150" s="57">
        <f>I150/J150*100</f>
        <v>119.51631556434413</v>
      </c>
      <c r="L150" s="368">
        <f>SUM(L151:L153)</f>
        <v>2575257</v>
      </c>
      <c r="M150" s="368">
        <f>SUM(M151:M153)</f>
        <v>2082906</v>
      </c>
      <c r="N150" s="57">
        <f>L150/M150*100</f>
        <v>123.63769656431927</v>
      </c>
      <c r="O150" s="368">
        <f>SUM(O151:O153)</f>
        <v>1047</v>
      </c>
      <c r="P150" s="68">
        <f>Q150/O150</f>
        <v>111.48997134670488</v>
      </c>
      <c r="Q150" s="369">
        <f>SUM(Q151:Q153)</f>
        <v>116730</v>
      </c>
    </row>
    <row r="151" spans="1:17" x14ac:dyDescent="0.25">
      <c r="A151" s="271">
        <v>1</v>
      </c>
      <c r="B151" s="262" t="s">
        <v>475</v>
      </c>
      <c r="C151" s="256">
        <v>830596</v>
      </c>
      <c r="D151" s="60">
        <v>702001</v>
      </c>
      <c r="E151" s="43">
        <f>C151/D151*100</f>
        <v>118.31834997386044</v>
      </c>
      <c r="F151" s="60">
        <v>250978</v>
      </c>
      <c r="G151" s="60">
        <v>204933</v>
      </c>
      <c r="H151" s="43">
        <f>F151/G151*100</f>
        <v>122.46831891398654</v>
      </c>
      <c r="I151" s="60">
        <v>804471</v>
      </c>
      <c r="J151" s="60">
        <v>733532</v>
      </c>
      <c r="K151" s="43">
        <f>I151/J151*100</f>
        <v>109.67088007067176</v>
      </c>
      <c r="L151" s="60">
        <v>14830</v>
      </c>
      <c r="M151" s="60">
        <v>9660</v>
      </c>
      <c r="N151" s="43">
        <f>L151/M151*100</f>
        <v>153.51966873706004</v>
      </c>
      <c r="O151" s="45">
        <v>128</v>
      </c>
      <c r="P151" s="49">
        <v>145</v>
      </c>
      <c r="Q151" s="44">
        <f>O151*P151</f>
        <v>18560</v>
      </c>
    </row>
    <row r="152" spans="1:17" x14ac:dyDescent="0.25">
      <c r="A152" s="271">
        <v>2</v>
      </c>
      <c r="B152" s="276" t="s">
        <v>476</v>
      </c>
      <c r="C152" s="256">
        <v>3911824</v>
      </c>
      <c r="D152" s="60">
        <v>4095156</v>
      </c>
      <c r="E152" s="43">
        <f t="shared" ref="E152:E153" si="51">C152/D152*100</f>
        <v>95.523198627842262</v>
      </c>
      <c r="F152" s="60">
        <v>746696</v>
      </c>
      <c r="G152" s="60">
        <v>645969</v>
      </c>
      <c r="H152" s="43">
        <f t="shared" ref="H152:H153" si="52">F152/G152*100</f>
        <v>115.59316313940762</v>
      </c>
      <c r="I152" s="60">
        <v>3888536</v>
      </c>
      <c r="J152" s="60">
        <v>3381776</v>
      </c>
      <c r="K152" s="43">
        <f t="shared" ref="K152:K153" si="53">I152/J152*100</f>
        <v>114.98502561967439</v>
      </c>
      <c r="L152" s="60">
        <v>1604177</v>
      </c>
      <c r="M152" s="60">
        <v>1596700</v>
      </c>
      <c r="N152" s="43">
        <f t="shared" ref="N152:N153" si="54">L152/M152*100</f>
        <v>100.46827832404335</v>
      </c>
      <c r="O152" s="100">
        <v>627</v>
      </c>
      <c r="P152" s="75">
        <v>110</v>
      </c>
      <c r="Q152" s="44">
        <f t="shared" ref="Q152:Q153" si="55">O152*P152</f>
        <v>68970</v>
      </c>
    </row>
    <row r="153" spans="1:17" x14ac:dyDescent="0.25">
      <c r="A153" s="271">
        <v>3</v>
      </c>
      <c r="B153" s="276" t="s">
        <v>477</v>
      </c>
      <c r="C153" s="256">
        <v>1153657</v>
      </c>
      <c r="D153" s="60">
        <v>899407</v>
      </c>
      <c r="E153" s="43">
        <f t="shared" si="51"/>
        <v>128.2686258834988</v>
      </c>
      <c r="F153" s="60">
        <v>286375</v>
      </c>
      <c r="G153" s="60">
        <v>167387</v>
      </c>
      <c r="H153" s="43">
        <f t="shared" si="52"/>
        <v>171.08556817435044</v>
      </c>
      <c r="I153" s="60">
        <v>1115915</v>
      </c>
      <c r="J153" s="60">
        <v>745051</v>
      </c>
      <c r="K153" s="43">
        <f t="shared" si="53"/>
        <v>149.77699513187687</v>
      </c>
      <c r="L153" s="60">
        <v>956250</v>
      </c>
      <c r="M153" s="60">
        <f>453781+22765</f>
        <v>476546</v>
      </c>
      <c r="N153" s="43">
        <f t="shared" si="54"/>
        <v>200.66268523920044</v>
      </c>
      <c r="O153" s="100">
        <v>292</v>
      </c>
      <c r="P153" s="75">
        <v>100</v>
      </c>
      <c r="Q153" s="44">
        <f t="shared" si="55"/>
        <v>29200</v>
      </c>
    </row>
    <row r="154" spans="1:17" x14ac:dyDescent="0.25">
      <c r="A154" s="286"/>
      <c r="B154" s="340"/>
      <c r="C154" s="341"/>
      <c r="D154" s="60"/>
      <c r="E154" s="43"/>
      <c r="F154" s="60"/>
      <c r="G154" s="60"/>
      <c r="H154" s="43"/>
      <c r="I154" s="60"/>
      <c r="J154" s="60"/>
      <c r="K154" s="43"/>
      <c r="L154" s="60"/>
      <c r="M154" s="342"/>
      <c r="N154" s="343"/>
      <c r="O154" s="344"/>
      <c r="P154" s="75"/>
      <c r="Q154" s="44"/>
    </row>
    <row r="155" spans="1:17" s="126" customFormat="1" ht="29.25" customHeight="1" x14ac:dyDescent="0.25">
      <c r="A155" s="1005" t="s">
        <v>339</v>
      </c>
      <c r="B155" s="1006"/>
      <c r="C155" s="346">
        <f>C156+C176+C181</f>
        <v>68052405</v>
      </c>
      <c r="D155" s="346">
        <f>D156+D176+D181</f>
        <v>60211721</v>
      </c>
      <c r="E155" s="335">
        <f>C155/D155*100</f>
        <v>113.02185665810815</v>
      </c>
      <c r="F155" s="346">
        <f>F156+F176+F181</f>
        <v>18106523</v>
      </c>
      <c r="G155" s="346">
        <f>G156+G176+G181</f>
        <v>11822950</v>
      </c>
      <c r="H155" s="335">
        <f>F155/G155*100</f>
        <v>153.14725174343121</v>
      </c>
      <c r="I155" s="346">
        <f>I156+I176+I181</f>
        <v>66046569</v>
      </c>
      <c r="J155" s="346">
        <f>J156+J176+J181</f>
        <v>53924320</v>
      </c>
      <c r="K155" s="335">
        <f>I155/J155*100</f>
        <v>122.48011472374615</v>
      </c>
      <c r="L155" s="346">
        <f>L156+L176+L181</f>
        <v>26654962</v>
      </c>
      <c r="M155" s="346">
        <f>M156+M176+M181</f>
        <v>23499124</v>
      </c>
      <c r="N155" s="335">
        <f>L155/M155*100</f>
        <v>113.42959848205405</v>
      </c>
      <c r="O155" s="346">
        <f>O156+O176+O181</f>
        <v>6309</v>
      </c>
      <c r="P155" s="347">
        <f>Q155/O155</f>
        <v>91.122681883024256</v>
      </c>
      <c r="Q155" s="346">
        <f>Q156+Q176+Q181</f>
        <v>574893</v>
      </c>
    </row>
    <row r="156" spans="1:17" x14ac:dyDescent="0.25">
      <c r="A156" s="1001" t="s">
        <v>169</v>
      </c>
      <c r="B156" s="1002" t="s">
        <v>119</v>
      </c>
      <c r="C156" s="254">
        <f>SUM(C157:C174)</f>
        <v>27753218</v>
      </c>
      <c r="D156" s="68">
        <f>SUM(D157:D174)</f>
        <v>26093459</v>
      </c>
      <c r="E156" s="57">
        <f>C156/D156*100</f>
        <v>106.36082399041078</v>
      </c>
      <c r="F156" s="68">
        <f>SUM(F157:F174)</f>
        <v>6418402</v>
      </c>
      <c r="G156" s="68">
        <f>SUM(G157:G174)</f>
        <v>4697071</v>
      </c>
      <c r="H156" s="57">
        <f>F156/G156*100</f>
        <v>136.6469018671423</v>
      </c>
      <c r="I156" s="68">
        <f>SUM(I157:I174)</f>
        <v>28671782</v>
      </c>
      <c r="J156" s="68">
        <f>SUM(J157:J174)</f>
        <v>25905728</v>
      </c>
      <c r="K156" s="57">
        <f>I156/J156*100</f>
        <v>110.67738378168721</v>
      </c>
      <c r="L156" s="68">
        <f>SUM(L157:L174)</f>
        <v>19361217</v>
      </c>
      <c r="M156" s="68">
        <f>SUM(M157:M174)</f>
        <v>20512910</v>
      </c>
      <c r="N156" s="57">
        <f>L156/M156*100</f>
        <v>94.385521118164121</v>
      </c>
      <c r="O156" s="67">
        <f>SUM(O157:O174)</f>
        <v>3268</v>
      </c>
      <c r="P156" s="68">
        <f>Q174/O156</f>
        <v>0</v>
      </c>
      <c r="Q156" s="70">
        <f>SUM(Q157:Q174)</f>
        <v>233586</v>
      </c>
    </row>
    <row r="157" spans="1:17" x14ac:dyDescent="0.25">
      <c r="A157" s="277">
        <v>1</v>
      </c>
      <c r="B157" s="274" t="s">
        <v>158</v>
      </c>
      <c r="C157" s="256">
        <v>7516992</v>
      </c>
      <c r="D157" s="60">
        <v>8667441</v>
      </c>
      <c r="E157" s="43">
        <f t="shared" ref="E157:E174" si="56">C157/D157*100</f>
        <v>86.726774373197344</v>
      </c>
      <c r="F157" s="60">
        <v>1675127</v>
      </c>
      <c r="G157" s="60">
        <v>1672936</v>
      </c>
      <c r="H157" s="43">
        <f t="shared" ref="H157:H174" si="57">F157/G157*100</f>
        <v>100.1309673532042</v>
      </c>
      <c r="I157" s="60">
        <v>7833542</v>
      </c>
      <c r="J157" s="60">
        <v>7803979</v>
      </c>
      <c r="K157" s="43">
        <f t="shared" ref="K157:K174" si="58">I157/J157*100</f>
        <v>100.37881957396348</v>
      </c>
      <c r="L157" s="60">
        <f>6324297+553716</f>
        <v>6878013</v>
      </c>
      <c r="M157" s="60">
        <f>6335565+411029</f>
        <v>6746594</v>
      </c>
      <c r="N157" s="43">
        <f t="shared" ref="N157:N174" si="59">L157/M157*100</f>
        <v>101.94793105973177</v>
      </c>
      <c r="O157" s="42">
        <v>342</v>
      </c>
      <c r="P157" s="42">
        <v>190</v>
      </c>
      <c r="Q157" s="190">
        <f t="shared" ref="Q157:Q174" si="60">O157*P157</f>
        <v>64980</v>
      </c>
    </row>
    <row r="158" spans="1:17" x14ac:dyDescent="0.25">
      <c r="A158" s="277">
        <v>2</v>
      </c>
      <c r="B158" s="274" t="s">
        <v>159</v>
      </c>
      <c r="C158" s="256">
        <v>1163333</v>
      </c>
      <c r="D158" s="60">
        <v>1360423</v>
      </c>
      <c r="E158" s="43">
        <f t="shared" si="56"/>
        <v>85.512594244584221</v>
      </c>
      <c r="F158" s="60">
        <v>57740</v>
      </c>
      <c r="G158" s="60">
        <v>138231</v>
      </c>
      <c r="H158" s="43">
        <f t="shared" si="57"/>
        <v>41.770659258776973</v>
      </c>
      <c r="I158" s="60">
        <v>1125046</v>
      </c>
      <c r="J158" s="60">
        <v>1341286</v>
      </c>
      <c r="K158" s="43">
        <f t="shared" si="58"/>
        <v>83.878158722300839</v>
      </c>
      <c r="L158" s="60">
        <f>879379+15096</f>
        <v>894475</v>
      </c>
      <c r="M158" s="60">
        <f>1007153+59653</f>
        <v>1066806</v>
      </c>
      <c r="N158" s="43">
        <f t="shared" si="59"/>
        <v>83.846078855949443</v>
      </c>
      <c r="O158" s="42">
        <v>133</v>
      </c>
      <c r="P158" s="42">
        <v>115</v>
      </c>
      <c r="Q158" s="190">
        <f t="shared" si="60"/>
        <v>15295</v>
      </c>
    </row>
    <row r="159" spans="1:17" x14ac:dyDescent="0.25">
      <c r="A159" s="277">
        <v>3</v>
      </c>
      <c r="B159" s="274" t="s">
        <v>160</v>
      </c>
      <c r="C159" s="256">
        <v>189690</v>
      </c>
      <c r="D159" s="60">
        <v>246467</v>
      </c>
      <c r="E159" s="43">
        <f t="shared" si="56"/>
        <v>76.963650306126169</v>
      </c>
      <c r="F159" s="60">
        <v>37051</v>
      </c>
      <c r="G159" s="60">
        <v>138728</v>
      </c>
      <c r="H159" s="43">
        <f t="shared" si="57"/>
        <v>26.707658151202352</v>
      </c>
      <c r="I159" s="60">
        <v>251363</v>
      </c>
      <c r="J159" s="60">
        <v>191721</v>
      </c>
      <c r="K159" s="43">
        <f t="shared" si="58"/>
        <v>131.10874656401751</v>
      </c>
      <c r="L159" s="60">
        <f>168755+24051</f>
        <v>192806</v>
      </c>
      <c r="M159" s="60">
        <f>61244+95959</f>
        <v>157203</v>
      </c>
      <c r="N159" s="43">
        <f t="shared" si="59"/>
        <v>122.64778661984823</v>
      </c>
      <c r="O159" s="42">
        <v>62</v>
      </c>
      <c r="P159" s="42">
        <v>146</v>
      </c>
      <c r="Q159" s="190">
        <f t="shared" si="60"/>
        <v>9052</v>
      </c>
    </row>
    <row r="160" spans="1:17" x14ac:dyDescent="0.25">
      <c r="A160" s="277">
        <v>4</v>
      </c>
      <c r="B160" s="274" t="s">
        <v>161</v>
      </c>
      <c r="C160" s="256">
        <v>588489</v>
      </c>
      <c r="D160" s="60">
        <v>414854</v>
      </c>
      <c r="E160" s="43">
        <f t="shared" si="56"/>
        <v>141.85448374608899</v>
      </c>
      <c r="F160" s="60">
        <v>81214</v>
      </c>
      <c r="G160" s="60">
        <v>108019</v>
      </c>
      <c r="H160" s="43">
        <f t="shared" si="57"/>
        <v>75.18492117127542</v>
      </c>
      <c r="I160" s="60">
        <v>778051</v>
      </c>
      <c r="J160" s="60">
        <v>637081</v>
      </c>
      <c r="K160" s="43">
        <f t="shared" si="58"/>
        <v>122.12748457417501</v>
      </c>
      <c r="L160" s="60">
        <f>211560+329620</f>
        <v>541180</v>
      </c>
      <c r="M160" s="60">
        <f>279242+116646</f>
        <v>395888</v>
      </c>
      <c r="N160" s="43">
        <f t="shared" si="59"/>
        <v>136.70027886675021</v>
      </c>
      <c r="O160" s="125">
        <v>212</v>
      </c>
      <c r="P160" s="42">
        <v>127</v>
      </c>
      <c r="Q160" s="190">
        <f t="shared" si="60"/>
        <v>26924</v>
      </c>
    </row>
    <row r="161" spans="1:19" ht="26.25" customHeight="1" x14ac:dyDescent="0.25">
      <c r="A161" s="7">
        <v>5</v>
      </c>
      <c r="B161" s="266" t="s">
        <v>162</v>
      </c>
      <c r="C161" s="247">
        <v>2325096</v>
      </c>
      <c r="D161" s="54">
        <v>3890515</v>
      </c>
      <c r="E161" s="43">
        <f t="shared" si="56"/>
        <v>59.763193304742437</v>
      </c>
      <c r="F161" s="54">
        <v>233173</v>
      </c>
      <c r="G161" s="54">
        <v>645567</v>
      </c>
      <c r="H161" s="43">
        <f t="shared" si="57"/>
        <v>36.11910150301982</v>
      </c>
      <c r="I161" s="54">
        <v>2326416</v>
      </c>
      <c r="J161" s="54">
        <v>4083015</v>
      </c>
      <c r="K161" s="43">
        <f t="shared" si="58"/>
        <v>56.977895011407007</v>
      </c>
      <c r="L161" s="54">
        <f>2149431+62380</f>
        <v>2211811</v>
      </c>
      <c r="M161" s="54">
        <f>3981028+101987</f>
        <v>4083015</v>
      </c>
      <c r="N161" s="43">
        <f t="shared" si="59"/>
        <v>54.171023128741865</v>
      </c>
      <c r="O161" s="125">
        <v>289</v>
      </c>
      <c r="P161" s="42"/>
      <c r="Q161" s="190">
        <f t="shared" si="60"/>
        <v>0</v>
      </c>
    </row>
    <row r="162" spans="1:19" s="126" customFormat="1" x14ac:dyDescent="0.2">
      <c r="A162" s="7">
        <v>6</v>
      </c>
      <c r="B162" s="266" t="s">
        <v>163</v>
      </c>
      <c r="C162" s="256">
        <v>2834844</v>
      </c>
      <c r="D162" s="60">
        <v>2572587</v>
      </c>
      <c r="E162" s="43">
        <f t="shared" si="56"/>
        <v>110.19429080532552</v>
      </c>
      <c r="F162" s="60">
        <v>509060</v>
      </c>
      <c r="G162" s="60">
        <v>449144</v>
      </c>
      <c r="H162" s="43">
        <f t="shared" si="57"/>
        <v>113.34004239174963</v>
      </c>
      <c r="I162" s="60">
        <v>2834844</v>
      </c>
      <c r="J162" s="60">
        <v>2572587</v>
      </c>
      <c r="K162" s="43">
        <f t="shared" si="58"/>
        <v>110.19429080532552</v>
      </c>
      <c r="L162" s="60">
        <f>853819+1250739</f>
        <v>2104558</v>
      </c>
      <c r="M162" s="60">
        <f>994786+771276</f>
        <v>1766062</v>
      </c>
      <c r="N162" s="43">
        <f t="shared" si="59"/>
        <v>119.16671102147036</v>
      </c>
      <c r="O162" s="125">
        <v>253</v>
      </c>
      <c r="P162" s="42">
        <v>100</v>
      </c>
      <c r="Q162" s="190">
        <f t="shared" si="60"/>
        <v>25300</v>
      </c>
    </row>
    <row r="163" spans="1:19" s="126" customFormat="1" x14ac:dyDescent="0.25">
      <c r="A163" s="7">
        <v>7</v>
      </c>
      <c r="B163" s="274" t="s">
        <v>233</v>
      </c>
      <c r="C163" s="256">
        <v>1549530</v>
      </c>
      <c r="D163" s="60">
        <v>0</v>
      </c>
      <c r="E163" s="43" t="e">
        <f t="shared" si="56"/>
        <v>#DIV/0!</v>
      </c>
      <c r="F163" s="60">
        <v>369486</v>
      </c>
      <c r="G163" s="60">
        <v>0</v>
      </c>
      <c r="H163" s="43" t="e">
        <f t="shared" si="57"/>
        <v>#DIV/0!</v>
      </c>
      <c r="I163" s="60">
        <v>2072198</v>
      </c>
      <c r="J163" s="60">
        <v>0</v>
      </c>
      <c r="K163" s="43" t="e">
        <f t="shared" si="58"/>
        <v>#DIV/0!</v>
      </c>
      <c r="L163" s="60">
        <v>1178000</v>
      </c>
      <c r="M163" s="60">
        <v>0</v>
      </c>
      <c r="N163" s="43" t="e">
        <f t="shared" si="59"/>
        <v>#DIV/0!</v>
      </c>
      <c r="O163" s="125"/>
      <c r="P163" s="42">
        <v>93</v>
      </c>
      <c r="Q163" s="190">
        <f t="shared" si="60"/>
        <v>0</v>
      </c>
      <c r="S163" s="127"/>
    </row>
    <row r="164" spans="1:19" s="126" customFormat="1" x14ac:dyDescent="0.25">
      <c r="A164" s="7">
        <v>8</v>
      </c>
      <c r="B164" s="274" t="s">
        <v>298</v>
      </c>
      <c r="C164" s="256">
        <v>29143</v>
      </c>
      <c r="D164" s="60">
        <v>66104</v>
      </c>
      <c r="E164" s="43">
        <f t="shared" si="56"/>
        <v>44.086590826576305</v>
      </c>
      <c r="F164" s="60">
        <v>0</v>
      </c>
      <c r="G164" s="60">
        <v>0</v>
      </c>
      <c r="H164" s="43" t="e">
        <f t="shared" si="57"/>
        <v>#DIV/0!</v>
      </c>
      <c r="I164" s="60">
        <v>29143</v>
      </c>
      <c r="J164" s="60">
        <v>66104</v>
      </c>
      <c r="K164" s="43">
        <f t="shared" si="58"/>
        <v>44.086590826576305</v>
      </c>
      <c r="L164" s="60">
        <v>29143</v>
      </c>
      <c r="M164" s="60">
        <f>34632+24397</f>
        <v>59029</v>
      </c>
      <c r="N164" s="43">
        <f t="shared" si="59"/>
        <v>49.37064832539938</v>
      </c>
      <c r="O164" s="125">
        <v>7</v>
      </c>
      <c r="P164" s="42">
        <v>80</v>
      </c>
      <c r="Q164" s="190">
        <f t="shared" si="60"/>
        <v>560</v>
      </c>
      <c r="S164" s="127"/>
    </row>
    <row r="165" spans="1:19" s="130" customFormat="1" x14ac:dyDescent="0.25">
      <c r="A165" s="256">
        <v>9</v>
      </c>
      <c r="B165" s="279" t="s">
        <v>166</v>
      </c>
      <c r="C165" s="256">
        <v>1175757</v>
      </c>
      <c r="D165" s="60">
        <v>450643</v>
      </c>
      <c r="E165" s="43">
        <f t="shared" si="56"/>
        <v>260.90652689601302</v>
      </c>
      <c r="F165" s="60">
        <v>427642</v>
      </c>
      <c r="G165" s="60">
        <v>177719</v>
      </c>
      <c r="H165" s="43">
        <f t="shared" si="57"/>
        <v>240.62818269290284</v>
      </c>
      <c r="I165" s="60">
        <v>1135580</v>
      </c>
      <c r="J165" s="60">
        <v>430423</v>
      </c>
      <c r="K165" s="43">
        <f t="shared" si="58"/>
        <v>263.82883814294308</v>
      </c>
      <c r="L165" s="60">
        <v>0</v>
      </c>
      <c r="M165" s="60">
        <v>726</v>
      </c>
      <c r="N165" s="43">
        <f t="shared" si="59"/>
        <v>0</v>
      </c>
      <c r="O165" s="54">
        <v>288</v>
      </c>
      <c r="P165" s="54">
        <v>75</v>
      </c>
      <c r="Q165" s="190">
        <f t="shared" si="60"/>
        <v>21600</v>
      </c>
      <c r="S165" s="39"/>
    </row>
    <row r="166" spans="1:19" s="130" customFormat="1" x14ac:dyDescent="0.25">
      <c r="A166" s="247">
        <v>10</v>
      </c>
      <c r="B166" s="280" t="s">
        <v>234</v>
      </c>
      <c r="C166" s="247">
        <v>3383258</v>
      </c>
      <c r="D166" s="54">
        <v>5101515</v>
      </c>
      <c r="E166" s="43">
        <f t="shared" si="56"/>
        <v>66.318691604356744</v>
      </c>
      <c r="F166" s="54">
        <v>1189194</v>
      </c>
      <c r="G166" s="54">
        <v>432718</v>
      </c>
      <c r="H166" s="43">
        <f t="shared" si="57"/>
        <v>274.81962848783735</v>
      </c>
      <c r="I166" s="54">
        <v>3383258</v>
      </c>
      <c r="J166" s="54">
        <v>5101515</v>
      </c>
      <c r="K166" s="43">
        <f t="shared" si="58"/>
        <v>66.318691604356744</v>
      </c>
      <c r="L166" s="54">
        <f>3367535+15723</f>
        <v>3383258</v>
      </c>
      <c r="M166" s="54">
        <f>5089187+1271</f>
        <v>5090458</v>
      </c>
      <c r="N166" s="43">
        <f t="shared" si="59"/>
        <v>66.462742645160816</v>
      </c>
      <c r="O166" s="54">
        <v>82</v>
      </c>
      <c r="P166" s="54">
        <v>235</v>
      </c>
      <c r="Q166" s="190">
        <f t="shared" si="60"/>
        <v>19270</v>
      </c>
      <c r="S166" s="39"/>
    </row>
    <row r="167" spans="1:19" s="130" customFormat="1" ht="28.5" customHeight="1" x14ac:dyDescent="0.25">
      <c r="A167" s="247">
        <v>11</v>
      </c>
      <c r="B167" s="280" t="s">
        <v>300</v>
      </c>
      <c r="C167" s="247">
        <v>324409</v>
      </c>
      <c r="D167" s="54">
        <v>471161</v>
      </c>
      <c r="E167" s="43">
        <f t="shared" si="56"/>
        <v>68.853109658906405</v>
      </c>
      <c r="F167" s="54">
        <v>31712</v>
      </c>
      <c r="G167" s="54">
        <v>127653</v>
      </c>
      <c r="H167" s="43">
        <f t="shared" si="57"/>
        <v>24.84234604748811</v>
      </c>
      <c r="I167" s="54">
        <v>333437</v>
      </c>
      <c r="J167" s="54">
        <v>492608</v>
      </c>
      <c r="K167" s="43">
        <f t="shared" si="58"/>
        <v>67.68810088346109</v>
      </c>
      <c r="L167" s="54">
        <f>177849+5583</f>
        <v>183432</v>
      </c>
      <c r="M167" s="54">
        <f>308141+16401</f>
        <v>324542</v>
      </c>
      <c r="N167" s="43">
        <f t="shared" si="59"/>
        <v>56.520265481817454</v>
      </c>
      <c r="O167" s="54">
        <v>209</v>
      </c>
      <c r="P167" s="54"/>
      <c r="Q167" s="190">
        <f t="shared" si="60"/>
        <v>0</v>
      </c>
      <c r="S167" s="39"/>
    </row>
    <row r="168" spans="1:19" s="130" customFormat="1" x14ac:dyDescent="0.25">
      <c r="A168" s="256">
        <v>12</v>
      </c>
      <c r="B168" s="279" t="s">
        <v>219</v>
      </c>
      <c r="C168" s="256">
        <v>30981</v>
      </c>
      <c r="D168" s="60">
        <v>40833</v>
      </c>
      <c r="E168" s="43">
        <f t="shared" si="56"/>
        <v>75.872456101682459</v>
      </c>
      <c r="F168" s="60">
        <v>3166</v>
      </c>
      <c r="G168" s="60">
        <v>16620</v>
      </c>
      <c r="H168" s="43">
        <f t="shared" si="57"/>
        <v>19.049338146811071</v>
      </c>
      <c r="I168" s="60">
        <v>30981</v>
      </c>
      <c r="J168" s="60">
        <v>40833</v>
      </c>
      <c r="K168" s="43">
        <f t="shared" si="58"/>
        <v>75.872456101682459</v>
      </c>
      <c r="L168" s="60">
        <v>13668</v>
      </c>
      <c r="M168" s="60">
        <v>25597</v>
      </c>
      <c r="N168" s="43">
        <f t="shared" si="59"/>
        <v>53.396882447161772</v>
      </c>
      <c r="O168" s="54">
        <v>9</v>
      </c>
      <c r="P168" s="54"/>
      <c r="Q168" s="190">
        <f t="shared" si="60"/>
        <v>0</v>
      </c>
      <c r="S168" s="39"/>
    </row>
    <row r="169" spans="1:19" s="130" customFormat="1" x14ac:dyDescent="0.25">
      <c r="A169" s="256">
        <v>13</v>
      </c>
      <c r="B169" s="279" t="s">
        <v>301</v>
      </c>
      <c r="C169" s="256">
        <v>1544390</v>
      </c>
      <c r="D169" s="60">
        <v>1116360</v>
      </c>
      <c r="E169" s="43">
        <f t="shared" si="56"/>
        <v>138.3415744025225</v>
      </c>
      <c r="F169" s="60">
        <v>529448</v>
      </c>
      <c r="G169" s="60">
        <v>335383</v>
      </c>
      <c r="H169" s="43">
        <f t="shared" si="57"/>
        <v>157.86369613248138</v>
      </c>
      <c r="I169" s="60">
        <v>1581632</v>
      </c>
      <c r="J169" s="60">
        <v>1165132</v>
      </c>
      <c r="K169" s="43">
        <f t="shared" si="58"/>
        <v>135.74702265494383</v>
      </c>
      <c r="L169" s="60">
        <v>176512</v>
      </c>
      <c r="M169" s="60">
        <v>246443</v>
      </c>
      <c r="N169" s="43">
        <f t="shared" si="59"/>
        <v>71.623864341855921</v>
      </c>
      <c r="O169" s="54">
        <v>610</v>
      </c>
      <c r="P169" s="54"/>
      <c r="Q169" s="190">
        <f t="shared" si="60"/>
        <v>0</v>
      </c>
      <c r="R169" s="130">
        <f>288494-233162</f>
        <v>55332</v>
      </c>
      <c r="S169" s="39"/>
    </row>
    <row r="170" spans="1:19" s="130" customFormat="1" x14ac:dyDescent="0.25">
      <c r="A170" s="256">
        <v>14</v>
      </c>
      <c r="B170" s="279" t="s">
        <v>236</v>
      </c>
      <c r="C170" s="256">
        <v>63917</v>
      </c>
      <c r="D170" s="60">
        <v>0</v>
      </c>
      <c r="E170" s="43" t="e">
        <f t="shared" si="56"/>
        <v>#DIV/0!</v>
      </c>
      <c r="F170" s="60">
        <v>3424</v>
      </c>
      <c r="G170" s="60">
        <v>0</v>
      </c>
      <c r="H170" s="43" t="e">
        <f t="shared" si="57"/>
        <v>#DIV/0!</v>
      </c>
      <c r="I170" s="60">
        <v>63917</v>
      </c>
      <c r="J170" s="60">
        <v>0</v>
      </c>
      <c r="K170" s="43" t="e">
        <f t="shared" si="58"/>
        <v>#DIV/0!</v>
      </c>
      <c r="L170" s="60">
        <v>56363</v>
      </c>
      <c r="M170" s="60">
        <v>0</v>
      </c>
      <c r="N170" s="43" t="e">
        <f t="shared" si="59"/>
        <v>#DIV/0!</v>
      </c>
      <c r="O170" s="54"/>
      <c r="P170" s="54"/>
      <c r="Q170" s="190">
        <f t="shared" si="60"/>
        <v>0</v>
      </c>
      <c r="S170" s="39"/>
    </row>
    <row r="171" spans="1:19" s="130" customFormat="1" x14ac:dyDescent="0.25">
      <c r="A171" s="256">
        <v>15</v>
      </c>
      <c r="B171" s="279" t="s">
        <v>237</v>
      </c>
      <c r="C171" s="256">
        <v>668063</v>
      </c>
      <c r="D171" s="60">
        <v>139206</v>
      </c>
      <c r="E171" s="43">
        <f t="shared" si="56"/>
        <v>479.90963033202593</v>
      </c>
      <c r="F171" s="60">
        <v>70006</v>
      </c>
      <c r="G171" s="60">
        <v>41159</v>
      </c>
      <c r="H171" s="43">
        <f t="shared" si="57"/>
        <v>170.08673680118565</v>
      </c>
      <c r="I171" s="60">
        <v>668063</v>
      </c>
      <c r="J171" s="60">
        <v>139206</v>
      </c>
      <c r="K171" s="43">
        <f t="shared" si="58"/>
        <v>479.90963033202593</v>
      </c>
      <c r="L171" s="60">
        <f>63558+506583</f>
        <v>570141</v>
      </c>
      <c r="M171" s="60">
        <f>40015+34939</f>
        <v>74954</v>
      </c>
      <c r="N171" s="43">
        <f t="shared" si="59"/>
        <v>760.65453478133259</v>
      </c>
      <c r="O171" s="54">
        <v>33</v>
      </c>
      <c r="P171" s="54">
        <v>110</v>
      </c>
      <c r="Q171" s="190">
        <f t="shared" si="60"/>
        <v>3630</v>
      </c>
      <c r="S171" s="39"/>
    </row>
    <row r="172" spans="1:19" s="130" customFormat="1" x14ac:dyDescent="0.25">
      <c r="A172" s="256">
        <v>16</v>
      </c>
      <c r="B172" s="279" t="s">
        <v>229</v>
      </c>
      <c r="C172" s="256">
        <v>2662758</v>
      </c>
      <c r="D172" s="60">
        <v>788071</v>
      </c>
      <c r="E172" s="43">
        <f t="shared" si="56"/>
        <v>337.88300800308605</v>
      </c>
      <c r="F172" s="60">
        <v>702541</v>
      </c>
      <c r="G172" s="60">
        <v>192224</v>
      </c>
      <c r="H172" s="43">
        <f t="shared" si="57"/>
        <v>365.48037706009654</v>
      </c>
      <c r="I172" s="60">
        <v>2512783</v>
      </c>
      <c r="J172" s="60">
        <v>902085</v>
      </c>
      <c r="K172" s="43">
        <f t="shared" si="58"/>
        <v>278.55279713109076</v>
      </c>
      <c r="L172" s="60">
        <f>840487+20003</f>
        <v>860490</v>
      </c>
      <c r="M172" s="60">
        <f>366030+22893</f>
        <v>388923</v>
      </c>
      <c r="N172" s="43">
        <f t="shared" si="59"/>
        <v>221.24945040535016</v>
      </c>
      <c r="O172" s="54">
        <v>373</v>
      </c>
      <c r="P172" s="54">
        <v>115</v>
      </c>
      <c r="Q172" s="190">
        <f t="shared" si="60"/>
        <v>42895</v>
      </c>
      <c r="S172" s="39"/>
    </row>
    <row r="173" spans="1:19" ht="27" customHeight="1" x14ac:dyDescent="0.25">
      <c r="A173" s="53">
        <v>17</v>
      </c>
      <c r="B173" s="266" t="s">
        <v>230</v>
      </c>
      <c r="C173" s="247">
        <v>625460</v>
      </c>
      <c r="D173" s="54">
        <v>498508</v>
      </c>
      <c r="E173" s="43">
        <f t="shared" si="56"/>
        <v>125.46639171287121</v>
      </c>
      <c r="F173" s="54">
        <v>194156</v>
      </c>
      <c r="G173" s="54">
        <v>110395</v>
      </c>
      <c r="H173" s="43">
        <f t="shared" si="57"/>
        <v>175.87390733275961</v>
      </c>
      <c r="I173" s="54">
        <v>630108</v>
      </c>
      <c r="J173" s="54">
        <v>527802</v>
      </c>
      <c r="K173" s="43">
        <f t="shared" si="58"/>
        <v>119.38340514056407</v>
      </c>
      <c r="L173" s="54">
        <v>0</v>
      </c>
      <c r="M173" s="54">
        <v>4610</v>
      </c>
      <c r="N173" s="43">
        <f t="shared" si="59"/>
        <v>0</v>
      </c>
      <c r="O173" s="42">
        <v>48</v>
      </c>
      <c r="P173" s="42">
        <v>85</v>
      </c>
      <c r="Q173" s="190">
        <f t="shared" si="60"/>
        <v>4080</v>
      </c>
      <c r="S173" s="73"/>
    </row>
    <row r="174" spans="1:19" x14ac:dyDescent="0.25">
      <c r="A174" s="53">
        <v>18</v>
      </c>
      <c r="B174" s="266" t="s">
        <v>239</v>
      </c>
      <c r="C174" s="247">
        <v>1077108</v>
      </c>
      <c r="D174" s="54">
        <v>268771</v>
      </c>
      <c r="E174" s="43">
        <f t="shared" si="56"/>
        <v>400.75305743551201</v>
      </c>
      <c r="F174" s="54">
        <v>304262</v>
      </c>
      <c r="G174" s="54">
        <v>110575</v>
      </c>
      <c r="H174" s="43">
        <f t="shared" si="57"/>
        <v>275.16346371241241</v>
      </c>
      <c r="I174" s="54">
        <v>1081420</v>
      </c>
      <c r="J174" s="54">
        <v>410351</v>
      </c>
      <c r="K174" s="43">
        <f t="shared" si="58"/>
        <v>263.53536362772354</v>
      </c>
      <c r="L174" s="54">
        <f>79797+7570</f>
        <v>87367</v>
      </c>
      <c r="M174" s="54">
        <v>82060</v>
      </c>
      <c r="N174" s="43">
        <f t="shared" si="59"/>
        <v>106.46721910796977</v>
      </c>
      <c r="O174" s="42">
        <v>318</v>
      </c>
      <c r="P174" s="42"/>
      <c r="Q174" s="190">
        <f t="shared" si="60"/>
        <v>0</v>
      </c>
      <c r="S174" s="131"/>
    </row>
    <row r="176" spans="1:19" s="126" customFormat="1" ht="20.25" customHeight="1" x14ac:dyDescent="0.25">
      <c r="A176" s="1003" t="s">
        <v>364</v>
      </c>
      <c r="B176" s="1004" t="s">
        <v>155</v>
      </c>
      <c r="C176" s="254">
        <f>SUM(C177:C179)</f>
        <v>12738106</v>
      </c>
      <c r="D176" s="254">
        <f>SUM(D177:D179)</f>
        <v>4263673</v>
      </c>
      <c r="E176" s="57">
        <f t="shared" ref="E176" si="61">C176/D176*100</f>
        <v>298.75898081302199</v>
      </c>
      <c r="F176" s="254">
        <f>SUM(F177:F179)</f>
        <v>3295606</v>
      </c>
      <c r="G176" s="254">
        <f>SUM(G177:G179)</f>
        <v>2498305</v>
      </c>
      <c r="H176" s="57">
        <f t="shared" ref="H176" si="62">F176/G176*100</f>
        <v>131.91367747332691</v>
      </c>
      <c r="I176" s="254">
        <f>SUM(I177:I179)</f>
        <v>10891909</v>
      </c>
      <c r="J176" s="254">
        <f>SUM(J177:J179)</f>
        <v>4542025</v>
      </c>
      <c r="K176" s="57">
        <f t="shared" ref="K176" si="63">I176/J176*100</f>
        <v>239.80292931016453</v>
      </c>
      <c r="L176" s="254">
        <f>SUM(L177:L179)</f>
        <v>5295480</v>
      </c>
      <c r="M176" s="254">
        <f>SUM(M177:M179)</f>
        <v>1590738</v>
      </c>
      <c r="N176" s="57">
        <f t="shared" ref="N176" si="64">L176/M176*100</f>
        <v>332.89454328745529</v>
      </c>
      <c r="O176" s="254">
        <f>SUM(O177:O179)</f>
        <v>347</v>
      </c>
      <c r="P176" s="68"/>
      <c r="Q176" s="349"/>
    </row>
    <row r="177" spans="1:17" ht="14.25" customHeight="1" x14ac:dyDescent="0.25">
      <c r="A177" s="271">
        <v>1</v>
      </c>
      <c r="B177" s="283" t="s">
        <v>225</v>
      </c>
      <c r="C177" s="282">
        <v>12638240</v>
      </c>
      <c r="D177" s="62">
        <v>4261995</v>
      </c>
      <c r="E177" s="43">
        <f t="shared" ref="E177:E179" si="65">C177/D177*100</f>
        <v>296.53343094020522</v>
      </c>
      <c r="F177" s="62">
        <v>3295606</v>
      </c>
      <c r="G177" s="62">
        <v>2498305</v>
      </c>
      <c r="H177" s="43">
        <f t="shared" ref="H177:H179" si="66">F177/G177*100</f>
        <v>131.91367747332691</v>
      </c>
      <c r="I177" s="62">
        <v>9733562</v>
      </c>
      <c r="J177" s="62">
        <v>3827087</v>
      </c>
      <c r="K177" s="43">
        <f t="shared" ref="K177:K179" si="67">I177/J177*100</f>
        <v>254.33343950633994</v>
      </c>
      <c r="L177" s="62">
        <f>684774+4511571</f>
        <v>5196345</v>
      </c>
      <c r="M177" s="62">
        <f>1046193+544545</f>
        <v>1590738</v>
      </c>
      <c r="N177" s="43">
        <f t="shared" ref="N177:N179" si="68">L177/M177*100</f>
        <v>326.66253022182156</v>
      </c>
      <c r="O177" s="34">
        <v>130</v>
      </c>
      <c r="P177" s="100"/>
      <c r="Q177" s="72">
        <f>O177*P177</f>
        <v>0</v>
      </c>
    </row>
    <row r="178" spans="1:17" ht="14.25" customHeight="1" x14ac:dyDescent="0.25">
      <c r="A178" s="271">
        <v>2</v>
      </c>
      <c r="B178" s="283" t="s">
        <v>299</v>
      </c>
      <c r="C178" s="282">
        <v>731</v>
      </c>
      <c r="D178" s="62">
        <v>0</v>
      </c>
      <c r="E178" s="43" t="e">
        <f t="shared" si="65"/>
        <v>#DIV/0!</v>
      </c>
      <c r="F178" s="62">
        <v>0</v>
      </c>
      <c r="G178" s="62">
        <v>0</v>
      </c>
      <c r="H178" s="43" t="e">
        <f t="shared" si="66"/>
        <v>#DIV/0!</v>
      </c>
      <c r="I178" s="62">
        <v>1059212</v>
      </c>
      <c r="J178" s="62">
        <v>713260</v>
      </c>
      <c r="K178" s="43">
        <f t="shared" si="67"/>
        <v>148.50293020777835</v>
      </c>
      <c r="L178" s="62">
        <v>0</v>
      </c>
      <c r="M178" s="62">
        <v>0</v>
      </c>
      <c r="N178" s="43" t="e">
        <f t="shared" si="68"/>
        <v>#DIV/0!</v>
      </c>
      <c r="O178" s="34">
        <v>133</v>
      </c>
      <c r="P178" s="100"/>
      <c r="Q178" s="72">
        <f>O178*P178</f>
        <v>0</v>
      </c>
    </row>
    <row r="179" spans="1:17" ht="14.25" customHeight="1" x14ac:dyDescent="0.25">
      <c r="A179" s="271">
        <v>3</v>
      </c>
      <c r="B179" s="283" t="s">
        <v>244</v>
      </c>
      <c r="C179" s="282">
        <v>99135</v>
      </c>
      <c r="D179" s="62">
        <v>1678</v>
      </c>
      <c r="E179" s="43">
        <f t="shared" si="65"/>
        <v>5907.9261025029791</v>
      </c>
      <c r="F179" s="62">
        <v>0</v>
      </c>
      <c r="G179" s="62">
        <v>0</v>
      </c>
      <c r="H179" s="43" t="e">
        <f t="shared" si="66"/>
        <v>#DIV/0!</v>
      </c>
      <c r="I179" s="62">
        <v>99135</v>
      </c>
      <c r="J179" s="62">
        <v>1678</v>
      </c>
      <c r="K179" s="43">
        <f t="shared" si="67"/>
        <v>5907.9261025029791</v>
      </c>
      <c r="L179" s="62">
        <f>71187+27948</f>
        <v>99135</v>
      </c>
      <c r="M179" s="62">
        <v>0</v>
      </c>
      <c r="N179" s="43" t="e">
        <f t="shared" si="68"/>
        <v>#DIV/0!</v>
      </c>
      <c r="O179" s="34">
        <v>84</v>
      </c>
      <c r="P179" s="100"/>
      <c r="Q179" s="72">
        <f>O179*P179</f>
        <v>0</v>
      </c>
    </row>
    <row r="180" spans="1:17" ht="15.75" customHeight="1" x14ac:dyDescent="0.25">
      <c r="A180" s="251"/>
      <c r="B180" s="251"/>
      <c r="C180" s="25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207"/>
      <c r="P180" s="71"/>
      <c r="Q180" s="44"/>
    </row>
    <row r="181" spans="1:17" s="126" customFormat="1" ht="19.5" customHeight="1" x14ac:dyDescent="0.25">
      <c r="A181" s="1003" t="s">
        <v>363</v>
      </c>
      <c r="B181" s="1004" t="s">
        <v>119</v>
      </c>
      <c r="C181" s="254">
        <f>SUM(C182:C196)</f>
        <v>27561081</v>
      </c>
      <c r="D181" s="68">
        <f>SUM(D182:D196)</f>
        <v>29854589</v>
      </c>
      <c r="E181" s="329">
        <f>C181/D181*100</f>
        <v>92.317737149220179</v>
      </c>
      <c r="F181" s="68">
        <f>SUM(F182:F196)</f>
        <v>8392515</v>
      </c>
      <c r="G181" s="68">
        <f>SUM(G182:G196)</f>
        <v>4627574</v>
      </c>
      <c r="H181" s="329">
        <f>F181/G181*100</f>
        <v>181.35885023124428</v>
      </c>
      <c r="I181" s="68">
        <f>SUM(I182:I196)</f>
        <v>26482878</v>
      </c>
      <c r="J181" s="68">
        <f>SUM(J182:J196)</f>
        <v>23476567</v>
      </c>
      <c r="K181" s="329">
        <f>I181/J181*100</f>
        <v>112.80558183826453</v>
      </c>
      <c r="L181" s="68">
        <f>SUM(L182:L196)</f>
        <v>1998265</v>
      </c>
      <c r="M181" s="68">
        <f>SUM(M182:M196)</f>
        <v>1395476</v>
      </c>
      <c r="N181" s="329">
        <f>L181/M181*100</f>
        <v>143.19594174317581</v>
      </c>
      <c r="O181" s="67">
        <f>SUM(O182:O196)</f>
        <v>2694</v>
      </c>
      <c r="P181" s="68">
        <f>Q181/O181</f>
        <v>126.69153674832963</v>
      </c>
      <c r="Q181" s="352">
        <f>SUM(Q182:Q196)</f>
        <v>341307</v>
      </c>
    </row>
    <row r="182" spans="1:17" x14ac:dyDescent="0.25">
      <c r="A182" s="284">
        <v>1</v>
      </c>
      <c r="B182" s="266" t="s">
        <v>478</v>
      </c>
      <c r="C182" s="256">
        <v>10865</v>
      </c>
      <c r="D182" s="60">
        <v>14216</v>
      </c>
      <c r="E182" s="43">
        <f t="shared" ref="E182:E196" si="69">C182/D182*100</f>
        <v>76.42796848621272</v>
      </c>
      <c r="F182" s="60">
        <v>6051</v>
      </c>
      <c r="G182" s="60">
        <v>0</v>
      </c>
      <c r="H182" s="43" t="e">
        <f t="shared" ref="H182:H196" si="70">F182/G182*100</f>
        <v>#DIV/0!</v>
      </c>
      <c r="I182" s="60">
        <v>33057</v>
      </c>
      <c r="J182" s="60">
        <v>21200</v>
      </c>
      <c r="K182" s="43">
        <f t="shared" ref="K182:K196" si="71">I182/J182*100</f>
        <v>155.92924528301887</v>
      </c>
      <c r="L182" s="60">
        <v>32064</v>
      </c>
      <c r="M182" s="60">
        <v>18417</v>
      </c>
      <c r="N182" s="43">
        <f t="shared" ref="N182:N196" si="72">L182/M182*100</f>
        <v>174.10001628929791</v>
      </c>
      <c r="O182" s="45">
        <v>45</v>
      </c>
      <c r="P182" s="45">
        <v>102</v>
      </c>
      <c r="Q182" s="44">
        <f t="shared" ref="Q182:Q196" si="73">O182*P182</f>
        <v>4590</v>
      </c>
    </row>
    <row r="183" spans="1:17" x14ac:dyDescent="0.25">
      <c r="A183" s="284">
        <v>2</v>
      </c>
      <c r="B183" s="266" t="s">
        <v>479</v>
      </c>
      <c r="C183" s="256">
        <v>549968</v>
      </c>
      <c r="D183" s="60">
        <v>526014</v>
      </c>
      <c r="E183" s="43">
        <f t="shared" si="69"/>
        <v>104.55387118974019</v>
      </c>
      <c r="F183" s="60">
        <v>70713</v>
      </c>
      <c r="G183" s="60">
        <v>108590</v>
      </c>
      <c r="H183" s="43">
        <f t="shared" si="70"/>
        <v>65.119255916751086</v>
      </c>
      <c r="I183" s="60">
        <v>593486</v>
      </c>
      <c r="J183" s="60">
        <v>536922</v>
      </c>
      <c r="K183" s="43">
        <f t="shared" si="71"/>
        <v>110.53486353697556</v>
      </c>
      <c r="L183" s="60">
        <f>278175+69723</f>
        <v>347898</v>
      </c>
      <c r="M183" s="60">
        <f>98681+106416</f>
        <v>205097</v>
      </c>
      <c r="N183" s="43">
        <f t="shared" si="72"/>
        <v>169.62607936732374</v>
      </c>
      <c r="O183" s="45">
        <v>113</v>
      </c>
      <c r="P183" s="45">
        <v>71</v>
      </c>
      <c r="Q183" s="44">
        <f t="shared" si="73"/>
        <v>8023</v>
      </c>
    </row>
    <row r="184" spans="1:17" x14ac:dyDescent="0.25">
      <c r="A184" s="284">
        <v>3</v>
      </c>
      <c r="B184" s="266" t="s">
        <v>480</v>
      </c>
      <c r="C184" s="256">
        <v>109379</v>
      </c>
      <c r="D184" s="60">
        <v>51853</v>
      </c>
      <c r="E184" s="43">
        <f t="shared" si="69"/>
        <v>210.9405434593948</v>
      </c>
      <c r="F184" s="60">
        <v>23700</v>
      </c>
      <c r="G184" s="60">
        <v>7911</v>
      </c>
      <c r="H184" s="43">
        <f t="shared" si="70"/>
        <v>299.58285930982174</v>
      </c>
      <c r="I184" s="60">
        <v>343046</v>
      </c>
      <c r="J184" s="60">
        <v>139647</v>
      </c>
      <c r="K184" s="43">
        <f t="shared" si="71"/>
        <v>245.65225174905297</v>
      </c>
      <c r="L184" s="60">
        <f>273627+15679</f>
        <v>289306</v>
      </c>
      <c r="M184" s="60">
        <f>90948+2041</f>
        <v>92989</v>
      </c>
      <c r="N184" s="43">
        <f t="shared" si="72"/>
        <v>311.11851939476713</v>
      </c>
      <c r="O184" s="45">
        <v>85</v>
      </c>
      <c r="P184" s="45">
        <v>85</v>
      </c>
      <c r="Q184" s="44">
        <f t="shared" si="73"/>
        <v>7225</v>
      </c>
    </row>
    <row r="185" spans="1:17" x14ac:dyDescent="0.25">
      <c r="A185" s="284">
        <v>4</v>
      </c>
      <c r="B185" s="266" t="s">
        <v>481</v>
      </c>
      <c r="C185" s="256">
        <v>1052524</v>
      </c>
      <c r="D185" s="60">
        <v>1330398</v>
      </c>
      <c r="E185" s="43">
        <f t="shared" si="69"/>
        <v>79.113468300463481</v>
      </c>
      <c r="F185" s="60">
        <v>182165</v>
      </c>
      <c r="G185" s="60">
        <v>178577</v>
      </c>
      <c r="H185" s="43">
        <f t="shared" si="70"/>
        <v>102.00921731241985</v>
      </c>
      <c r="I185" s="60">
        <v>1109735</v>
      </c>
      <c r="J185" s="60">
        <v>1361630</v>
      </c>
      <c r="K185" s="43">
        <f t="shared" si="71"/>
        <v>81.500481041105147</v>
      </c>
      <c r="L185" s="60">
        <f>450100+48500</f>
        <v>498600</v>
      </c>
      <c r="M185" s="60">
        <f>125418+78050</f>
        <v>203468</v>
      </c>
      <c r="N185" s="43">
        <f t="shared" si="72"/>
        <v>245.05081880197378</v>
      </c>
      <c r="O185" s="45">
        <v>280</v>
      </c>
      <c r="P185" s="45">
        <v>180</v>
      </c>
      <c r="Q185" s="44">
        <f t="shared" si="73"/>
        <v>50400</v>
      </c>
    </row>
    <row r="186" spans="1:17" x14ac:dyDescent="0.25">
      <c r="A186" s="284">
        <v>5</v>
      </c>
      <c r="B186" s="266" t="s">
        <v>482</v>
      </c>
      <c r="C186" s="256">
        <v>19088344</v>
      </c>
      <c r="D186" s="60">
        <v>23388819</v>
      </c>
      <c r="E186" s="43">
        <f t="shared" si="69"/>
        <v>81.613116079097452</v>
      </c>
      <c r="F186" s="60">
        <v>6305898</v>
      </c>
      <c r="G186" s="60">
        <v>3040737</v>
      </c>
      <c r="H186" s="43">
        <f t="shared" si="70"/>
        <v>207.38057911618137</v>
      </c>
      <c r="I186" s="60">
        <v>18746607</v>
      </c>
      <c r="J186" s="60">
        <v>16475732</v>
      </c>
      <c r="K186" s="43">
        <f t="shared" si="71"/>
        <v>113.7831508791233</v>
      </c>
      <c r="L186" s="60">
        <v>170393</v>
      </c>
      <c r="M186" s="60">
        <v>171458</v>
      </c>
      <c r="N186" s="43">
        <f t="shared" si="72"/>
        <v>99.378856629611917</v>
      </c>
      <c r="O186" s="45">
        <v>473</v>
      </c>
      <c r="P186" s="45">
        <v>150</v>
      </c>
      <c r="Q186" s="44">
        <f t="shared" si="73"/>
        <v>70950</v>
      </c>
    </row>
    <row r="187" spans="1:17" x14ac:dyDescent="0.25">
      <c r="A187" s="284">
        <v>6</v>
      </c>
      <c r="B187" s="266" t="s">
        <v>483</v>
      </c>
      <c r="C187" s="256">
        <v>1739613</v>
      </c>
      <c r="D187" s="60">
        <v>178786</v>
      </c>
      <c r="E187" s="43">
        <f t="shared" si="69"/>
        <v>973.01410624993014</v>
      </c>
      <c r="F187" s="60">
        <v>703411</v>
      </c>
      <c r="G187" s="60">
        <v>444030</v>
      </c>
      <c r="H187" s="43">
        <f t="shared" si="70"/>
        <v>158.41519717136231</v>
      </c>
      <c r="I187" s="60">
        <v>1241991</v>
      </c>
      <c r="J187" s="60">
        <v>1587500</v>
      </c>
      <c r="K187" s="43">
        <f t="shared" si="71"/>
        <v>78.23565354330708</v>
      </c>
      <c r="L187" s="60">
        <v>99878</v>
      </c>
      <c r="M187" s="60">
        <f>54568+25927</f>
        <v>80495</v>
      </c>
      <c r="N187" s="43">
        <f t="shared" si="72"/>
        <v>124.07975650661531</v>
      </c>
      <c r="O187" s="45">
        <v>551</v>
      </c>
      <c r="P187" s="45">
        <v>148</v>
      </c>
      <c r="Q187" s="44">
        <f t="shared" si="73"/>
        <v>81548</v>
      </c>
    </row>
    <row r="188" spans="1:17" x14ac:dyDescent="0.25">
      <c r="A188" s="284">
        <v>7</v>
      </c>
      <c r="B188" s="266" t="s">
        <v>484</v>
      </c>
      <c r="C188" s="256">
        <v>637279</v>
      </c>
      <c r="D188" s="60">
        <v>725774</v>
      </c>
      <c r="E188" s="43">
        <f t="shared" si="69"/>
        <v>87.806810384499855</v>
      </c>
      <c r="F188" s="60">
        <v>220710</v>
      </c>
      <c r="G188" s="60">
        <v>164601</v>
      </c>
      <c r="H188" s="43">
        <f t="shared" si="70"/>
        <v>134.08788524978584</v>
      </c>
      <c r="I188" s="60">
        <v>597256</v>
      </c>
      <c r="J188" s="60">
        <v>724755</v>
      </c>
      <c r="K188" s="43">
        <f t="shared" si="71"/>
        <v>82.407986147042791</v>
      </c>
      <c r="L188" s="60">
        <f>89683+2092</f>
        <v>91775</v>
      </c>
      <c r="M188" s="60">
        <v>41712</v>
      </c>
      <c r="N188" s="43">
        <f t="shared" si="72"/>
        <v>220.02061756808592</v>
      </c>
      <c r="O188" s="45">
        <v>158</v>
      </c>
      <c r="P188" s="45">
        <v>107</v>
      </c>
      <c r="Q188" s="44">
        <f t="shared" si="73"/>
        <v>16906</v>
      </c>
    </row>
    <row r="189" spans="1:17" x14ac:dyDescent="0.25">
      <c r="A189" s="284">
        <v>8</v>
      </c>
      <c r="B189" s="266" t="s">
        <v>485</v>
      </c>
      <c r="C189" s="256">
        <v>98963</v>
      </c>
      <c r="D189" s="60">
        <v>244562</v>
      </c>
      <c r="E189" s="43">
        <f t="shared" si="69"/>
        <v>40.465403455974354</v>
      </c>
      <c r="F189" s="60">
        <v>11253</v>
      </c>
      <c r="G189" s="60">
        <v>55415</v>
      </c>
      <c r="H189" s="43">
        <f t="shared" si="70"/>
        <v>20.306776143643418</v>
      </c>
      <c r="I189" s="60">
        <v>131622</v>
      </c>
      <c r="J189" s="60">
        <v>257682</v>
      </c>
      <c r="K189" s="43">
        <f t="shared" si="71"/>
        <v>51.079237199338721</v>
      </c>
      <c r="L189" s="60">
        <v>101356</v>
      </c>
      <c r="M189" s="60">
        <v>227517</v>
      </c>
      <c r="N189" s="43">
        <f t="shared" si="72"/>
        <v>44.548758993833424</v>
      </c>
      <c r="O189" s="45">
        <v>25</v>
      </c>
      <c r="P189" s="45">
        <v>80</v>
      </c>
      <c r="Q189" s="44">
        <f t="shared" si="73"/>
        <v>2000</v>
      </c>
    </row>
    <row r="190" spans="1:17" x14ac:dyDescent="0.25">
      <c r="A190" s="284">
        <v>9</v>
      </c>
      <c r="B190" s="266" t="s">
        <v>486</v>
      </c>
      <c r="C190" s="256">
        <v>962574</v>
      </c>
      <c r="D190" s="60">
        <v>656214</v>
      </c>
      <c r="E190" s="43">
        <f t="shared" si="69"/>
        <v>146.6859896314312</v>
      </c>
      <c r="F190" s="60">
        <v>213096</v>
      </c>
      <c r="G190" s="60">
        <v>126034</v>
      </c>
      <c r="H190" s="43">
        <f t="shared" si="70"/>
        <v>169.07818525159877</v>
      </c>
      <c r="I190" s="60">
        <v>958818</v>
      </c>
      <c r="J190" s="60">
        <v>655674</v>
      </c>
      <c r="K190" s="43">
        <f t="shared" si="71"/>
        <v>146.23395162840069</v>
      </c>
      <c r="L190" s="60">
        <v>9773</v>
      </c>
      <c r="M190" s="60">
        <v>0</v>
      </c>
      <c r="N190" s="43" t="e">
        <f t="shared" si="72"/>
        <v>#DIV/0!</v>
      </c>
      <c r="O190" s="45">
        <v>160</v>
      </c>
      <c r="P190" s="45">
        <v>117</v>
      </c>
      <c r="Q190" s="44">
        <f t="shared" si="73"/>
        <v>18720</v>
      </c>
    </row>
    <row r="191" spans="1:17" x14ac:dyDescent="0.25">
      <c r="A191" s="284">
        <v>10</v>
      </c>
      <c r="B191" s="266" t="s">
        <v>487</v>
      </c>
      <c r="C191" s="256">
        <v>382733</v>
      </c>
      <c r="D191" s="60">
        <v>370313</v>
      </c>
      <c r="E191" s="43">
        <f t="shared" si="69"/>
        <v>103.35391952213398</v>
      </c>
      <c r="F191" s="60">
        <v>90257</v>
      </c>
      <c r="G191" s="60">
        <v>70647</v>
      </c>
      <c r="H191" s="43">
        <f t="shared" si="70"/>
        <v>127.75772502724816</v>
      </c>
      <c r="I191" s="60">
        <v>382733</v>
      </c>
      <c r="J191" s="60">
        <v>370313</v>
      </c>
      <c r="K191" s="43">
        <f t="shared" si="71"/>
        <v>103.35391952213398</v>
      </c>
      <c r="L191" s="60">
        <f>172577+62627</f>
        <v>235204</v>
      </c>
      <c r="M191" s="60">
        <f>305668+16693</f>
        <v>322361</v>
      </c>
      <c r="N191" s="43">
        <f t="shared" si="72"/>
        <v>72.962920452536125</v>
      </c>
      <c r="O191" s="60">
        <v>71</v>
      </c>
      <c r="P191" s="60">
        <v>85</v>
      </c>
      <c r="Q191" s="44">
        <f t="shared" si="73"/>
        <v>6035</v>
      </c>
    </row>
    <row r="192" spans="1:17" x14ac:dyDescent="0.25">
      <c r="A192" s="284">
        <v>11</v>
      </c>
      <c r="B192" s="266" t="s">
        <v>488</v>
      </c>
      <c r="C192" s="256">
        <v>101254</v>
      </c>
      <c r="D192" s="60">
        <v>71891</v>
      </c>
      <c r="E192" s="43">
        <f t="shared" si="69"/>
        <v>140.84377738520817</v>
      </c>
      <c r="F192" s="60">
        <v>22243</v>
      </c>
      <c r="G192" s="60">
        <v>21401</v>
      </c>
      <c r="H192" s="43">
        <f t="shared" si="70"/>
        <v>103.93439558899118</v>
      </c>
      <c r="I192" s="60">
        <v>79011</v>
      </c>
      <c r="J192" s="60">
        <v>71891</v>
      </c>
      <c r="K192" s="43">
        <f t="shared" si="71"/>
        <v>109.90388226620857</v>
      </c>
      <c r="L192" s="60">
        <v>0</v>
      </c>
      <c r="M192" s="60">
        <v>0</v>
      </c>
      <c r="N192" s="43" t="e">
        <f t="shared" si="72"/>
        <v>#DIV/0!</v>
      </c>
      <c r="O192" s="60">
        <v>17</v>
      </c>
      <c r="P192" s="60">
        <v>80</v>
      </c>
      <c r="Q192" s="44">
        <f t="shared" si="73"/>
        <v>1360</v>
      </c>
    </row>
    <row r="193" spans="1:17" x14ac:dyDescent="0.25">
      <c r="A193" s="284">
        <v>12</v>
      </c>
      <c r="B193" s="266" t="s">
        <v>223</v>
      </c>
      <c r="C193" s="256">
        <v>802792</v>
      </c>
      <c r="D193" s="60">
        <v>629296</v>
      </c>
      <c r="E193" s="43">
        <f t="shared" si="69"/>
        <v>127.5698558389057</v>
      </c>
      <c r="F193" s="60">
        <v>183795</v>
      </c>
      <c r="G193" s="60">
        <v>163741</v>
      </c>
      <c r="H193" s="43">
        <f t="shared" si="70"/>
        <v>112.24739069628254</v>
      </c>
      <c r="I193" s="60">
        <v>802792</v>
      </c>
      <c r="J193" s="60">
        <v>182183</v>
      </c>
      <c r="K193" s="43">
        <f t="shared" si="71"/>
        <v>440.6514328998864</v>
      </c>
      <c r="L193" s="60">
        <v>92128</v>
      </c>
      <c r="M193" s="60">
        <v>31962</v>
      </c>
      <c r="N193" s="43">
        <f t="shared" si="72"/>
        <v>288.24228771666355</v>
      </c>
      <c r="O193" s="60">
        <v>60</v>
      </c>
      <c r="P193" s="60">
        <v>115</v>
      </c>
      <c r="Q193" s="44">
        <f t="shared" si="73"/>
        <v>6900</v>
      </c>
    </row>
    <row r="194" spans="1:17" x14ac:dyDescent="0.25">
      <c r="A194" s="284">
        <v>13</v>
      </c>
      <c r="B194" s="266" t="s">
        <v>489</v>
      </c>
      <c r="C194" s="256">
        <v>250835</v>
      </c>
      <c r="D194" s="60">
        <v>119502</v>
      </c>
      <c r="E194" s="43">
        <f t="shared" si="69"/>
        <v>209.9002527154357</v>
      </c>
      <c r="F194" s="60">
        <v>56725</v>
      </c>
      <c r="G194" s="60">
        <v>21092</v>
      </c>
      <c r="H194" s="43">
        <f t="shared" si="70"/>
        <v>268.9408306466907</v>
      </c>
      <c r="I194" s="60">
        <v>256643</v>
      </c>
      <c r="J194" s="60">
        <v>118400</v>
      </c>
      <c r="K194" s="43">
        <f t="shared" si="71"/>
        <v>216.75929054054052</v>
      </c>
      <c r="L194" s="60">
        <v>29890</v>
      </c>
      <c r="M194" s="60">
        <v>0</v>
      </c>
      <c r="N194" s="43" t="e">
        <f t="shared" si="72"/>
        <v>#DIV/0!</v>
      </c>
      <c r="O194" s="45">
        <v>130</v>
      </c>
      <c r="P194" s="45">
        <v>115</v>
      </c>
      <c r="Q194" s="44">
        <f t="shared" si="73"/>
        <v>14950</v>
      </c>
    </row>
    <row r="195" spans="1:17" x14ac:dyDescent="0.25">
      <c r="A195" s="284">
        <v>14</v>
      </c>
      <c r="B195" s="266" t="s">
        <v>183</v>
      </c>
      <c r="C195" s="256">
        <v>3162</v>
      </c>
      <c r="D195" s="60">
        <v>10060</v>
      </c>
      <c r="E195" s="43">
        <f t="shared" si="69"/>
        <v>31.431411530815112</v>
      </c>
      <c r="F195" s="60">
        <v>1175</v>
      </c>
      <c r="G195" s="60">
        <v>2901</v>
      </c>
      <c r="H195" s="43">
        <f t="shared" si="70"/>
        <v>40.503274732850741</v>
      </c>
      <c r="I195" s="60">
        <v>3162</v>
      </c>
      <c r="J195" s="60">
        <v>10060</v>
      </c>
      <c r="K195" s="43">
        <f t="shared" si="71"/>
        <v>31.431411530815112</v>
      </c>
      <c r="L195" s="60">
        <v>0</v>
      </c>
      <c r="M195" s="60">
        <v>0</v>
      </c>
      <c r="N195" s="43" t="e">
        <f t="shared" si="72"/>
        <v>#DIV/0!</v>
      </c>
      <c r="O195" s="45">
        <v>45</v>
      </c>
      <c r="P195" s="45">
        <v>80</v>
      </c>
      <c r="Q195" s="44">
        <f t="shared" si="73"/>
        <v>3600</v>
      </c>
    </row>
    <row r="196" spans="1:17" x14ac:dyDescent="0.25">
      <c r="A196" s="284">
        <v>15</v>
      </c>
      <c r="B196" s="266" t="s">
        <v>490</v>
      </c>
      <c r="C196" s="256">
        <v>1770796</v>
      </c>
      <c r="D196" s="60">
        <v>1536891</v>
      </c>
      <c r="E196" s="43">
        <f t="shared" si="69"/>
        <v>115.21936168537653</v>
      </c>
      <c r="F196" s="60">
        <v>301323</v>
      </c>
      <c r="G196" s="60">
        <v>221897</v>
      </c>
      <c r="H196" s="43">
        <f t="shared" si="70"/>
        <v>135.79408464287485</v>
      </c>
      <c r="I196" s="60">
        <v>1202919</v>
      </c>
      <c r="J196" s="60">
        <v>962978</v>
      </c>
      <c r="K196" s="43">
        <f t="shared" si="71"/>
        <v>124.91656091831797</v>
      </c>
      <c r="L196" s="60">
        <v>0</v>
      </c>
      <c r="M196" s="60">
        <v>0</v>
      </c>
      <c r="N196" s="43" t="e">
        <f t="shared" si="72"/>
        <v>#DIV/0!</v>
      </c>
      <c r="O196" s="45">
        <v>481</v>
      </c>
      <c r="P196" s="45">
        <v>100</v>
      </c>
      <c r="Q196" s="44">
        <f t="shared" si="73"/>
        <v>48100</v>
      </c>
    </row>
    <row r="198" spans="1:17" s="126" customFormat="1" ht="28.5" x14ac:dyDescent="0.25">
      <c r="A198" s="414"/>
      <c r="B198" s="415" t="s">
        <v>342</v>
      </c>
      <c r="C198" s="345">
        <f>C199+C208</f>
        <v>6350732</v>
      </c>
      <c r="D198" s="346">
        <f>D199+D208</f>
        <v>5976993</v>
      </c>
      <c r="E198" s="335">
        <f>C198/D198*100</f>
        <v>106.25296030964064</v>
      </c>
      <c r="F198" s="346">
        <f>F199+F208</f>
        <v>1228114</v>
      </c>
      <c r="G198" s="346">
        <f>G199+G208</f>
        <v>1064254</v>
      </c>
      <c r="H198" s="335">
        <f>F198/G198*100</f>
        <v>115.39670041174381</v>
      </c>
      <c r="I198" s="346">
        <f>I199+I208</f>
        <v>6097009</v>
      </c>
      <c r="J198" s="346">
        <f>J199+J208</f>
        <v>10813205</v>
      </c>
      <c r="K198" s="335">
        <f>I198/J198*100</f>
        <v>56.384846121015919</v>
      </c>
      <c r="L198" s="346">
        <f>L199+L208</f>
        <v>5800859</v>
      </c>
      <c r="M198" s="346">
        <f>M199+M208</f>
        <v>5939369</v>
      </c>
      <c r="N198" s="335">
        <f>L198/M198*100</f>
        <v>97.667934085253833</v>
      </c>
      <c r="O198" s="346">
        <f>O199+O208</f>
        <v>605</v>
      </c>
      <c r="P198" s="347">
        <f>Q198/O198</f>
        <v>152.11239669421488</v>
      </c>
      <c r="Q198" s="346">
        <f>Q199+Q208</f>
        <v>92028</v>
      </c>
    </row>
    <row r="199" spans="1:17" x14ac:dyDescent="0.25">
      <c r="A199" s="1001" t="s">
        <v>340</v>
      </c>
      <c r="B199" s="1002" t="s">
        <v>155</v>
      </c>
      <c r="C199" s="250">
        <f>SUM(C200:C206)</f>
        <v>4777812</v>
      </c>
      <c r="D199" s="87">
        <f>SUM(D200:D206)</f>
        <v>4983043</v>
      </c>
      <c r="E199" s="57">
        <f>C199/D199*100</f>
        <v>95.881412221407686</v>
      </c>
      <c r="F199" s="87">
        <f>SUM(F200:F206)</f>
        <v>854777</v>
      </c>
      <c r="G199" s="87">
        <f>SUM(G200:G206)</f>
        <v>955490</v>
      </c>
      <c r="H199" s="57">
        <f>F199/G199*100</f>
        <v>89.459544317575279</v>
      </c>
      <c r="I199" s="87">
        <f>SUM(I200:I206)</f>
        <v>4636427</v>
      </c>
      <c r="J199" s="87">
        <f>SUM(J200:J206)</f>
        <v>9891760</v>
      </c>
      <c r="K199" s="57">
        <f>I199/J199*100</f>
        <v>46.871608288110508</v>
      </c>
      <c r="L199" s="87">
        <f>SUM(L200:L206)</f>
        <v>4495253</v>
      </c>
      <c r="M199" s="56">
        <f>SUM(M200:M206)</f>
        <v>5107398</v>
      </c>
      <c r="N199" s="57">
        <f>L199/M199*100</f>
        <v>88.014542825916436</v>
      </c>
      <c r="O199" s="87">
        <f>SUM(O200:O206)</f>
        <v>342</v>
      </c>
      <c r="P199" s="58">
        <f>Q199/O199</f>
        <v>156.83333333333334</v>
      </c>
      <c r="Q199" s="70">
        <f>SUM(Q200:Q206)</f>
        <v>53637</v>
      </c>
    </row>
    <row r="200" spans="1:17" x14ac:dyDescent="0.25">
      <c r="A200" s="286">
        <v>1</v>
      </c>
      <c r="B200" s="266" t="s">
        <v>491</v>
      </c>
      <c r="C200" s="256">
        <v>455269</v>
      </c>
      <c r="D200" s="60">
        <v>579102</v>
      </c>
      <c r="E200" s="43">
        <f t="shared" ref="E200:E206" si="74">C200/D200*100</f>
        <v>78.616375008202354</v>
      </c>
      <c r="F200" s="60">
        <v>169249</v>
      </c>
      <c r="G200" s="60">
        <v>130795</v>
      </c>
      <c r="H200" s="43">
        <f t="shared" ref="H200:H206" si="75">F200/G200*100</f>
        <v>129.40020642990939</v>
      </c>
      <c r="I200" s="60">
        <v>455269</v>
      </c>
      <c r="J200" s="60">
        <v>749282</v>
      </c>
      <c r="K200" s="43">
        <f t="shared" ref="K200:K206" si="76">I200/J200*100</f>
        <v>60.760701578310972</v>
      </c>
      <c r="L200" s="60">
        <v>314095</v>
      </c>
      <c r="M200" s="60">
        <v>574838</v>
      </c>
      <c r="N200" s="43">
        <f t="shared" ref="N200:N206" si="77">L200/M200*100</f>
        <v>54.64061178975642</v>
      </c>
      <c r="O200" s="100">
        <v>130</v>
      </c>
      <c r="P200" s="100">
        <v>179</v>
      </c>
      <c r="Q200" s="44">
        <f t="shared" ref="Q200:Q206" si="78">O200*P200</f>
        <v>23270</v>
      </c>
    </row>
    <row r="201" spans="1:17" x14ac:dyDescent="0.25">
      <c r="A201" s="286">
        <v>2</v>
      </c>
      <c r="B201" s="266" t="s">
        <v>492</v>
      </c>
      <c r="C201" s="256">
        <v>0</v>
      </c>
      <c r="D201" s="60">
        <v>0</v>
      </c>
      <c r="E201" s="43" t="e">
        <f t="shared" si="74"/>
        <v>#DIV/0!</v>
      </c>
      <c r="F201" s="60">
        <v>0</v>
      </c>
      <c r="G201" s="60">
        <v>0</v>
      </c>
      <c r="H201" s="43" t="e">
        <f t="shared" si="75"/>
        <v>#DIV/0!</v>
      </c>
      <c r="I201" s="60">
        <v>0</v>
      </c>
      <c r="J201" s="60">
        <v>0</v>
      </c>
      <c r="K201" s="43" t="e">
        <f t="shared" si="76"/>
        <v>#DIV/0!</v>
      </c>
      <c r="L201" s="60">
        <v>0</v>
      </c>
      <c r="M201" s="60">
        <v>0</v>
      </c>
      <c r="N201" s="43" t="e">
        <f t="shared" si="77"/>
        <v>#DIV/0!</v>
      </c>
      <c r="O201" s="45">
        <v>0</v>
      </c>
      <c r="P201" s="46">
        <v>0</v>
      </c>
      <c r="Q201" s="44">
        <f t="shared" si="78"/>
        <v>0</v>
      </c>
    </row>
    <row r="202" spans="1:17" x14ac:dyDescent="0.25">
      <c r="A202" s="286">
        <v>3</v>
      </c>
      <c r="B202" s="266" t="s">
        <v>493</v>
      </c>
      <c r="C202" s="256">
        <v>2108810</v>
      </c>
      <c r="D202" s="60">
        <v>2581101</v>
      </c>
      <c r="E202" s="43">
        <f t="shared" si="74"/>
        <v>81.701955870769879</v>
      </c>
      <c r="F202" s="60">
        <v>148265</v>
      </c>
      <c r="G202" s="60">
        <v>459812</v>
      </c>
      <c r="H202" s="43">
        <f t="shared" si="75"/>
        <v>32.244700007829287</v>
      </c>
      <c r="I202" s="60">
        <v>2108810</v>
      </c>
      <c r="J202" s="60">
        <v>2581101</v>
      </c>
      <c r="K202" s="43">
        <f t="shared" si="76"/>
        <v>81.701955870769879</v>
      </c>
      <c r="L202" s="60">
        <v>2108810</v>
      </c>
      <c r="M202" s="60">
        <v>2581101</v>
      </c>
      <c r="N202" s="43">
        <f t="shared" si="77"/>
        <v>81.701955870769879</v>
      </c>
      <c r="O202" s="100">
        <v>112</v>
      </c>
      <c r="P202" s="142">
        <v>188</v>
      </c>
      <c r="Q202" s="44">
        <f t="shared" si="78"/>
        <v>21056</v>
      </c>
    </row>
    <row r="203" spans="1:17" x14ac:dyDescent="0.25">
      <c r="A203" s="286">
        <v>4</v>
      </c>
      <c r="B203" s="266" t="s">
        <v>494</v>
      </c>
      <c r="C203" s="256">
        <v>148867</v>
      </c>
      <c r="D203" s="60">
        <v>322980</v>
      </c>
      <c r="E203" s="43">
        <f t="shared" si="74"/>
        <v>46.09170846492043</v>
      </c>
      <c r="F203" s="60">
        <v>39239</v>
      </c>
      <c r="G203" s="60">
        <v>5400</v>
      </c>
      <c r="H203" s="43">
        <f t="shared" si="75"/>
        <v>726.64814814814815</v>
      </c>
      <c r="I203" s="60">
        <v>193525</v>
      </c>
      <c r="J203" s="60">
        <v>5147470</v>
      </c>
      <c r="K203" s="43">
        <f t="shared" si="76"/>
        <v>3.7596139462687495</v>
      </c>
      <c r="L203" s="60">
        <v>193525</v>
      </c>
      <c r="M203" s="60">
        <v>548031</v>
      </c>
      <c r="N203" s="43">
        <f t="shared" si="77"/>
        <v>35.312783400938997</v>
      </c>
      <c r="O203" s="100">
        <v>42</v>
      </c>
      <c r="P203" s="100">
        <v>36</v>
      </c>
      <c r="Q203" s="44">
        <f t="shared" si="78"/>
        <v>1512</v>
      </c>
    </row>
    <row r="204" spans="1:17" x14ac:dyDescent="0.25">
      <c r="A204" s="286">
        <v>5</v>
      </c>
      <c r="B204" s="266" t="s">
        <v>495</v>
      </c>
      <c r="C204" s="256">
        <v>2064866</v>
      </c>
      <c r="D204" s="60">
        <v>1499860</v>
      </c>
      <c r="E204" s="43">
        <f t="shared" si="74"/>
        <v>137.6705825877082</v>
      </c>
      <c r="F204" s="60">
        <v>498024</v>
      </c>
      <c r="G204" s="60">
        <v>359483</v>
      </c>
      <c r="H204" s="43">
        <f t="shared" si="75"/>
        <v>138.53895733595192</v>
      </c>
      <c r="I204" s="60">
        <v>1878823</v>
      </c>
      <c r="J204" s="60">
        <v>1413907</v>
      </c>
      <c r="K204" s="43">
        <f t="shared" si="76"/>
        <v>132.88165346094192</v>
      </c>
      <c r="L204" s="60">
        <v>1878823</v>
      </c>
      <c r="M204" s="60">
        <v>1403428</v>
      </c>
      <c r="N204" s="43">
        <f t="shared" si="77"/>
        <v>133.87384318967557</v>
      </c>
      <c r="O204" s="100">
        <v>55</v>
      </c>
      <c r="P204" s="100">
        <v>134</v>
      </c>
      <c r="Q204" s="44">
        <f t="shared" si="78"/>
        <v>7370</v>
      </c>
    </row>
    <row r="205" spans="1:17" x14ac:dyDescent="0.25">
      <c r="A205" s="286">
        <v>6</v>
      </c>
      <c r="B205" s="266" t="s">
        <v>496</v>
      </c>
      <c r="C205" s="256">
        <v>0</v>
      </c>
      <c r="D205" s="60">
        <v>0</v>
      </c>
      <c r="E205" s="43" t="e">
        <f t="shared" si="74"/>
        <v>#DIV/0!</v>
      </c>
      <c r="F205" s="60">
        <v>0</v>
      </c>
      <c r="G205" s="60">
        <v>0</v>
      </c>
      <c r="H205" s="43" t="e">
        <f t="shared" si="75"/>
        <v>#DIV/0!</v>
      </c>
      <c r="I205" s="60">
        <v>0</v>
      </c>
      <c r="J205" s="60">
        <v>0</v>
      </c>
      <c r="K205" s="43" t="e">
        <f t="shared" si="76"/>
        <v>#DIV/0!</v>
      </c>
      <c r="L205" s="60">
        <v>0</v>
      </c>
      <c r="M205" s="60">
        <v>0</v>
      </c>
      <c r="N205" s="43" t="e">
        <f t="shared" si="77"/>
        <v>#DIV/0!</v>
      </c>
      <c r="O205" s="100">
        <v>3</v>
      </c>
      <c r="P205" s="100">
        <v>143</v>
      </c>
      <c r="Q205" s="44">
        <f t="shared" si="78"/>
        <v>429</v>
      </c>
    </row>
    <row r="206" spans="1:17" x14ac:dyDescent="0.25">
      <c r="A206" s="286">
        <v>7</v>
      </c>
      <c r="B206" s="266" t="s">
        <v>497</v>
      </c>
      <c r="C206" s="256">
        <v>0</v>
      </c>
      <c r="D206" s="60">
        <v>0</v>
      </c>
      <c r="E206" s="43" t="e">
        <f t="shared" si="74"/>
        <v>#DIV/0!</v>
      </c>
      <c r="F206" s="60">
        <v>0</v>
      </c>
      <c r="G206" s="60">
        <v>0</v>
      </c>
      <c r="H206" s="43" t="e">
        <f t="shared" si="75"/>
        <v>#DIV/0!</v>
      </c>
      <c r="I206" s="60">
        <v>0</v>
      </c>
      <c r="J206" s="60">
        <v>0</v>
      </c>
      <c r="K206" s="43" t="e">
        <f t="shared" si="76"/>
        <v>#DIV/0!</v>
      </c>
      <c r="L206" s="60">
        <v>0</v>
      </c>
      <c r="M206" s="60">
        <v>0</v>
      </c>
      <c r="N206" s="43" t="e">
        <f t="shared" si="77"/>
        <v>#DIV/0!</v>
      </c>
      <c r="O206" s="100">
        <v>0</v>
      </c>
      <c r="P206" s="100">
        <v>0</v>
      </c>
      <c r="Q206" s="44">
        <f t="shared" si="78"/>
        <v>0</v>
      </c>
    </row>
    <row r="208" spans="1:17" x14ac:dyDescent="0.25">
      <c r="A208" s="1001" t="s">
        <v>341</v>
      </c>
      <c r="B208" s="1002" t="s">
        <v>155</v>
      </c>
      <c r="C208" s="250">
        <f>SUM(C209:C212)</f>
        <v>1572920</v>
      </c>
      <c r="D208" s="87">
        <f>SUM(D209:D212)</f>
        <v>993950</v>
      </c>
      <c r="E208" s="329">
        <f>C208/D208*100</f>
        <v>158.24940892399013</v>
      </c>
      <c r="F208" s="87">
        <f>SUM(F209:F212)</f>
        <v>373337</v>
      </c>
      <c r="G208" s="87">
        <f>SUM(G209:G212)</f>
        <v>108764</v>
      </c>
      <c r="H208" s="329">
        <f>F208/G208*100</f>
        <v>343.2542017579346</v>
      </c>
      <c r="I208" s="87">
        <f>SUM(I209:I212)</f>
        <v>1460582</v>
      </c>
      <c r="J208" s="87">
        <f>SUM(J209:J212)</f>
        <v>921445</v>
      </c>
      <c r="K208" s="329">
        <f>I208/J208*100</f>
        <v>158.50994904742009</v>
      </c>
      <c r="L208" s="87">
        <f>SUM(L209:L212)</f>
        <v>1305606</v>
      </c>
      <c r="M208" s="87">
        <f>SUM(M209:M212)</f>
        <v>831971</v>
      </c>
      <c r="N208" s="329">
        <f>L208/M208*100</f>
        <v>156.92926796727289</v>
      </c>
      <c r="O208" s="87">
        <f>SUM(O209:O212)</f>
        <v>263</v>
      </c>
      <c r="P208" s="58">
        <f>Q208/O208</f>
        <v>145.97338403041826</v>
      </c>
      <c r="Q208" s="70">
        <f>SUM(Q209:Q212)</f>
        <v>38391</v>
      </c>
    </row>
    <row r="209" spans="1:18" x14ac:dyDescent="0.25">
      <c r="A209" s="288">
        <v>1</v>
      </c>
      <c r="B209" s="266" t="s">
        <v>498</v>
      </c>
      <c r="C209" s="256">
        <v>1102689</v>
      </c>
      <c r="D209" s="60">
        <v>712964</v>
      </c>
      <c r="E209" s="43">
        <f t="shared" ref="E209:E212" si="79">C209/D209*100</f>
        <v>154.66264776342143</v>
      </c>
      <c r="F209" s="60">
        <v>210717</v>
      </c>
      <c r="G209" s="60">
        <v>108320</v>
      </c>
      <c r="H209" s="43">
        <f t="shared" ref="H209:H212" si="80">F209/G209*100</f>
        <v>194.53194239290988</v>
      </c>
      <c r="I209" s="60">
        <v>972734</v>
      </c>
      <c r="J209" s="60">
        <v>619166</v>
      </c>
      <c r="K209" s="43">
        <f t="shared" ref="K209:K212" si="81">I209/J209*100</f>
        <v>157.10391074445303</v>
      </c>
      <c r="L209" s="60">
        <f>394035+443212</f>
        <v>837247</v>
      </c>
      <c r="M209" s="60">
        <f>124589+428029</f>
        <v>552618</v>
      </c>
      <c r="N209" s="43">
        <f t="shared" ref="N209:N212" si="82">L209/M209*100</f>
        <v>151.50556080330355</v>
      </c>
      <c r="O209" s="100">
        <v>158</v>
      </c>
      <c r="P209" s="100">
        <v>159</v>
      </c>
      <c r="Q209" s="44">
        <f>O209*P209</f>
        <v>25122</v>
      </c>
    </row>
    <row r="210" spans="1:18" x14ac:dyDescent="0.25">
      <c r="A210" s="288">
        <v>2</v>
      </c>
      <c r="B210" s="266" t="s">
        <v>499</v>
      </c>
      <c r="C210" s="256">
        <v>1872</v>
      </c>
      <c r="D210" s="60">
        <v>1633</v>
      </c>
      <c r="E210" s="43">
        <f t="shared" si="79"/>
        <v>114.63563992651562</v>
      </c>
      <c r="F210" s="60">
        <v>0</v>
      </c>
      <c r="G210" s="60">
        <v>444</v>
      </c>
      <c r="H210" s="43">
        <f t="shared" si="80"/>
        <v>0</v>
      </c>
      <c r="I210" s="60">
        <v>19489</v>
      </c>
      <c r="J210" s="60">
        <v>22926</v>
      </c>
      <c r="K210" s="43">
        <f t="shared" si="81"/>
        <v>85.00828753380442</v>
      </c>
      <c r="L210" s="60">
        <v>0</v>
      </c>
      <c r="M210" s="60">
        <v>0</v>
      </c>
      <c r="N210" s="43" t="e">
        <f t="shared" si="82"/>
        <v>#DIV/0!</v>
      </c>
      <c r="O210" s="100">
        <v>72</v>
      </c>
      <c r="P210" s="100">
        <v>127</v>
      </c>
      <c r="Q210" s="44">
        <f>O210*P210</f>
        <v>9144</v>
      </c>
    </row>
    <row r="211" spans="1:18" x14ac:dyDescent="0.25">
      <c r="A211" s="289">
        <v>3</v>
      </c>
      <c r="B211" s="266" t="s">
        <v>500</v>
      </c>
      <c r="C211" s="256">
        <v>0</v>
      </c>
      <c r="D211" s="60">
        <v>0</v>
      </c>
      <c r="E211" s="43" t="e">
        <f t="shared" si="79"/>
        <v>#DIV/0!</v>
      </c>
      <c r="F211" s="60">
        <v>0</v>
      </c>
      <c r="G211" s="60">
        <v>0</v>
      </c>
      <c r="H211" s="43" t="e">
        <f t="shared" si="80"/>
        <v>#DIV/0!</v>
      </c>
      <c r="I211" s="60">
        <v>0</v>
      </c>
      <c r="J211" s="60">
        <v>0</v>
      </c>
      <c r="K211" s="43" t="e">
        <f t="shared" si="81"/>
        <v>#DIV/0!</v>
      </c>
      <c r="L211" s="60">
        <v>0</v>
      </c>
      <c r="M211" s="60">
        <v>0</v>
      </c>
      <c r="N211" s="43" t="e">
        <f t="shared" si="82"/>
        <v>#DIV/0!</v>
      </c>
      <c r="O211" s="45">
        <v>0</v>
      </c>
      <c r="P211" s="46">
        <v>0</v>
      </c>
      <c r="Q211" s="44">
        <f>O211*P211</f>
        <v>0</v>
      </c>
    </row>
    <row r="212" spans="1:18" x14ac:dyDescent="0.25">
      <c r="A212" s="289">
        <v>4</v>
      </c>
      <c r="B212" s="266" t="s">
        <v>501</v>
      </c>
      <c r="C212" s="256">
        <v>468359</v>
      </c>
      <c r="D212" s="60">
        <v>279353</v>
      </c>
      <c r="E212" s="43">
        <f t="shared" si="79"/>
        <v>167.65848227869398</v>
      </c>
      <c r="F212" s="60">
        <v>162620</v>
      </c>
      <c r="G212" s="60">
        <v>0</v>
      </c>
      <c r="H212" s="43" t="e">
        <f t="shared" si="80"/>
        <v>#DIV/0!</v>
      </c>
      <c r="I212" s="60">
        <v>468359</v>
      </c>
      <c r="J212" s="60">
        <v>279353</v>
      </c>
      <c r="K212" s="43">
        <f t="shared" si="81"/>
        <v>167.65848227869398</v>
      </c>
      <c r="L212" s="60">
        <f>357137+111222</f>
        <v>468359</v>
      </c>
      <c r="M212" s="60">
        <f>272821+6532</f>
        <v>279353</v>
      </c>
      <c r="N212" s="43">
        <f t="shared" si="82"/>
        <v>167.65848227869398</v>
      </c>
      <c r="O212" s="100">
        <v>33</v>
      </c>
      <c r="P212" s="100">
        <v>125</v>
      </c>
      <c r="Q212" s="44">
        <f>O212*P212</f>
        <v>4125</v>
      </c>
    </row>
    <row r="214" spans="1:18" x14ac:dyDescent="0.25">
      <c r="R214" s="197"/>
    </row>
    <row r="215" spans="1:18" s="126" customFormat="1" x14ac:dyDescent="0.25">
      <c r="A215" s="348"/>
      <c r="B215" s="413" t="s">
        <v>343</v>
      </c>
      <c r="C215" s="254">
        <f>SUM(C216:C224)</f>
        <v>483709.2</v>
      </c>
      <c r="D215" s="68">
        <f>SUM(D216:D224)</f>
        <v>385012</v>
      </c>
      <c r="E215" s="57">
        <f>C215/D215*100</f>
        <v>125.63483735571879</v>
      </c>
      <c r="F215" s="209">
        <f>SUM(F216:F224)</f>
        <v>83952.1</v>
      </c>
      <c r="G215" s="68">
        <f>SUM(G216:G224)</f>
        <v>76685.399999999994</v>
      </c>
      <c r="H215" s="57">
        <f>F215/G215*100</f>
        <v>109.47598891053578</v>
      </c>
      <c r="I215" s="68">
        <f>SUM(I216:I224)</f>
        <v>328050.8</v>
      </c>
      <c r="J215" s="67">
        <f>SUM(J216:J224)</f>
        <v>152406.6</v>
      </c>
      <c r="K215" s="57">
        <f>I215/J215*100</f>
        <v>215.24710872101335</v>
      </c>
      <c r="L215" s="67">
        <f>SUM(L216:L224)</f>
        <v>17566</v>
      </c>
      <c r="M215" s="67">
        <f>SUM(M216:M224)</f>
        <v>1195</v>
      </c>
      <c r="N215" s="57">
        <f>L215/M215*100</f>
        <v>1469.9581589958159</v>
      </c>
      <c r="O215" s="67">
        <f>SUM(O216:O224)</f>
        <v>448</v>
      </c>
      <c r="P215" s="68">
        <f>Q215/O215</f>
        <v>160.83236607142859</v>
      </c>
      <c r="Q215" s="349">
        <f>SUM(Q216:Q224)</f>
        <v>72052.900000000009</v>
      </c>
    </row>
    <row r="216" spans="1:18" x14ac:dyDescent="0.25">
      <c r="A216" s="277">
        <v>1</v>
      </c>
      <c r="B216" s="266" t="s">
        <v>502</v>
      </c>
      <c r="C216" s="256">
        <v>367373.2</v>
      </c>
      <c r="D216" s="256">
        <v>280124</v>
      </c>
      <c r="E216" s="43">
        <f t="shared" ref="E216:E224" si="83">C216/D216*100</f>
        <v>131.14663506161557</v>
      </c>
      <c r="F216" s="256">
        <v>69878.100000000006</v>
      </c>
      <c r="G216" s="256">
        <v>54021.4</v>
      </c>
      <c r="H216" s="43">
        <f t="shared" ref="H216:H224" si="84">F216/G216*100</f>
        <v>129.35262692192353</v>
      </c>
      <c r="I216" s="256">
        <v>301426.8</v>
      </c>
      <c r="J216" s="256">
        <v>117707.6</v>
      </c>
      <c r="K216" s="43">
        <f t="shared" ref="K216:K224" si="85">I216/J216*100</f>
        <v>256.08100071703103</v>
      </c>
      <c r="L216" s="256">
        <v>0</v>
      </c>
      <c r="M216" s="256">
        <v>0</v>
      </c>
      <c r="N216" s="43" t="e">
        <f t="shared" ref="N216:N224" si="86">L216/M216*100</f>
        <v>#DIV/0!</v>
      </c>
      <c r="O216" s="100">
        <v>269</v>
      </c>
      <c r="P216" s="75">
        <v>247.2</v>
      </c>
      <c r="Q216" s="157">
        <f>O216*P216</f>
        <v>66496.800000000003</v>
      </c>
    </row>
    <row r="217" spans="1:18" ht="25.5" customHeight="1" x14ac:dyDescent="0.25">
      <c r="A217" s="291">
        <v>2</v>
      </c>
      <c r="B217" s="266" t="s">
        <v>503</v>
      </c>
      <c r="C217" s="247">
        <v>48070</v>
      </c>
      <c r="D217" s="247">
        <v>51870</v>
      </c>
      <c r="E217" s="43">
        <f t="shared" si="83"/>
        <v>92.673992673992672</v>
      </c>
      <c r="F217" s="247">
        <v>516</v>
      </c>
      <c r="G217" s="247">
        <v>11620</v>
      </c>
      <c r="H217" s="43">
        <f t="shared" si="84"/>
        <v>4.4406196213425124</v>
      </c>
      <c r="I217" s="247">
        <v>0</v>
      </c>
      <c r="J217" s="247">
        <v>0</v>
      </c>
      <c r="K217" s="43" t="e">
        <f t="shared" si="85"/>
        <v>#DIV/0!</v>
      </c>
      <c r="L217" s="247">
        <v>0</v>
      </c>
      <c r="M217" s="247">
        <v>0</v>
      </c>
      <c r="N217" s="43" t="e">
        <f t="shared" si="86"/>
        <v>#DIV/0!</v>
      </c>
      <c r="O217" s="48">
        <v>89</v>
      </c>
      <c r="P217" s="62">
        <v>98.2</v>
      </c>
      <c r="Q217" s="157"/>
    </row>
    <row r="218" spans="1:18" x14ac:dyDescent="0.25">
      <c r="A218" s="277">
        <v>3</v>
      </c>
      <c r="B218" s="266" t="s">
        <v>504</v>
      </c>
      <c r="C218" s="256">
        <v>0</v>
      </c>
      <c r="D218" s="256">
        <v>536</v>
      </c>
      <c r="E218" s="43">
        <f t="shared" si="83"/>
        <v>0</v>
      </c>
      <c r="F218" s="256">
        <v>0</v>
      </c>
      <c r="G218" s="256">
        <v>120</v>
      </c>
      <c r="H218" s="43">
        <f t="shared" si="84"/>
        <v>0</v>
      </c>
      <c r="I218" s="256">
        <v>0</v>
      </c>
      <c r="J218" s="256">
        <v>536</v>
      </c>
      <c r="K218" s="43">
        <f t="shared" si="85"/>
        <v>0</v>
      </c>
      <c r="L218" s="256">
        <v>0</v>
      </c>
      <c r="M218" s="256">
        <v>0</v>
      </c>
      <c r="N218" s="43" t="e">
        <f t="shared" si="86"/>
        <v>#DIV/0!</v>
      </c>
      <c r="O218" s="100">
        <v>3</v>
      </c>
      <c r="P218" s="75">
        <v>56.7</v>
      </c>
      <c r="Q218" s="157"/>
    </row>
    <row r="219" spans="1:18" x14ac:dyDescent="0.25">
      <c r="A219" s="277">
        <v>4</v>
      </c>
      <c r="B219" s="266" t="s">
        <v>505</v>
      </c>
      <c r="C219" s="256">
        <v>12503</v>
      </c>
      <c r="D219" s="256">
        <v>12845</v>
      </c>
      <c r="E219" s="43">
        <f t="shared" si="83"/>
        <v>97.337485402880503</v>
      </c>
      <c r="F219" s="256">
        <v>5781</v>
      </c>
      <c r="G219" s="256">
        <v>137</v>
      </c>
      <c r="H219" s="43">
        <f t="shared" si="84"/>
        <v>4219.7080291970806</v>
      </c>
      <c r="I219" s="256">
        <v>0</v>
      </c>
      <c r="J219" s="256">
        <v>0</v>
      </c>
      <c r="K219" s="43" t="e">
        <f t="shared" si="85"/>
        <v>#DIV/0!</v>
      </c>
      <c r="L219" s="256">
        <v>0</v>
      </c>
      <c r="M219" s="256">
        <v>0</v>
      </c>
      <c r="N219" s="43" t="e">
        <f t="shared" si="86"/>
        <v>#DIV/0!</v>
      </c>
      <c r="O219" s="100">
        <v>13</v>
      </c>
      <c r="P219" s="75">
        <v>61</v>
      </c>
      <c r="Q219" s="162">
        <f>O219*P219</f>
        <v>793</v>
      </c>
    </row>
    <row r="220" spans="1:18" x14ac:dyDescent="0.25">
      <c r="A220" s="277">
        <v>5</v>
      </c>
      <c r="B220" s="266" t="s">
        <v>506</v>
      </c>
      <c r="C220" s="256">
        <v>4917</v>
      </c>
      <c r="D220" s="256">
        <v>4940</v>
      </c>
      <c r="E220" s="43">
        <f t="shared" si="83"/>
        <v>99.534412955465584</v>
      </c>
      <c r="F220" s="256">
        <v>936</v>
      </c>
      <c r="G220" s="256">
        <v>900</v>
      </c>
      <c r="H220" s="43">
        <f t="shared" si="84"/>
        <v>104</v>
      </c>
      <c r="I220" s="256">
        <v>0</v>
      </c>
      <c r="J220" s="256">
        <v>0</v>
      </c>
      <c r="K220" s="43" t="e">
        <f t="shared" si="85"/>
        <v>#DIV/0!</v>
      </c>
      <c r="L220" s="256">
        <v>0</v>
      </c>
      <c r="M220" s="256">
        <v>0</v>
      </c>
      <c r="N220" s="43" t="e">
        <f t="shared" si="86"/>
        <v>#DIV/0!</v>
      </c>
      <c r="O220" s="100">
        <v>11</v>
      </c>
      <c r="P220" s="75">
        <v>78</v>
      </c>
      <c r="Q220" s="162">
        <f>O220*P220</f>
        <v>858</v>
      </c>
    </row>
    <row r="221" spans="1:18" x14ac:dyDescent="0.25">
      <c r="A221" s="277">
        <v>6</v>
      </c>
      <c r="B221" s="266" t="s">
        <v>507</v>
      </c>
      <c r="C221" s="256">
        <v>26200</v>
      </c>
      <c r="D221" s="256">
        <v>24105</v>
      </c>
      <c r="E221" s="43">
        <f t="shared" si="83"/>
        <v>108.69114291640739</v>
      </c>
      <c r="F221" s="256">
        <v>4200</v>
      </c>
      <c r="G221" s="256">
        <v>6975</v>
      </c>
      <c r="H221" s="43">
        <f t="shared" si="84"/>
        <v>60.215053763440864</v>
      </c>
      <c r="I221" s="256">
        <v>991</v>
      </c>
      <c r="J221" s="256">
        <v>24162</v>
      </c>
      <c r="K221" s="43">
        <f t="shared" si="85"/>
        <v>4.1014816654250472</v>
      </c>
      <c r="L221" s="256">
        <v>0</v>
      </c>
      <c r="M221" s="256">
        <v>0</v>
      </c>
      <c r="N221" s="43" t="e">
        <f t="shared" si="86"/>
        <v>#DIV/0!</v>
      </c>
      <c r="O221" s="100">
        <v>21</v>
      </c>
      <c r="P221" s="75">
        <v>147.30000000000001</v>
      </c>
      <c r="Q221" s="162">
        <f>O221*P221</f>
        <v>3093.3</v>
      </c>
    </row>
    <row r="222" spans="1:18" x14ac:dyDescent="0.25">
      <c r="A222" s="277">
        <v>7</v>
      </c>
      <c r="B222" s="266" t="s">
        <v>508</v>
      </c>
      <c r="C222" s="256">
        <v>17566</v>
      </c>
      <c r="D222" s="256">
        <v>2408</v>
      </c>
      <c r="E222" s="43">
        <f t="shared" si="83"/>
        <v>729.48504983388705</v>
      </c>
      <c r="F222" s="256">
        <v>1173</v>
      </c>
      <c r="G222" s="256">
        <v>1195</v>
      </c>
      <c r="H222" s="43">
        <f t="shared" si="84"/>
        <v>98.158995815899587</v>
      </c>
      <c r="I222" s="256">
        <v>17566</v>
      </c>
      <c r="J222" s="256">
        <v>1195</v>
      </c>
      <c r="K222" s="43">
        <f t="shared" si="85"/>
        <v>1469.9581589958159</v>
      </c>
      <c r="L222" s="256">
        <v>17566</v>
      </c>
      <c r="M222" s="256">
        <v>1195</v>
      </c>
      <c r="N222" s="43">
        <f t="shared" si="86"/>
        <v>1469.9581589958159</v>
      </c>
      <c r="O222" s="100">
        <v>8</v>
      </c>
      <c r="P222" s="75">
        <v>71.2</v>
      </c>
      <c r="Q222" s="162"/>
    </row>
    <row r="223" spans="1:18" x14ac:dyDescent="0.25">
      <c r="A223" s="277">
        <v>8</v>
      </c>
      <c r="B223" s="266" t="s">
        <v>509</v>
      </c>
      <c r="C223" s="256">
        <v>845</v>
      </c>
      <c r="D223" s="256">
        <v>1095</v>
      </c>
      <c r="E223" s="43">
        <f t="shared" si="83"/>
        <v>77.168949771689498</v>
      </c>
      <c r="F223" s="256">
        <v>170</v>
      </c>
      <c r="G223" s="256">
        <v>170</v>
      </c>
      <c r="H223" s="43">
        <f t="shared" si="84"/>
        <v>100</v>
      </c>
      <c r="I223" s="256">
        <v>1832</v>
      </c>
      <c r="J223" s="256">
        <v>1717</v>
      </c>
      <c r="K223" s="43">
        <f t="shared" si="85"/>
        <v>106.69772859638904</v>
      </c>
      <c r="L223" s="256">
        <v>0</v>
      </c>
      <c r="M223" s="256">
        <v>0</v>
      </c>
      <c r="N223" s="43" t="e">
        <f t="shared" si="86"/>
        <v>#DIV/0!</v>
      </c>
      <c r="O223" s="100">
        <v>23</v>
      </c>
      <c r="P223" s="75">
        <v>59.3</v>
      </c>
      <c r="Q223" s="157">
        <f>O224*P224</f>
        <v>811.8</v>
      </c>
    </row>
    <row r="224" spans="1:18" x14ac:dyDescent="0.25">
      <c r="A224" s="277">
        <v>9</v>
      </c>
      <c r="B224" s="266" t="s">
        <v>510</v>
      </c>
      <c r="C224" s="256">
        <v>6235</v>
      </c>
      <c r="D224" s="256">
        <v>7089</v>
      </c>
      <c r="E224" s="43">
        <f t="shared" si="83"/>
        <v>87.953166878262095</v>
      </c>
      <c r="F224" s="256">
        <v>1298</v>
      </c>
      <c r="G224" s="256">
        <v>1547</v>
      </c>
      <c r="H224" s="43">
        <f t="shared" si="84"/>
        <v>83.904330963154493</v>
      </c>
      <c r="I224" s="256">
        <v>6235</v>
      </c>
      <c r="J224" s="256">
        <v>7089</v>
      </c>
      <c r="K224" s="43">
        <f t="shared" si="85"/>
        <v>87.953166878262095</v>
      </c>
      <c r="L224" s="256">
        <v>0</v>
      </c>
      <c r="M224" s="256">
        <v>0</v>
      </c>
      <c r="N224" s="43" t="e">
        <f t="shared" si="86"/>
        <v>#DIV/0!</v>
      </c>
      <c r="O224" s="100">
        <v>11</v>
      </c>
      <c r="P224" s="75">
        <v>73.8</v>
      </c>
      <c r="Q224" s="157"/>
    </row>
    <row r="226" spans="1:17" s="339" customFormat="1" ht="16.5" x14ac:dyDescent="0.25">
      <c r="B226" s="418" t="s">
        <v>345</v>
      </c>
      <c r="C226" s="366"/>
    </row>
    <row r="227" spans="1:17" x14ac:dyDescent="0.25">
      <c r="A227" s="1018" t="s">
        <v>368</v>
      </c>
      <c r="B227" s="1018" t="s">
        <v>155</v>
      </c>
      <c r="C227" s="250">
        <f>SUM(C228:C242)</f>
        <v>58620910</v>
      </c>
      <c r="D227" s="250">
        <f>SUM(D228:D242)</f>
        <v>40941046</v>
      </c>
      <c r="E227" s="57">
        <f t="shared" ref="E227" si="87">C227/D227*100</f>
        <v>143.1837134791329</v>
      </c>
      <c r="F227" s="250">
        <f>SUM(F228:F242)</f>
        <v>6732295</v>
      </c>
      <c r="G227" s="250">
        <f>SUM(G228:G242)</f>
        <v>6596314</v>
      </c>
      <c r="H227" s="57">
        <f t="shared" ref="H227" si="88">F227/G227*100</f>
        <v>102.06146948128909</v>
      </c>
      <c r="I227" s="250">
        <f>SUM(I228:I242)</f>
        <v>68783089</v>
      </c>
      <c r="J227" s="250">
        <f>SUM(J228:J242)</f>
        <v>47319031</v>
      </c>
      <c r="K227" s="57">
        <f t="shared" ref="K227" si="89">I227/J227*100</f>
        <v>145.36030756842842</v>
      </c>
      <c r="L227" s="250">
        <f>SUM(L228:L242)</f>
        <v>7944486</v>
      </c>
      <c r="M227" s="250">
        <f>SUM(M228:M242)</f>
        <v>7457505</v>
      </c>
      <c r="N227" s="57">
        <f t="shared" ref="N227" si="90">L227/M227*100</f>
        <v>106.53007943005066</v>
      </c>
      <c r="O227" s="250">
        <f>SUM(O228:O242)</f>
        <v>18854</v>
      </c>
      <c r="P227" s="87">
        <f>Q227/O227</f>
        <v>217.33198260316112</v>
      </c>
      <c r="Q227" s="250">
        <f>SUM(Q228:Q242)</f>
        <v>4097577.1999999997</v>
      </c>
    </row>
    <row r="228" spans="1:17" x14ac:dyDescent="0.25">
      <c r="A228" s="272">
        <v>1</v>
      </c>
      <c r="B228" s="305" t="s">
        <v>319</v>
      </c>
      <c r="C228" s="247">
        <v>25977264</v>
      </c>
      <c r="D228" s="247">
        <v>17077882</v>
      </c>
      <c r="E228" s="43">
        <f t="shared" ref="E228:E242" si="91">C228/D228*100</f>
        <v>152.11057202526638</v>
      </c>
      <c r="F228" s="247">
        <v>1231068</v>
      </c>
      <c r="G228" s="247">
        <v>660468</v>
      </c>
      <c r="H228" s="43">
        <f t="shared" ref="H228:H242" si="92">F228/G228*100</f>
        <v>186.39328476171443</v>
      </c>
      <c r="I228" s="247">
        <v>25977264</v>
      </c>
      <c r="J228" s="247">
        <v>17077882</v>
      </c>
      <c r="K228" s="43">
        <f t="shared" ref="K228:K242" si="93">I228/J228*100</f>
        <v>152.11057202526638</v>
      </c>
      <c r="L228" s="247">
        <v>0</v>
      </c>
      <c r="M228" s="247">
        <v>0</v>
      </c>
      <c r="N228" s="43" t="e">
        <f t="shared" ref="N228:N242" si="94">L228/M228*100</f>
        <v>#DIV/0!</v>
      </c>
      <c r="O228" s="52">
        <v>5299</v>
      </c>
      <c r="P228" s="48">
        <v>230</v>
      </c>
      <c r="Q228" s="72">
        <f t="shared" ref="Q228:Q242" si="95">O228*P228</f>
        <v>1218770</v>
      </c>
    </row>
    <row r="229" spans="1:17" x14ac:dyDescent="0.25">
      <c r="A229" s="272">
        <v>2</v>
      </c>
      <c r="B229" s="305" t="s">
        <v>306</v>
      </c>
      <c r="C229" s="247">
        <v>10543470</v>
      </c>
      <c r="D229" s="247">
        <v>10454887</v>
      </c>
      <c r="E229" s="43">
        <f t="shared" si="91"/>
        <v>100.84728797164426</v>
      </c>
      <c r="F229" s="247">
        <v>1767012</v>
      </c>
      <c r="G229" s="247">
        <v>1705672</v>
      </c>
      <c r="H229" s="43">
        <f t="shared" si="92"/>
        <v>103.59623655661817</v>
      </c>
      <c r="I229" s="247">
        <v>10543470</v>
      </c>
      <c r="J229" s="247">
        <v>10454887</v>
      </c>
      <c r="K229" s="43">
        <f t="shared" si="93"/>
        <v>100.84728797164426</v>
      </c>
      <c r="L229" s="247">
        <v>0</v>
      </c>
      <c r="M229" s="247">
        <v>0</v>
      </c>
      <c r="N229" s="43" t="e">
        <f t="shared" si="94"/>
        <v>#DIV/0!</v>
      </c>
      <c r="O229" s="52">
        <v>1793</v>
      </c>
      <c r="P229" s="48">
        <v>296</v>
      </c>
      <c r="Q229" s="72">
        <f t="shared" si="95"/>
        <v>530728</v>
      </c>
    </row>
    <row r="230" spans="1:17" x14ac:dyDescent="0.25">
      <c r="A230" s="272">
        <v>3</v>
      </c>
      <c r="B230" s="305" t="s">
        <v>307</v>
      </c>
      <c r="C230" s="247">
        <v>14687963</v>
      </c>
      <c r="D230" s="247">
        <v>9650127</v>
      </c>
      <c r="E230" s="43">
        <f t="shared" si="91"/>
        <v>152.20486735563171</v>
      </c>
      <c r="F230" s="247">
        <v>2418558</v>
      </c>
      <c r="G230" s="247">
        <v>3541502</v>
      </c>
      <c r="H230" s="43">
        <f t="shared" si="92"/>
        <v>68.291871640902642</v>
      </c>
      <c r="I230" s="247">
        <v>6743477</v>
      </c>
      <c r="J230" s="247">
        <v>2192622</v>
      </c>
      <c r="K230" s="43">
        <f t="shared" si="93"/>
        <v>307.55310308844844</v>
      </c>
      <c r="L230" s="247">
        <v>7944486</v>
      </c>
      <c r="M230" s="247">
        <v>7457505</v>
      </c>
      <c r="N230" s="43">
        <f t="shared" si="94"/>
        <v>106.53007943005066</v>
      </c>
      <c r="O230" s="52">
        <v>453</v>
      </c>
      <c r="P230" s="48">
        <v>188</v>
      </c>
      <c r="Q230" s="72">
        <f t="shared" si="95"/>
        <v>85164</v>
      </c>
    </row>
    <row r="231" spans="1:17" x14ac:dyDescent="0.25">
      <c r="A231" s="272">
        <v>4</v>
      </c>
      <c r="B231" s="305" t="s">
        <v>308</v>
      </c>
      <c r="C231" s="247">
        <v>2904617</v>
      </c>
      <c r="D231" s="247">
        <v>1752911</v>
      </c>
      <c r="E231" s="43">
        <f t="shared" si="91"/>
        <v>165.70248004604912</v>
      </c>
      <c r="F231" s="247">
        <v>446715</v>
      </c>
      <c r="G231" s="247">
        <v>325774</v>
      </c>
      <c r="H231" s="43">
        <f t="shared" si="92"/>
        <v>137.12420266810733</v>
      </c>
      <c r="I231" s="247">
        <v>3025690</v>
      </c>
      <c r="J231" s="247">
        <v>1789158</v>
      </c>
      <c r="K231" s="43">
        <f t="shared" si="93"/>
        <v>169.11250990689476</v>
      </c>
      <c r="L231" s="247">
        <v>0</v>
      </c>
      <c r="M231" s="247">
        <v>0</v>
      </c>
      <c r="N231" s="43" t="e">
        <f t="shared" si="94"/>
        <v>#DIV/0!</v>
      </c>
      <c r="O231" s="52">
        <v>210</v>
      </c>
      <c r="P231" s="48">
        <v>234</v>
      </c>
      <c r="Q231" s="72">
        <f t="shared" si="95"/>
        <v>49140</v>
      </c>
    </row>
    <row r="232" spans="1:17" x14ac:dyDescent="0.25">
      <c r="A232" s="272">
        <v>5</v>
      </c>
      <c r="B232" s="305" t="s">
        <v>309</v>
      </c>
      <c r="C232" s="247">
        <f>3055574+75484</f>
        <v>3131058</v>
      </c>
      <c r="D232" s="247">
        <f>953503+40891</f>
        <v>994394</v>
      </c>
      <c r="E232" s="43">
        <f t="shared" si="91"/>
        <v>314.87096663897808</v>
      </c>
      <c r="F232" s="247">
        <f>520062+5379</f>
        <v>525441</v>
      </c>
      <c r="G232" s="247">
        <f>136002+2363</f>
        <v>138365</v>
      </c>
      <c r="H232" s="43">
        <f t="shared" si="92"/>
        <v>379.74993676146426</v>
      </c>
      <c r="I232" s="247">
        <f>3055574+75484</f>
        <v>3131058</v>
      </c>
      <c r="J232" s="247">
        <f>953503+40891</f>
        <v>994394</v>
      </c>
      <c r="K232" s="43">
        <f t="shared" si="93"/>
        <v>314.87096663897808</v>
      </c>
      <c r="L232" s="247">
        <v>0</v>
      </c>
      <c r="M232" s="247">
        <v>0</v>
      </c>
      <c r="N232" s="43" t="e">
        <f t="shared" si="94"/>
        <v>#DIV/0!</v>
      </c>
      <c r="O232" s="52">
        <v>832</v>
      </c>
      <c r="P232" s="62">
        <v>170.8</v>
      </c>
      <c r="Q232" s="72">
        <f t="shared" si="95"/>
        <v>142105.60000000001</v>
      </c>
    </row>
    <row r="233" spans="1:17" ht="27" x14ac:dyDescent="0.25">
      <c r="A233" s="272">
        <v>9</v>
      </c>
      <c r="B233" s="306" t="s">
        <v>310</v>
      </c>
      <c r="C233" s="247">
        <v>0</v>
      </c>
      <c r="D233" s="247">
        <v>0</v>
      </c>
      <c r="E233" s="43" t="e">
        <f t="shared" si="91"/>
        <v>#DIV/0!</v>
      </c>
      <c r="F233" s="247">
        <v>0</v>
      </c>
      <c r="G233" s="247">
        <v>0</v>
      </c>
      <c r="H233" s="43" t="e">
        <f t="shared" si="92"/>
        <v>#DIV/0!</v>
      </c>
      <c r="I233" s="247">
        <v>594523</v>
      </c>
      <c r="J233" s="247">
        <v>552408</v>
      </c>
      <c r="K233" s="43">
        <f t="shared" si="93"/>
        <v>107.62389393346947</v>
      </c>
      <c r="L233" s="247">
        <v>0</v>
      </c>
      <c r="M233" s="247">
        <v>0</v>
      </c>
      <c r="N233" s="43" t="e">
        <f t="shared" si="94"/>
        <v>#DIV/0!</v>
      </c>
      <c r="O233" s="52">
        <v>204</v>
      </c>
      <c r="P233" s="48">
        <v>254</v>
      </c>
      <c r="Q233" s="72">
        <f t="shared" si="95"/>
        <v>51816</v>
      </c>
    </row>
    <row r="234" spans="1:17" x14ac:dyDescent="0.25">
      <c r="A234" s="272">
        <v>7</v>
      </c>
      <c r="B234" s="305" t="s">
        <v>311</v>
      </c>
      <c r="C234" s="247">
        <v>0</v>
      </c>
      <c r="D234" s="247">
        <v>0</v>
      </c>
      <c r="E234" s="43" t="e">
        <f t="shared" si="91"/>
        <v>#DIV/0!</v>
      </c>
      <c r="F234" s="247">
        <v>0</v>
      </c>
      <c r="G234" s="247">
        <v>0</v>
      </c>
      <c r="H234" s="43" t="e">
        <f t="shared" si="92"/>
        <v>#DIV/0!</v>
      </c>
      <c r="I234" s="247">
        <v>78582</v>
      </c>
      <c r="J234" s="247">
        <v>53211</v>
      </c>
      <c r="K234" s="43">
        <f t="shared" si="93"/>
        <v>147.6799909793088</v>
      </c>
      <c r="L234" s="247">
        <v>0</v>
      </c>
      <c r="M234" s="247">
        <v>0</v>
      </c>
      <c r="N234" s="43" t="e">
        <f t="shared" si="94"/>
        <v>#DIV/0!</v>
      </c>
      <c r="O234" s="52">
        <v>41</v>
      </c>
      <c r="P234" s="48">
        <v>307</v>
      </c>
      <c r="Q234" s="72">
        <f t="shared" si="95"/>
        <v>12587</v>
      </c>
    </row>
    <row r="235" spans="1:17" x14ac:dyDescent="0.25">
      <c r="A235" s="272">
        <v>8</v>
      </c>
      <c r="B235" s="305" t="s">
        <v>312</v>
      </c>
      <c r="C235" s="247">
        <v>0</v>
      </c>
      <c r="D235" s="247">
        <v>0</v>
      </c>
      <c r="E235" s="43" t="e">
        <f t="shared" si="91"/>
        <v>#DIV/0!</v>
      </c>
      <c r="F235" s="247">
        <v>0</v>
      </c>
      <c r="G235" s="247">
        <v>0</v>
      </c>
      <c r="H235" s="43" t="e">
        <f t="shared" si="92"/>
        <v>#DIV/0!</v>
      </c>
      <c r="I235" s="247">
        <v>69978</v>
      </c>
      <c r="J235" s="247">
        <v>79566</v>
      </c>
      <c r="K235" s="43">
        <f t="shared" si="93"/>
        <v>87.949626724983034</v>
      </c>
      <c r="L235" s="247">
        <v>0</v>
      </c>
      <c r="M235" s="247">
        <v>0</v>
      </c>
      <c r="N235" s="43" t="e">
        <f t="shared" si="94"/>
        <v>#DIV/0!</v>
      </c>
      <c r="O235" s="52">
        <v>61</v>
      </c>
      <c r="P235" s="62">
        <v>203.8</v>
      </c>
      <c r="Q235" s="72">
        <f t="shared" si="95"/>
        <v>12431.800000000001</v>
      </c>
    </row>
    <row r="236" spans="1:17" ht="27" x14ac:dyDescent="0.25">
      <c r="A236" s="272">
        <v>9</v>
      </c>
      <c r="B236" s="306" t="s">
        <v>313</v>
      </c>
      <c r="C236" s="247">
        <v>0</v>
      </c>
      <c r="D236" s="247">
        <v>0</v>
      </c>
      <c r="E236" s="43" t="e">
        <f t="shared" si="91"/>
        <v>#DIV/0!</v>
      </c>
      <c r="F236" s="247">
        <v>0</v>
      </c>
      <c r="G236" s="247">
        <v>0</v>
      </c>
      <c r="H236" s="43" t="e">
        <f t="shared" si="92"/>
        <v>#DIV/0!</v>
      </c>
      <c r="I236" s="247">
        <v>114547</v>
      </c>
      <c r="J236" s="247">
        <v>62980</v>
      </c>
      <c r="K236" s="43">
        <f t="shared" si="93"/>
        <v>181.87837408701176</v>
      </c>
      <c r="L236" s="247">
        <v>0</v>
      </c>
      <c r="M236" s="247">
        <v>0</v>
      </c>
      <c r="N236" s="43" t="e">
        <f t="shared" si="94"/>
        <v>#DIV/0!</v>
      </c>
      <c r="O236" s="52">
        <v>92</v>
      </c>
      <c r="P236" s="48">
        <v>183</v>
      </c>
      <c r="Q236" s="72">
        <f t="shared" si="95"/>
        <v>16836</v>
      </c>
    </row>
    <row r="237" spans="1:17" x14ac:dyDescent="0.25">
      <c r="A237" s="272">
        <v>10</v>
      </c>
      <c r="B237" s="305" t="s">
        <v>314</v>
      </c>
      <c r="C237" s="247">
        <v>0</v>
      </c>
      <c r="D237" s="247">
        <v>0</v>
      </c>
      <c r="E237" s="43" t="e">
        <f t="shared" si="91"/>
        <v>#DIV/0!</v>
      </c>
      <c r="F237" s="247">
        <v>0</v>
      </c>
      <c r="G237" s="247">
        <v>0</v>
      </c>
      <c r="H237" s="43" t="e">
        <f t="shared" si="92"/>
        <v>#DIV/0!</v>
      </c>
      <c r="I237" s="247">
        <v>59401</v>
      </c>
      <c r="J237" s="247">
        <v>77302</v>
      </c>
      <c r="K237" s="43">
        <f t="shared" si="93"/>
        <v>76.84277250265194</v>
      </c>
      <c r="L237" s="247">
        <v>0</v>
      </c>
      <c r="M237" s="247">
        <v>0</v>
      </c>
      <c r="N237" s="43" t="e">
        <f t="shared" si="94"/>
        <v>#DIV/0!</v>
      </c>
      <c r="O237" s="52">
        <v>82</v>
      </c>
      <c r="P237" s="62">
        <v>161.4</v>
      </c>
      <c r="Q237" s="72">
        <f t="shared" si="95"/>
        <v>13234.800000000001</v>
      </c>
    </row>
    <row r="238" spans="1:17" x14ac:dyDescent="0.25">
      <c r="A238" s="272">
        <v>11</v>
      </c>
      <c r="B238" s="305" t="s">
        <v>315</v>
      </c>
      <c r="C238" s="247">
        <v>0</v>
      </c>
      <c r="D238" s="247">
        <v>0</v>
      </c>
      <c r="E238" s="43" t="e">
        <f t="shared" si="91"/>
        <v>#DIV/0!</v>
      </c>
      <c r="F238" s="247">
        <v>0</v>
      </c>
      <c r="G238" s="247">
        <v>0</v>
      </c>
      <c r="H238" s="43" t="e">
        <f t="shared" si="92"/>
        <v>#DIV/0!</v>
      </c>
      <c r="I238" s="247">
        <v>42939</v>
      </c>
      <c r="J238" s="247">
        <v>47003</v>
      </c>
      <c r="K238" s="43">
        <f t="shared" si="93"/>
        <v>91.353743378082257</v>
      </c>
      <c r="L238" s="247">
        <v>0</v>
      </c>
      <c r="M238" s="247">
        <v>0</v>
      </c>
      <c r="N238" s="43" t="e">
        <f t="shared" si="94"/>
        <v>#DIV/0!</v>
      </c>
      <c r="O238" s="52">
        <v>21</v>
      </c>
      <c r="P238" s="48">
        <v>281</v>
      </c>
      <c r="Q238" s="72">
        <f t="shared" si="95"/>
        <v>5901</v>
      </c>
    </row>
    <row r="239" spans="1:17" ht="17.25" customHeight="1" x14ac:dyDescent="0.25">
      <c r="A239" s="272">
        <v>12</v>
      </c>
      <c r="B239" s="306" t="s">
        <v>316</v>
      </c>
      <c r="C239" s="247">
        <v>0</v>
      </c>
      <c r="D239" s="247">
        <v>0</v>
      </c>
      <c r="E239" s="43" t="e">
        <f t="shared" si="91"/>
        <v>#DIV/0!</v>
      </c>
      <c r="F239" s="247">
        <v>0</v>
      </c>
      <c r="G239" s="247">
        <v>0</v>
      </c>
      <c r="H239" s="43" t="e">
        <f t="shared" si="92"/>
        <v>#DIV/0!</v>
      </c>
      <c r="I239" s="247">
        <v>15526025</v>
      </c>
      <c r="J239" s="247">
        <v>11767178</v>
      </c>
      <c r="K239" s="43">
        <f t="shared" si="93"/>
        <v>131.9434872150315</v>
      </c>
      <c r="L239" s="247">
        <v>0</v>
      </c>
      <c r="M239" s="247">
        <v>0</v>
      </c>
      <c r="N239" s="43" t="e">
        <f t="shared" si="94"/>
        <v>#DIV/0!</v>
      </c>
      <c r="O239" s="52">
        <v>7830</v>
      </c>
      <c r="P239" s="48">
        <v>206</v>
      </c>
      <c r="Q239" s="72">
        <f t="shared" si="95"/>
        <v>1612980</v>
      </c>
    </row>
    <row r="240" spans="1:17" ht="27" x14ac:dyDescent="0.25">
      <c r="A240" s="272">
        <v>13</v>
      </c>
      <c r="B240" s="306" t="s">
        <v>317</v>
      </c>
      <c r="C240" s="247">
        <v>1364531</v>
      </c>
      <c r="D240" s="247">
        <v>1002829</v>
      </c>
      <c r="E240" s="43">
        <f t="shared" si="91"/>
        <v>136.06816316640226</v>
      </c>
      <c r="F240" s="247">
        <v>343161</v>
      </c>
      <c r="G240" s="247">
        <v>224247</v>
      </c>
      <c r="H240" s="43">
        <f t="shared" si="92"/>
        <v>153.02813415564088</v>
      </c>
      <c r="I240" s="247">
        <v>1364531</v>
      </c>
      <c r="J240" s="247">
        <v>1002829</v>
      </c>
      <c r="K240" s="43">
        <f t="shared" si="93"/>
        <v>136.06816316640226</v>
      </c>
      <c r="L240" s="247">
        <v>0</v>
      </c>
      <c r="M240" s="247">
        <v>0</v>
      </c>
      <c r="N240" s="43" t="e">
        <f t="shared" si="94"/>
        <v>#DIV/0!</v>
      </c>
      <c r="O240" s="52">
        <v>461</v>
      </c>
      <c r="P240" s="48">
        <v>186</v>
      </c>
      <c r="Q240" s="72">
        <f t="shared" si="95"/>
        <v>85746</v>
      </c>
    </row>
    <row r="241" spans="1:17" x14ac:dyDescent="0.25">
      <c r="A241" s="272">
        <v>14</v>
      </c>
      <c r="B241" s="305" t="s">
        <v>318</v>
      </c>
      <c r="C241" s="247">
        <v>12007</v>
      </c>
      <c r="D241" s="247">
        <v>8016</v>
      </c>
      <c r="E241" s="43">
        <f t="shared" si="91"/>
        <v>149.78792415169661</v>
      </c>
      <c r="F241" s="247">
        <v>340</v>
      </c>
      <c r="G241" s="247">
        <v>286</v>
      </c>
      <c r="H241" s="43">
        <f t="shared" si="92"/>
        <v>118.88111888111888</v>
      </c>
      <c r="I241" s="247">
        <v>12007</v>
      </c>
      <c r="J241" s="247">
        <v>8016</v>
      </c>
      <c r="K241" s="43">
        <f t="shared" si="93"/>
        <v>149.78792415169661</v>
      </c>
      <c r="L241" s="247">
        <v>0</v>
      </c>
      <c r="M241" s="247">
        <v>0</v>
      </c>
      <c r="N241" s="43" t="e">
        <f t="shared" si="94"/>
        <v>#DIV/0!</v>
      </c>
      <c r="O241" s="52">
        <v>679</v>
      </c>
      <c r="P241" s="48">
        <v>151</v>
      </c>
      <c r="Q241" s="72">
        <f t="shared" si="95"/>
        <v>102529</v>
      </c>
    </row>
    <row r="242" spans="1:17" x14ac:dyDescent="0.25">
      <c r="A242" s="272">
        <v>15</v>
      </c>
      <c r="B242" s="305" t="s">
        <v>320</v>
      </c>
      <c r="C242" s="247">
        <v>0</v>
      </c>
      <c r="D242" s="247">
        <v>0</v>
      </c>
      <c r="E242" s="43" t="e">
        <f t="shared" si="91"/>
        <v>#DIV/0!</v>
      </c>
      <c r="F242" s="247">
        <v>0</v>
      </c>
      <c r="G242" s="247">
        <v>0</v>
      </c>
      <c r="H242" s="43" t="e">
        <f t="shared" si="92"/>
        <v>#DIV/0!</v>
      </c>
      <c r="I242" s="247">
        <v>1499597</v>
      </c>
      <c r="J242" s="247">
        <v>1159595</v>
      </c>
      <c r="K242" s="43">
        <f t="shared" si="93"/>
        <v>129.32075422884714</v>
      </c>
      <c r="L242" s="247">
        <v>0</v>
      </c>
      <c r="M242" s="247">
        <v>0</v>
      </c>
      <c r="N242" s="43" t="e">
        <f t="shared" si="94"/>
        <v>#DIV/0!</v>
      </c>
      <c r="O242" s="52">
        <v>796</v>
      </c>
      <c r="P242" s="48">
        <v>198</v>
      </c>
      <c r="Q242" s="72">
        <f t="shared" si="95"/>
        <v>157608</v>
      </c>
    </row>
    <row r="244" spans="1:17" s="308" customFormat="1" ht="16.5" x14ac:dyDescent="0.3">
      <c r="A244" s="1019" t="s">
        <v>346</v>
      </c>
      <c r="B244" s="1019"/>
      <c r="C244" s="311"/>
      <c r="D244" s="311"/>
      <c r="E244" s="311"/>
      <c r="F244" s="311"/>
      <c r="G244" s="311"/>
      <c r="H244" s="311"/>
      <c r="I244" s="311"/>
      <c r="J244" s="311"/>
      <c r="K244" s="311"/>
      <c r="L244" s="311"/>
      <c r="M244" s="311"/>
      <c r="N244" s="311"/>
      <c r="O244" s="311"/>
      <c r="P244" s="311"/>
    </row>
    <row r="245" spans="1:17" ht="16.5" x14ac:dyDescent="0.3">
      <c r="A245" s="998" t="s">
        <v>344</v>
      </c>
      <c r="B245" s="999"/>
      <c r="C245" s="312">
        <f>SUM(C246:C250)</f>
        <v>956553</v>
      </c>
      <c r="D245" s="312">
        <f>SUM(D246:D250)</f>
        <v>956553</v>
      </c>
      <c r="E245" s="364">
        <f>C245/D245*100</f>
        <v>100</v>
      </c>
      <c r="F245" s="312">
        <f>SUM(F246:F250)</f>
        <v>184061.1</v>
      </c>
      <c r="G245" s="312">
        <f>SUM(G246:G250)</f>
        <v>175478</v>
      </c>
      <c r="H245" s="364">
        <f>F245/G245*100</f>
        <v>104.89126842111263</v>
      </c>
      <c r="I245" s="312">
        <f>SUM(I246:I250)</f>
        <v>956553</v>
      </c>
      <c r="J245" s="312">
        <f>SUM(J246:J250)</f>
        <v>892355</v>
      </c>
      <c r="K245" s="364">
        <f>I245/J245*100</f>
        <v>107.19422203046993</v>
      </c>
      <c r="L245" s="312">
        <f>SUM(L246:L250)</f>
        <v>155424</v>
      </c>
      <c r="M245" s="312">
        <f>SUM(M246:M250)</f>
        <v>177637</v>
      </c>
      <c r="N245" s="364">
        <f>L245/M245*100</f>
        <v>87.495285329069958</v>
      </c>
      <c r="O245" s="312">
        <f>SUM(O246:O250)</f>
        <v>1292</v>
      </c>
      <c r="P245" s="364">
        <f>Q245/O245</f>
        <v>82.421904024767784</v>
      </c>
      <c r="Q245" s="365">
        <f>SUM(Q246:Q250)</f>
        <v>106489.09999999998</v>
      </c>
    </row>
    <row r="246" spans="1:17" x14ac:dyDescent="0.25">
      <c r="A246" s="307">
        <v>1</v>
      </c>
      <c r="B246" s="309" t="s">
        <v>331</v>
      </c>
      <c r="C246" s="322">
        <v>41500</v>
      </c>
      <c r="D246" s="322">
        <v>41500</v>
      </c>
      <c r="E246" s="43">
        <f t="shared" ref="E246" si="96">C246/D246*100</f>
        <v>100</v>
      </c>
      <c r="F246" s="322">
        <v>8400</v>
      </c>
      <c r="G246" s="322">
        <v>8800</v>
      </c>
      <c r="H246" s="323">
        <f>F246/G246*100</f>
        <v>95.454545454545453</v>
      </c>
      <c r="I246" s="322">
        <v>41500</v>
      </c>
      <c r="J246" s="322">
        <v>41800</v>
      </c>
      <c r="K246" s="323">
        <f>I246/J246*100</f>
        <v>99.282296650717711</v>
      </c>
      <c r="L246" s="322">
        <v>0</v>
      </c>
      <c r="M246" s="322">
        <v>0</v>
      </c>
      <c r="N246" s="323" t="e">
        <f>L246/M246*100</f>
        <v>#DIV/0!</v>
      </c>
      <c r="O246" s="324">
        <v>34</v>
      </c>
      <c r="P246" s="324">
        <v>84.9</v>
      </c>
      <c r="Q246" s="72">
        <f>O246*P246</f>
        <v>2886.6000000000004</v>
      </c>
    </row>
    <row r="247" spans="1:17" x14ac:dyDescent="0.25">
      <c r="A247" s="307">
        <v>2</v>
      </c>
      <c r="B247" s="309" t="s">
        <v>332</v>
      </c>
      <c r="C247" s="322">
        <v>104456</v>
      </c>
      <c r="D247" s="322">
        <v>104456</v>
      </c>
      <c r="E247" s="323">
        <f t="shared" ref="E247:E250" si="97">C247/D247*100</f>
        <v>100</v>
      </c>
      <c r="F247" s="322">
        <v>20091.099999999999</v>
      </c>
      <c r="G247" s="322">
        <v>21091</v>
      </c>
      <c r="H247" s="323">
        <f t="shared" ref="H247:H250" si="98">F247/G247*100</f>
        <v>95.259115262434207</v>
      </c>
      <c r="I247" s="322">
        <v>104456</v>
      </c>
      <c r="J247" s="322">
        <v>106784</v>
      </c>
      <c r="K247" s="323">
        <f t="shared" ref="K247:K250" si="99">I247/J247*100</f>
        <v>97.819898112076714</v>
      </c>
      <c r="L247" s="322">
        <v>0</v>
      </c>
      <c r="M247" s="322">
        <v>0</v>
      </c>
      <c r="N247" s="323" t="e">
        <f t="shared" ref="N247:N250" si="100">L247/M247*100</f>
        <v>#DIV/0!</v>
      </c>
      <c r="O247" s="324">
        <v>208</v>
      </c>
      <c r="P247" s="325">
        <v>65.099999999999994</v>
      </c>
      <c r="Q247" s="72">
        <f>O247*P247</f>
        <v>13540.8</v>
      </c>
    </row>
    <row r="248" spans="1:17" ht="27" x14ac:dyDescent="0.25">
      <c r="A248" s="307">
        <v>3</v>
      </c>
      <c r="B248" s="309" t="s">
        <v>333</v>
      </c>
      <c r="C248" s="322">
        <v>664892</v>
      </c>
      <c r="D248" s="322">
        <v>664892</v>
      </c>
      <c r="E248" s="323">
        <f t="shared" si="97"/>
        <v>100</v>
      </c>
      <c r="F248" s="322">
        <v>127936</v>
      </c>
      <c r="G248" s="322">
        <v>139094</v>
      </c>
      <c r="H248" s="323">
        <f t="shared" si="98"/>
        <v>91.978086761470649</v>
      </c>
      <c r="I248" s="322">
        <v>664892</v>
      </c>
      <c r="J248" s="322">
        <v>711256</v>
      </c>
      <c r="K248" s="323">
        <f t="shared" si="99"/>
        <v>93.481390666651663</v>
      </c>
      <c r="L248" s="322">
        <v>155424</v>
      </c>
      <c r="M248" s="322">
        <v>177637</v>
      </c>
      <c r="N248" s="323">
        <f t="shared" si="100"/>
        <v>87.495285329069958</v>
      </c>
      <c r="O248" s="324">
        <v>774</v>
      </c>
      <c r="P248" s="325">
        <v>83.1</v>
      </c>
      <c r="Q248" s="72">
        <f>O248*P248</f>
        <v>64319.399999999994</v>
      </c>
    </row>
    <row r="249" spans="1:17" x14ac:dyDescent="0.25">
      <c r="A249" s="307">
        <v>4</v>
      </c>
      <c r="B249" s="310" t="s">
        <v>334</v>
      </c>
      <c r="C249" s="322">
        <v>145705</v>
      </c>
      <c r="D249" s="322">
        <v>145705</v>
      </c>
      <c r="E249" s="323">
        <f t="shared" si="97"/>
        <v>100</v>
      </c>
      <c r="F249" s="322">
        <v>27634</v>
      </c>
      <c r="G249" s="322">
        <v>6493</v>
      </c>
      <c r="H249" s="323">
        <f t="shared" si="98"/>
        <v>425.59679655013093</v>
      </c>
      <c r="I249" s="322">
        <v>145705</v>
      </c>
      <c r="J249" s="322">
        <v>32515</v>
      </c>
      <c r="K249" s="323">
        <f t="shared" si="99"/>
        <v>448.11625403659849</v>
      </c>
      <c r="L249" s="322">
        <v>0</v>
      </c>
      <c r="M249" s="322">
        <v>0</v>
      </c>
      <c r="N249" s="323" t="e">
        <f t="shared" si="100"/>
        <v>#DIV/0!</v>
      </c>
      <c r="O249" s="324">
        <v>263</v>
      </c>
      <c r="P249" s="325">
        <v>88.3</v>
      </c>
      <c r="Q249" s="72">
        <f>O249*P249</f>
        <v>23222.899999999998</v>
      </c>
    </row>
    <row r="250" spans="1:17" ht="27" x14ac:dyDescent="0.25">
      <c r="A250" s="307">
        <v>5</v>
      </c>
      <c r="B250" s="309" t="s">
        <v>335</v>
      </c>
      <c r="C250" s="322">
        <v>0</v>
      </c>
      <c r="D250" s="322">
        <v>0</v>
      </c>
      <c r="E250" s="323" t="e">
        <f t="shared" si="97"/>
        <v>#DIV/0!</v>
      </c>
      <c r="F250" s="322">
        <v>0</v>
      </c>
      <c r="G250" s="322">
        <v>0</v>
      </c>
      <c r="H250" s="323" t="e">
        <f t="shared" si="98"/>
        <v>#DIV/0!</v>
      </c>
      <c r="I250" s="322">
        <v>0</v>
      </c>
      <c r="J250" s="322">
        <v>0</v>
      </c>
      <c r="K250" s="323" t="e">
        <f t="shared" si="99"/>
        <v>#DIV/0!</v>
      </c>
      <c r="L250" s="322">
        <v>0</v>
      </c>
      <c r="M250" s="322">
        <v>0</v>
      </c>
      <c r="N250" s="323" t="e">
        <f t="shared" si="100"/>
        <v>#DIV/0!</v>
      </c>
      <c r="O250" s="326">
        <v>13</v>
      </c>
      <c r="P250" s="327">
        <v>193.8</v>
      </c>
      <c r="Q250" s="72">
        <f>O250*P250</f>
        <v>2519.4</v>
      </c>
    </row>
  </sheetData>
  <mergeCells count="43">
    <mergeCell ref="A227:B227"/>
    <mergeCell ref="A244:B244"/>
    <mergeCell ref="N4:N8"/>
    <mergeCell ref="A1:P2"/>
    <mergeCell ref="A3:A8"/>
    <mergeCell ref="B3:B8"/>
    <mergeCell ref="C3:H3"/>
    <mergeCell ref="I3:K3"/>
    <mergeCell ref="L3:N3"/>
    <mergeCell ref="O3:O8"/>
    <mergeCell ref="P3:P8"/>
    <mergeCell ref="C4:C8"/>
    <mergeCell ref="I4:I8"/>
    <mergeCell ref="J4:J8"/>
    <mergeCell ref="K4:K8"/>
    <mergeCell ref="L4:L8"/>
    <mergeCell ref="M4:M8"/>
    <mergeCell ref="D4:D8"/>
    <mergeCell ref="E4:E8"/>
    <mergeCell ref="F4:F8"/>
    <mergeCell ref="G4:G8"/>
    <mergeCell ref="H4:H8"/>
    <mergeCell ref="O31:O32"/>
    <mergeCell ref="A31:A32"/>
    <mergeCell ref="B31:B32"/>
    <mergeCell ref="C31:G31"/>
    <mergeCell ref="H31:K31"/>
    <mergeCell ref="A245:B245"/>
    <mergeCell ref="A29:P30"/>
    <mergeCell ref="A199:B199"/>
    <mergeCell ref="A208:B208"/>
    <mergeCell ref="A181:B181"/>
    <mergeCell ref="A156:B156"/>
    <mergeCell ref="A155:B155"/>
    <mergeCell ref="A176:B176"/>
    <mergeCell ref="A140:B140"/>
    <mergeCell ref="A129:B129"/>
    <mergeCell ref="A150:B150"/>
    <mergeCell ref="A130:B130"/>
    <mergeCell ref="P31:P32"/>
    <mergeCell ref="A35:B35"/>
    <mergeCell ref="A36:B36"/>
    <mergeCell ref="A56:B56"/>
  </mergeCells>
  <pageMargins left="0" right="0" top="0" bottom="0" header="0" footer="0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7"/>
  <sheetViews>
    <sheetView topLeftCell="A192" zoomScaleNormal="100" workbookViewId="0">
      <selection activeCell="B269" sqref="B269"/>
    </sheetView>
  </sheetViews>
  <sheetFormatPr defaultColWidth="11.28515625" defaultRowHeight="15" x14ac:dyDescent="0.25"/>
  <cols>
    <col min="1" max="1" width="3.42578125" customWidth="1"/>
    <col min="2" max="2" width="38.28515625" customWidth="1"/>
    <col min="3" max="3" width="12.28515625" customWidth="1"/>
    <col min="4" max="4" width="12.5703125" customWidth="1"/>
    <col min="5" max="5" width="8.5703125" customWidth="1"/>
    <col min="6" max="6" width="11" customWidth="1"/>
    <col min="7" max="7" width="11.7109375" customWidth="1"/>
    <col min="8" max="8" width="8" customWidth="1"/>
    <col min="9" max="9" width="12.140625" customWidth="1"/>
    <col min="10" max="10" width="12.5703125" customWidth="1"/>
    <col min="11" max="11" width="8" customWidth="1"/>
    <col min="12" max="12" width="12.140625" customWidth="1"/>
    <col min="13" max="13" width="12.5703125" customWidth="1"/>
    <col min="14" max="14" width="8.140625" customWidth="1"/>
    <col min="15" max="15" width="8.85546875" customWidth="1"/>
    <col min="16" max="16" width="8" customWidth="1"/>
    <col min="17" max="17" width="11.28515625" style="1"/>
  </cols>
  <sheetData>
    <row r="1" spans="1:17" s="314" customFormat="1" ht="16.5" x14ac:dyDescent="0.3">
      <c r="A1" s="1051" t="s">
        <v>525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  <c r="O1" s="1051"/>
      <c r="P1" s="1051"/>
      <c r="Q1" s="315"/>
    </row>
    <row r="2" spans="1:17" s="314" customFormat="1" ht="36" customHeight="1" thickBot="1" x14ac:dyDescent="0.35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  <c r="O2" s="1051"/>
      <c r="P2" s="1051"/>
      <c r="Q2" s="315"/>
    </row>
    <row r="3" spans="1:17" s="314" customFormat="1" ht="16.5" customHeight="1" x14ac:dyDescent="0.3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  <c r="O3" s="1058" t="s">
        <v>324</v>
      </c>
      <c r="P3" s="1030" t="s">
        <v>329</v>
      </c>
      <c r="Q3" s="319"/>
    </row>
    <row r="4" spans="1:17" s="314" customFormat="1" ht="16.5" customHeight="1" x14ac:dyDescent="0.3">
      <c r="A4" s="1021"/>
      <c r="B4" s="1013"/>
      <c r="C4" s="1045" t="s">
        <v>302</v>
      </c>
      <c r="D4" s="1045" t="s">
        <v>303</v>
      </c>
      <c r="E4" s="1048" t="s">
        <v>545</v>
      </c>
      <c r="F4" s="1045" t="s">
        <v>304</v>
      </c>
      <c r="G4" s="1045" t="s">
        <v>305</v>
      </c>
      <c r="H4" s="1048" t="s">
        <v>545</v>
      </c>
      <c r="I4" s="1045" t="s">
        <v>302</v>
      </c>
      <c r="J4" s="1045" t="s">
        <v>303</v>
      </c>
      <c r="K4" s="1048" t="s">
        <v>545</v>
      </c>
      <c r="L4" s="1045" t="s">
        <v>302</v>
      </c>
      <c r="M4" s="1045" t="s">
        <v>303</v>
      </c>
      <c r="N4" s="1048" t="s">
        <v>545</v>
      </c>
      <c r="O4" s="1046"/>
      <c r="P4" s="1031"/>
      <c r="Q4" s="319"/>
    </row>
    <row r="5" spans="1:17" s="314" customFormat="1" ht="16.5" x14ac:dyDescent="0.3">
      <c r="A5" s="1021"/>
      <c r="B5" s="1013"/>
      <c r="C5" s="1046"/>
      <c r="D5" s="1046"/>
      <c r="E5" s="1049"/>
      <c r="F5" s="1046"/>
      <c r="G5" s="1046"/>
      <c r="H5" s="1049"/>
      <c r="I5" s="1046"/>
      <c r="J5" s="1046"/>
      <c r="K5" s="1049"/>
      <c r="L5" s="1046"/>
      <c r="M5" s="1046"/>
      <c r="N5" s="1049"/>
      <c r="O5" s="1046"/>
      <c r="P5" s="1031"/>
      <c r="Q5" s="319"/>
    </row>
    <row r="6" spans="1:17" s="314" customFormat="1" ht="16.5" x14ac:dyDescent="0.3">
      <c r="A6" s="1021"/>
      <c r="B6" s="1013"/>
      <c r="C6" s="1046"/>
      <c r="D6" s="1046"/>
      <c r="E6" s="1049"/>
      <c r="F6" s="1046"/>
      <c r="G6" s="1046"/>
      <c r="H6" s="1049"/>
      <c r="I6" s="1046"/>
      <c r="J6" s="1046"/>
      <c r="K6" s="1049"/>
      <c r="L6" s="1046"/>
      <c r="M6" s="1046"/>
      <c r="N6" s="1049"/>
      <c r="O6" s="1046"/>
      <c r="P6" s="1031"/>
      <c r="Q6" s="319"/>
    </row>
    <row r="7" spans="1:17" s="314" customFormat="1" ht="16.5" x14ac:dyDescent="0.3">
      <c r="A7" s="1021"/>
      <c r="B7" s="1013"/>
      <c r="C7" s="1046"/>
      <c r="D7" s="1046"/>
      <c r="E7" s="1049"/>
      <c r="F7" s="1046"/>
      <c r="G7" s="1046"/>
      <c r="H7" s="1049"/>
      <c r="I7" s="1046"/>
      <c r="J7" s="1046"/>
      <c r="K7" s="1049"/>
      <c r="L7" s="1046"/>
      <c r="M7" s="1046"/>
      <c r="N7" s="1049"/>
      <c r="O7" s="1046"/>
      <c r="P7" s="1031"/>
      <c r="Q7" s="319"/>
    </row>
    <row r="8" spans="1:17" s="314" customFormat="1" ht="25.5" customHeight="1" thickBot="1" x14ac:dyDescent="0.35">
      <c r="A8" s="1022"/>
      <c r="B8" s="1014"/>
      <c r="C8" s="1047"/>
      <c r="D8" s="1047"/>
      <c r="E8" s="1050"/>
      <c r="F8" s="1047"/>
      <c r="G8" s="1047"/>
      <c r="H8" s="1050"/>
      <c r="I8" s="1047"/>
      <c r="J8" s="1047"/>
      <c r="K8" s="1050"/>
      <c r="L8" s="1047"/>
      <c r="M8" s="1047"/>
      <c r="N8" s="1050"/>
      <c r="O8" s="1047"/>
      <c r="P8" s="1032"/>
      <c r="Q8" s="319"/>
    </row>
    <row r="9" spans="1:17" s="314" customFormat="1" ht="17.25" thickBot="1" x14ac:dyDescent="0.35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  <c r="O9" s="317">
        <v>15</v>
      </c>
      <c r="P9" s="336">
        <v>16</v>
      </c>
      <c r="Q9" s="319"/>
    </row>
    <row r="10" spans="1:17" s="321" customFormat="1" ht="34.5" x14ac:dyDescent="0.3">
      <c r="A10" s="456"/>
      <c r="B10" s="395" t="s">
        <v>348</v>
      </c>
      <c r="C10" s="396">
        <f>C11+C25</f>
        <v>375.556443</v>
      </c>
      <c r="D10" s="396">
        <f>D11+D25</f>
        <v>345.83975499999997</v>
      </c>
      <c r="E10" s="397">
        <f>C10/D10*100</f>
        <v>108.59261769948918</v>
      </c>
      <c r="F10" s="396">
        <f>F11+F25</f>
        <v>66.000148999999993</v>
      </c>
      <c r="G10" s="396">
        <f>G11+G25</f>
        <v>61.474004000000001</v>
      </c>
      <c r="H10" s="397">
        <f>F10/G10*100</f>
        <v>107.36269757213147</v>
      </c>
      <c r="I10" s="396">
        <f>I11+I25</f>
        <v>374.36928400000005</v>
      </c>
      <c r="J10" s="396">
        <f>J11+J25</f>
        <v>340.01070100000004</v>
      </c>
      <c r="K10" s="397">
        <f>I10/J10*100</f>
        <v>110.10514754357688</v>
      </c>
      <c r="L10" s="396">
        <f>L11+L25</f>
        <v>196.50820199999998</v>
      </c>
      <c r="M10" s="396">
        <f>M11+M25</f>
        <v>191.356877</v>
      </c>
      <c r="N10" s="397">
        <f>L10/M10*100</f>
        <v>102.69199888750273</v>
      </c>
      <c r="O10" s="398">
        <f>O11+O25</f>
        <v>49499</v>
      </c>
      <c r="P10" s="399">
        <f>Q10/O10</f>
        <v>162.26893472595407</v>
      </c>
      <c r="Q10" s="320">
        <f>Q11+Q25</f>
        <v>8032150</v>
      </c>
    </row>
    <row r="11" spans="1:17" ht="34.5" x14ac:dyDescent="0.25">
      <c r="A11" s="222">
        <v>1</v>
      </c>
      <c r="B11" s="373" t="s">
        <v>362</v>
      </c>
      <c r="C11" s="374">
        <f>C12+C13</f>
        <v>298.19496900000001</v>
      </c>
      <c r="D11" s="374">
        <f>D12+D13</f>
        <v>289.24836699999997</v>
      </c>
      <c r="E11" s="374">
        <f>C11/D11*100</f>
        <v>103.09305186155125</v>
      </c>
      <c r="F11" s="374">
        <f>F12+F13</f>
        <v>56.982765999999998</v>
      </c>
      <c r="G11" s="374">
        <f>G12+G13</f>
        <v>50.191954000000003</v>
      </c>
      <c r="H11" s="374">
        <f>F11/G11*100</f>
        <v>113.52968246663598</v>
      </c>
      <c r="I11" s="374">
        <f>I12+I13</f>
        <v>282.17451700000004</v>
      </c>
      <c r="J11" s="374">
        <f>J12+J13</f>
        <v>274.39899500000001</v>
      </c>
      <c r="K11" s="374">
        <f>I11/J11*100</f>
        <v>102.83365542209803</v>
      </c>
      <c r="L11" s="374">
        <f>L12+L13</f>
        <v>188.34169599999998</v>
      </c>
      <c r="M11" s="374">
        <f>M12+M13</f>
        <v>182.328622</v>
      </c>
      <c r="N11" s="374">
        <f>L11/M11*100</f>
        <v>103.29793201640058</v>
      </c>
      <c r="O11" s="402">
        <f>O12+O13</f>
        <v>30684</v>
      </c>
      <c r="P11" s="403">
        <f>Q11/O11</f>
        <v>126.41480902098813</v>
      </c>
      <c r="Q11" s="313">
        <f>Q12+Q13</f>
        <v>3878912</v>
      </c>
    </row>
    <row r="12" spans="1:17" ht="39" customHeight="1" thickBot="1" x14ac:dyDescent="0.3">
      <c r="A12" s="476">
        <v>1.1000000000000001</v>
      </c>
      <c r="B12" s="400" t="s">
        <v>527</v>
      </c>
      <c r="C12" s="390">
        <f>C131/1000000</f>
        <v>85.445582999999999</v>
      </c>
      <c r="D12" s="390">
        <f>D131/1000000</f>
        <v>90.525059999999996</v>
      </c>
      <c r="E12" s="390">
        <f>E131</f>
        <v>94.38887198749164</v>
      </c>
      <c r="F12" s="390">
        <f>F131/1000000</f>
        <v>14.070005999999999</v>
      </c>
      <c r="G12" s="390">
        <f>G131/1000000</f>
        <v>16.759498000000001</v>
      </c>
      <c r="H12" s="391">
        <f>H131</f>
        <v>83.952431033435488</v>
      </c>
      <c r="I12" s="390">
        <f>I131/1000000</f>
        <v>82.525434000000004</v>
      </c>
      <c r="J12" s="390">
        <f>J131/1000000</f>
        <v>81.815921000000003</v>
      </c>
      <c r="K12" s="391">
        <f>K131</f>
        <v>100.86720651839877</v>
      </c>
      <c r="L12" s="390">
        <f>L131/1000000</f>
        <v>52.579107</v>
      </c>
      <c r="M12" s="390">
        <f>M131/1000000</f>
        <v>50.117137</v>
      </c>
      <c r="N12" s="392">
        <f>N131</f>
        <v>104.91243145034402</v>
      </c>
      <c r="O12" s="393">
        <f>O131</f>
        <v>6462</v>
      </c>
      <c r="P12" s="393">
        <f>P131</f>
        <v>168.6485608170845</v>
      </c>
      <c r="Q12" s="12">
        <f>Q131</f>
        <v>1089807</v>
      </c>
    </row>
    <row r="13" spans="1:17" ht="34.5" customHeight="1" x14ac:dyDescent="0.25">
      <c r="A13" s="353">
        <v>1.2</v>
      </c>
      <c r="B13" s="401" t="s">
        <v>350</v>
      </c>
      <c r="C13" s="379">
        <f>SUM(C14:C24)</f>
        <v>212.74938599999999</v>
      </c>
      <c r="D13" s="379">
        <f>SUM(D14:D24)</f>
        <v>198.72330699999998</v>
      </c>
      <c r="E13" s="380">
        <f t="shared" ref="E13" si="0">C13/D13*100</f>
        <v>107.05809459984481</v>
      </c>
      <c r="F13" s="379">
        <f>SUM(F14:F24)</f>
        <v>42.912759999999999</v>
      </c>
      <c r="G13" s="379">
        <f>SUM(G14:G24)</f>
        <v>33.432456000000002</v>
      </c>
      <c r="H13" s="380">
        <f t="shared" ref="H13" si="1">F13/G13*100</f>
        <v>128.35658857967238</v>
      </c>
      <c r="I13" s="379">
        <f>SUM(I14:I24)</f>
        <v>199.64908300000002</v>
      </c>
      <c r="J13" s="379">
        <f>SUM(J14:J24)</f>
        <v>192.58307400000001</v>
      </c>
      <c r="K13" s="380">
        <f t="shared" ref="K13" si="2">I13/J13*100</f>
        <v>103.66907062663253</v>
      </c>
      <c r="L13" s="379">
        <f>SUM(L14:L24)</f>
        <v>135.76258899999999</v>
      </c>
      <c r="M13" s="379">
        <f>SUM(M14:M24)</f>
        <v>132.21148500000001</v>
      </c>
      <c r="N13" s="380">
        <f t="shared" ref="N13" si="3">L13/M13*100</f>
        <v>102.68592702063665</v>
      </c>
      <c r="O13" s="381">
        <f>SUM(O14:O24)</f>
        <v>24222</v>
      </c>
      <c r="P13" s="382">
        <f>Q13/O13</f>
        <v>115.14759309718438</v>
      </c>
      <c r="Q13" s="378">
        <f>SUM(Q14:Q24)</f>
        <v>2789105</v>
      </c>
    </row>
    <row r="14" spans="1:17" ht="27" customHeight="1" x14ac:dyDescent="0.25">
      <c r="A14" s="483" t="s">
        <v>528</v>
      </c>
      <c r="B14" s="535" t="s">
        <v>351</v>
      </c>
      <c r="C14" s="520">
        <f>C141/1000000</f>
        <v>79.376834000000002</v>
      </c>
      <c r="D14" s="520">
        <f>D141/1000000</f>
        <v>83.944287000000003</v>
      </c>
      <c r="E14" s="521">
        <f>E141</f>
        <v>94.558947174094172</v>
      </c>
      <c r="F14" s="520">
        <f>F141/1000000</f>
        <v>16.358647000000001</v>
      </c>
      <c r="G14" s="520">
        <f>G141/1000000</f>
        <v>13.324984000000001</v>
      </c>
      <c r="H14" s="521">
        <f>H141</f>
        <v>122.7667290257159</v>
      </c>
      <c r="I14" s="520">
        <f>I141/1000000</f>
        <v>79.874046000000007</v>
      </c>
      <c r="J14" s="520">
        <f>J141/1000000</f>
        <v>82.898604000000006</v>
      </c>
      <c r="K14" s="521">
        <f>K141</f>
        <v>96.351497065016929</v>
      </c>
      <c r="L14" s="521">
        <f>L141/1000000</f>
        <v>75.440199000000007</v>
      </c>
      <c r="M14" s="520">
        <f>M141/1000000</f>
        <v>78.897637000000003</v>
      </c>
      <c r="N14" s="521">
        <f>N141</f>
        <v>95.617818059620717</v>
      </c>
      <c r="O14" s="522">
        <f>O141</f>
        <v>3821</v>
      </c>
      <c r="P14" s="523">
        <f>P141</f>
        <v>133.24574718660037</v>
      </c>
      <c r="Q14" s="12">
        <f>O14*P14</f>
        <v>509132</v>
      </c>
    </row>
    <row r="15" spans="1:17" ht="27" customHeight="1" x14ac:dyDescent="0.25">
      <c r="A15" s="7" t="s">
        <v>529</v>
      </c>
      <c r="B15" s="535" t="s">
        <v>352</v>
      </c>
      <c r="C15" s="524">
        <f>C151/1000000</f>
        <v>6.9189689999999997</v>
      </c>
      <c r="D15" s="524">
        <f>D151/1000000</f>
        <v>7.0745810000000002</v>
      </c>
      <c r="E15" s="521">
        <f>E151</f>
        <v>97.800406836814787</v>
      </c>
      <c r="F15" s="524">
        <f>F151/1000000</f>
        <v>1.0228919999999999</v>
      </c>
      <c r="G15" s="524">
        <f>G151/1000000</f>
        <v>1.378017</v>
      </c>
      <c r="H15" s="521">
        <f>H151</f>
        <v>74.22927293349791</v>
      </c>
      <c r="I15" s="524">
        <f>I151/1000000</f>
        <v>6.9629269999999996</v>
      </c>
      <c r="J15" s="524">
        <f>J151/1000000</f>
        <v>6.0945210000000003</v>
      </c>
      <c r="K15" s="521">
        <f>K151</f>
        <v>114.24896230565125</v>
      </c>
      <c r="L15" s="525">
        <f>L151/1000000</f>
        <v>3.0227889999999999</v>
      </c>
      <c r="M15" s="524">
        <f>M151/1000000</f>
        <v>2.6202299999999998</v>
      </c>
      <c r="N15" s="521">
        <f>N151</f>
        <v>115.36349862416657</v>
      </c>
      <c r="O15" s="522">
        <f>O151</f>
        <v>1055</v>
      </c>
      <c r="P15" s="523">
        <f>P151</f>
        <v>137.45497630331752</v>
      </c>
      <c r="Q15" s="12">
        <f>Q151</f>
        <v>145015</v>
      </c>
    </row>
    <row r="16" spans="1:17" ht="34.5" customHeight="1" x14ac:dyDescent="0.25">
      <c r="A16" s="483" t="s">
        <v>530</v>
      </c>
      <c r="B16" s="535" t="s">
        <v>353</v>
      </c>
      <c r="C16" s="520">
        <f>C201/1000000</f>
        <v>7.6928590000000003</v>
      </c>
      <c r="D16" s="520">
        <f>D201/1000000</f>
        <v>8.0905819999999995</v>
      </c>
      <c r="E16" s="521">
        <f>E201</f>
        <v>95.084123737946172</v>
      </c>
      <c r="F16" s="520">
        <f>F201/1000000</f>
        <v>1.175684</v>
      </c>
      <c r="G16" s="520">
        <f>G201/1000000</f>
        <v>1.5514159999999999</v>
      </c>
      <c r="H16" s="521">
        <f>H201</f>
        <v>75.781350714444102</v>
      </c>
      <c r="I16" s="520">
        <f>I201/1000000</f>
        <v>7.4934409999999998</v>
      </c>
      <c r="J16" s="520">
        <f>J201/1000000</f>
        <v>8.1298250000000003</v>
      </c>
      <c r="K16" s="521">
        <f>K201</f>
        <v>92.172230029551685</v>
      </c>
      <c r="L16" s="521">
        <f>L201/1000000</f>
        <v>4.5293950000000001</v>
      </c>
      <c r="M16" s="520">
        <f>M201/1000000</f>
        <v>4.3506289999999996</v>
      </c>
      <c r="N16" s="521">
        <f>N201</f>
        <v>104.10896907090905</v>
      </c>
      <c r="O16" s="522">
        <f>O201</f>
        <v>623</v>
      </c>
      <c r="P16" s="523">
        <f>P201</f>
        <v>161.61316211878011</v>
      </c>
      <c r="Q16" s="12">
        <f>Q201</f>
        <v>100685</v>
      </c>
    </row>
    <row r="17" spans="1:17" ht="27" customHeight="1" x14ac:dyDescent="0.25">
      <c r="A17" s="7" t="s">
        <v>531</v>
      </c>
      <c r="B17" s="535" t="s">
        <v>354</v>
      </c>
      <c r="C17" s="520">
        <f>C35/1000000</f>
        <v>0.97274300000000002</v>
      </c>
      <c r="D17" s="520">
        <f>D35/1000000</f>
        <v>1.6074440000000001</v>
      </c>
      <c r="E17" s="521">
        <f>E35</f>
        <v>60.514891965132222</v>
      </c>
      <c r="F17" s="520">
        <f>F35/1000000</f>
        <v>0.15771099999999999</v>
      </c>
      <c r="G17" s="520">
        <f>G35/1000000</f>
        <v>0.29681999999999997</v>
      </c>
      <c r="H17" s="521">
        <f>H35</f>
        <v>53.133548952226938</v>
      </c>
      <c r="I17" s="520">
        <f>I35/1000000</f>
        <v>0.96839799999999998</v>
      </c>
      <c r="J17" s="520">
        <f>J35/1000000</f>
        <v>1.900952</v>
      </c>
      <c r="K17" s="521">
        <f>K35</f>
        <v>50.942790770098355</v>
      </c>
      <c r="L17" s="521">
        <f>L35/1000000</f>
        <v>0.49468800000000002</v>
      </c>
      <c r="M17" s="520">
        <f>M35/1000000</f>
        <v>0.97255400000000003</v>
      </c>
      <c r="N17" s="521">
        <f>N35</f>
        <v>50.864836297007678</v>
      </c>
      <c r="O17" s="522">
        <f>O35</f>
        <v>831</v>
      </c>
      <c r="P17" s="523">
        <f>P35</f>
        <v>104.94344163658243</v>
      </c>
      <c r="Q17" s="12">
        <f>Q35</f>
        <v>87208</v>
      </c>
    </row>
    <row r="18" spans="1:17" ht="27" customHeight="1" x14ac:dyDescent="0.25">
      <c r="A18" s="483" t="s">
        <v>532</v>
      </c>
      <c r="B18" s="535" t="s">
        <v>355</v>
      </c>
      <c r="C18" s="520">
        <f>C55/1000000</f>
        <v>0.80372699999999997</v>
      </c>
      <c r="D18" s="520">
        <f>D55/1000000</f>
        <v>0.73160400000000003</v>
      </c>
      <c r="E18" s="521">
        <f>E55</f>
        <v>109.85820197811931</v>
      </c>
      <c r="F18" s="520">
        <f>F55/1000000</f>
        <v>0.17236799999999999</v>
      </c>
      <c r="G18" s="520">
        <f>G55/1000000</f>
        <v>0.16325999999999999</v>
      </c>
      <c r="H18" s="521">
        <f>H55</f>
        <v>105.57883131201764</v>
      </c>
      <c r="I18" s="520">
        <f>I55/1000000</f>
        <v>0.80116200000000004</v>
      </c>
      <c r="J18" s="520">
        <f>J55/1000000</f>
        <v>0.73865499999999995</v>
      </c>
      <c r="K18" s="521">
        <f>K55</f>
        <v>108.4622726441979</v>
      </c>
      <c r="L18" s="521">
        <f>L55/1000000</f>
        <v>0.50867200000000001</v>
      </c>
      <c r="M18" s="520">
        <f>M55/1000000</f>
        <v>0.47958299999999998</v>
      </c>
      <c r="N18" s="521">
        <f>N55</f>
        <v>106.06547771710007</v>
      </c>
      <c r="O18" s="522">
        <f>O55</f>
        <v>683</v>
      </c>
      <c r="P18" s="523">
        <f>P55</f>
        <v>98.437774524158129</v>
      </c>
      <c r="Q18" s="12">
        <f>Q55</f>
        <v>67233</v>
      </c>
    </row>
    <row r="19" spans="1:17" ht="27" customHeight="1" x14ac:dyDescent="0.25">
      <c r="A19" s="7" t="s">
        <v>533</v>
      </c>
      <c r="B19" s="535" t="s">
        <v>356</v>
      </c>
      <c r="C19" s="520">
        <f>C69/1000000</f>
        <v>0.59168799999999999</v>
      </c>
      <c r="D19" s="520">
        <f>D69/1000000</f>
        <v>0.74948300000000001</v>
      </c>
      <c r="E19" s="521">
        <f>E69</f>
        <v>78.946153548512783</v>
      </c>
      <c r="F19" s="520">
        <f>F69/1000000</f>
        <v>0.118738</v>
      </c>
      <c r="G19" s="520">
        <f>G69/1000000</f>
        <v>0.17191899999999999</v>
      </c>
      <c r="H19" s="521">
        <f>H69</f>
        <v>69.066246313670973</v>
      </c>
      <c r="I19" s="520">
        <f>I69/1000000</f>
        <v>0.59219500000000003</v>
      </c>
      <c r="J19" s="520">
        <f>J69/1000000</f>
        <v>0.80039300000000002</v>
      </c>
      <c r="K19" s="521">
        <f>K69</f>
        <v>73.988028381057802</v>
      </c>
      <c r="L19" s="521">
        <f>L69/1000000</f>
        <v>0.31317099999999998</v>
      </c>
      <c r="M19" s="520">
        <f>M69/1000000</f>
        <v>0.45387</v>
      </c>
      <c r="N19" s="521">
        <f>N69</f>
        <v>69.000154229184574</v>
      </c>
      <c r="O19" s="522">
        <f>O69</f>
        <v>443</v>
      </c>
      <c r="P19" s="523">
        <f>P69</f>
        <v>124.86230248306998</v>
      </c>
      <c r="Q19" s="12">
        <f t="shared" ref="Q19:Q24" si="4">O19*P19</f>
        <v>55314</v>
      </c>
    </row>
    <row r="20" spans="1:17" ht="27" customHeight="1" x14ac:dyDescent="0.25">
      <c r="A20" s="483" t="s">
        <v>534</v>
      </c>
      <c r="B20" s="535" t="s">
        <v>357</v>
      </c>
      <c r="C20" s="520">
        <f>C79/1000000</f>
        <v>3.4830950000000001</v>
      </c>
      <c r="D20" s="520">
        <f>D79/1000000</f>
        <v>3.3267180000000001</v>
      </c>
      <c r="E20" s="521">
        <f>E79</f>
        <v>104.70063888793699</v>
      </c>
      <c r="F20" s="520">
        <f>F79/1000000</f>
        <v>0.707538</v>
      </c>
      <c r="G20" s="520">
        <f>G79/1000000</f>
        <v>0.66321099999999999</v>
      </c>
      <c r="H20" s="521">
        <f>H79</f>
        <v>106.68369493268357</v>
      </c>
      <c r="I20" s="520">
        <f>I79/1000000</f>
        <v>4.474933</v>
      </c>
      <c r="J20" s="520">
        <f>J79/1000000</f>
        <v>5.1408300000000002</v>
      </c>
      <c r="K20" s="521">
        <f>K79</f>
        <v>87.046897096383276</v>
      </c>
      <c r="L20" s="521">
        <f>L79/1000000</f>
        <v>1.4987440000000001</v>
      </c>
      <c r="M20" s="520">
        <f>M79/1000000</f>
        <v>1.70929</v>
      </c>
      <c r="N20" s="521">
        <f>N79</f>
        <v>87.682254035301213</v>
      </c>
      <c r="O20" s="522">
        <f>O79</f>
        <v>3734</v>
      </c>
      <c r="P20" s="523">
        <f>P79</f>
        <v>113.91671130155329</v>
      </c>
      <c r="Q20" s="12">
        <f t="shared" si="4"/>
        <v>425365</v>
      </c>
    </row>
    <row r="21" spans="1:17" ht="27" customHeight="1" x14ac:dyDescent="0.25">
      <c r="A21" s="7" t="s">
        <v>535</v>
      </c>
      <c r="B21" s="535" t="s">
        <v>358</v>
      </c>
      <c r="C21" s="520">
        <f>C156/1000000</f>
        <v>110.137478</v>
      </c>
      <c r="D21" s="520">
        <f>D156/1000000</f>
        <v>91.209970999999996</v>
      </c>
      <c r="E21" s="521">
        <f>E156</f>
        <v>120.75157660120294</v>
      </c>
      <c r="F21" s="520">
        <f>F156/1000000</f>
        <v>22.774177000000002</v>
      </c>
      <c r="G21" s="520">
        <f>G156/1000000</f>
        <v>15.464653999999999</v>
      </c>
      <c r="H21" s="521">
        <f>H156</f>
        <v>147.26599767443875</v>
      </c>
      <c r="I21" s="520">
        <f>I156/1000000</f>
        <v>95.788111000000001</v>
      </c>
      <c r="J21" s="520">
        <f>J156/1000000</f>
        <v>85.306369000000004</v>
      </c>
      <c r="K21" s="521">
        <f>K156</f>
        <v>112.2871740092466</v>
      </c>
      <c r="L21" s="521">
        <f>L156/1000000</f>
        <v>48.471029000000001</v>
      </c>
      <c r="M21" s="520">
        <f>M156/1000000</f>
        <v>42.140537999999999</v>
      </c>
      <c r="N21" s="521">
        <f>N156</f>
        <v>115.02233075429649</v>
      </c>
      <c r="O21" s="522">
        <f>O156</f>
        <v>9877</v>
      </c>
      <c r="P21" s="523">
        <f>P156</f>
        <v>112.61739394553003</v>
      </c>
      <c r="Q21" s="12">
        <f t="shared" si="4"/>
        <v>1112322</v>
      </c>
    </row>
    <row r="22" spans="1:17" ht="27" customHeight="1" x14ac:dyDescent="0.25">
      <c r="A22" s="483" t="s">
        <v>536</v>
      </c>
      <c r="B22" s="535" t="s">
        <v>359</v>
      </c>
      <c r="C22" s="520">
        <f>C93/1000000</f>
        <v>2.1534520000000001</v>
      </c>
      <c r="D22" s="520">
        <f>D93/1000000</f>
        <v>1.4190750000000001</v>
      </c>
      <c r="E22" s="521">
        <f>E93</f>
        <v>151.7504007892465</v>
      </c>
      <c r="F22" s="520">
        <f>F93/1000000</f>
        <v>0.35571199999999997</v>
      </c>
      <c r="G22" s="520">
        <f>G93/1000000</f>
        <v>0.30069699999999999</v>
      </c>
      <c r="H22" s="521">
        <f>H93</f>
        <v>118.29582603085498</v>
      </c>
      <c r="I22" s="520">
        <f>I93/1000000</f>
        <v>2.2464309999999998</v>
      </c>
      <c r="J22" s="520">
        <f>J93/1000000</f>
        <v>1.315531</v>
      </c>
      <c r="K22" s="521">
        <f>K93</f>
        <v>70.762300546319324</v>
      </c>
      <c r="L22" s="521">
        <f>L93/1000000</f>
        <v>1.4516100000000001</v>
      </c>
      <c r="M22" s="520">
        <f>M93/1000000</f>
        <v>0.58474599999999999</v>
      </c>
      <c r="N22" s="521">
        <f>N93</f>
        <v>248.24624708847944</v>
      </c>
      <c r="O22" s="522">
        <f>O93</f>
        <v>2608</v>
      </c>
      <c r="P22" s="523">
        <f>P93</f>
        <v>83.946702453987726</v>
      </c>
      <c r="Q22" s="12">
        <f t="shared" si="4"/>
        <v>218933</v>
      </c>
    </row>
    <row r="23" spans="1:17" ht="27" customHeight="1" x14ac:dyDescent="0.25">
      <c r="A23" s="7" t="s">
        <v>537</v>
      </c>
      <c r="B23" s="535" t="s">
        <v>360</v>
      </c>
      <c r="C23" s="520">
        <f>C122/1000000</f>
        <v>7.6203000000000007E-2</v>
      </c>
      <c r="D23" s="520">
        <f>D122/1000000</f>
        <v>9.1411999999999993E-2</v>
      </c>
      <c r="E23" s="521">
        <f>E122</f>
        <v>83.362140637990635</v>
      </c>
      <c r="F23" s="520">
        <f>F122/1000000</f>
        <v>1.0664E-2</v>
      </c>
      <c r="G23" s="520">
        <f>G122/1000000</f>
        <v>2.3303999999999998E-2</v>
      </c>
      <c r="H23" s="521">
        <f>H122</f>
        <v>45.760384483350499</v>
      </c>
      <c r="I23" s="520">
        <f>I122/1000000</f>
        <v>7.5774999999999995E-2</v>
      </c>
      <c r="J23" s="520">
        <f>J122/1000000</f>
        <v>5.5406999999999998E-2</v>
      </c>
      <c r="K23" s="521">
        <f>K122</f>
        <v>136.76069810673741</v>
      </c>
      <c r="L23" s="521">
        <f>L122/1000000</f>
        <v>3.0536000000000001E-2</v>
      </c>
      <c r="M23" s="520">
        <f>M122/1000000</f>
        <v>0</v>
      </c>
      <c r="N23" s="521">
        <f>N122</f>
        <v>0</v>
      </c>
      <c r="O23" s="522">
        <f>O122</f>
        <v>100</v>
      </c>
      <c r="P23" s="523">
        <f>P122</f>
        <v>83.2</v>
      </c>
      <c r="Q23" s="12">
        <f t="shared" si="4"/>
        <v>8320</v>
      </c>
    </row>
    <row r="24" spans="1:17" ht="27" customHeight="1" thickBot="1" x14ac:dyDescent="0.3">
      <c r="A24" s="483" t="s">
        <v>538</v>
      </c>
      <c r="B24" s="535" t="s">
        <v>361</v>
      </c>
      <c r="C24" s="520">
        <f>C218/1000000</f>
        <v>0.54233799999999999</v>
      </c>
      <c r="D24" s="520">
        <f>D218/1000000</f>
        <v>0.47815000000000002</v>
      </c>
      <c r="E24" s="521">
        <f>E218</f>
        <v>113.42423925546376</v>
      </c>
      <c r="F24" s="520">
        <f>F218/1000000</f>
        <v>5.8629000000000001E-2</v>
      </c>
      <c r="G24" s="520">
        <f>G218/1000000</f>
        <v>9.4173999999999994E-2</v>
      </c>
      <c r="H24" s="521">
        <f>H218</f>
        <v>62.256036698027053</v>
      </c>
      <c r="I24" s="520">
        <f>I218/1000000</f>
        <v>0.37166399999999999</v>
      </c>
      <c r="J24" s="520">
        <f>J218/1000000</f>
        <v>0.201987</v>
      </c>
      <c r="K24" s="521">
        <f>K218</f>
        <v>184.00392104442363</v>
      </c>
      <c r="L24" s="521">
        <f>L218/1000000</f>
        <v>1.756E-3</v>
      </c>
      <c r="M24" s="520">
        <f>M218/1000000</f>
        <v>2.408E-3</v>
      </c>
      <c r="N24" s="522">
        <f>N218</f>
        <v>72.923588039867099</v>
      </c>
      <c r="O24" s="522">
        <f>O218</f>
        <v>447</v>
      </c>
      <c r="P24" s="523">
        <f>P218</f>
        <v>133.28411633109619</v>
      </c>
      <c r="Q24" s="12">
        <f t="shared" si="4"/>
        <v>59577.999999999993</v>
      </c>
    </row>
    <row r="25" spans="1:17" s="314" customFormat="1" ht="20.25" customHeight="1" thickBot="1" x14ac:dyDescent="0.35">
      <c r="A25" s="458">
        <v>2</v>
      </c>
      <c r="B25" s="458" t="s">
        <v>322</v>
      </c>
      <c r="C25" s="526">
        <f>C230/1000000</f>
        <v>77.361474000000001</v>
      </c>
      <c r="D25" s="526">
        <f>D230/1000000</f>
        <v>56.591388000000002</v>
      </c>
      <c r="E25" s="526">
        <f t="shared" ref="E25" si="5">C25/D25*100</f>
        <v>136.70184940507201</v>
      </c>
      <c r="F25" s="526">
        <f>F230/1000000</f>
        <v>9.0173830000000006</v>
      </c>
      <c r="G25" s="526">
        <f>G230/1000000</f>
        <v>11.28205</v>
      </c>
      <c r="H25" s="526">
        <f t="shared" ref="H25" si="6">F25/G25*100</f>
        <v>79.92681294622875</v>
      </c>
      <c r="I25" s="526">
        <f>I230/1000000</f>
        <v>92.194766999999999</v>
      </c>
      <c r="J25" s="526">
        <f>J230/1000000</f>
        <v>65.611705999999998</v>
      </c>
      <c r="K25" s="526">
        <f t="shared" ref="K25" si="7">I25/J25*100</f>
        <v>140.51572900725978</v>
      </c>
      <c r="L25" s="526">
        <f>L230/1000000</f>
        <v>8.166506</v>
      </c>
      <c r="M25" s="526">
        <f>M230/1000000</f>
        <v>9.0282549999999997</v>
      </c>
      <c r="N25" s="526">
        <f t="shared" ref="N25" si="8">L25/M25*100</f>
        <v>90.454977179975543</v>
      </c>
      <c r="O25" s="527">
        <f>O230</f>
        <v>18815</v>
      </c>
      <c r="P25" s="527">
        <f>Q25/O25</f>
        <v>220.74079192133937</v>
      </c>
      <c r="Q25" s="501">
        <f>Q230</f>
        <v>4153238</v>
      </c>
    </row>
    <row r="26" spans="1:17" s="314" customFormat="1" ht="18" thickBot="1" x14ac:dyDescent="0.35">
      <c r="A26" s="458">
        <v>3</v>
      </c>
      <c r="B26" s="462" t="s">
        <v>321</v>
      </c>
      <c r="C26" s="528">
        <f>C248/1000000</f>
        <v>1.125542</v>
      </c>
      <c r="D26" s="528">
        <f>D248/1000000</f>
        <v>1.068217</v>
      </c>
      <c r="E26" s="529">
        <f>C26/D26*100</f>
        <v>105.36641899539138</v>
      </c>
      <c r="F26" s="530">
        <f>F248/1000000</f>
        <v>0.17012099999999999</v>
      </c>
      <c r="G26" s="530">
        <f>G248/1000000</f>
        <v>0.17586099999999999</v>
      </c>
      <c r="H26" s="529">
        <f>F26/G26*100</f>
        <v>96.736058591728707</v>
      </c>
      <c r="I26" s="528">
        <f>I248/1000000</f>
        <v>1.125542</v>
      </c>
      <c r="J26" s="528">
        <f>J248/1000000</f>
        <v>1.068217</v>
      </c>
      <c r="K26" s="529">
        <f>I26/J26*100</f>
        <v>105.36641899539138</v>
      </c>
      <c r="L26" s="528">
        <f>L248/1000000</f>
        <v>0.19087799999999999</v>
      </c>
      <c r="M26" s="528">
        <f>M248/1000000</f>
        <v>0.21431700000000001</v>
      </c>
      <c r="N26" s="529">
        <f>L26/M26*100</f>
        <v>89.063396744075362</v>
      </c>
      <c r="O26" s="531">
        <f>O248</f>
        <v>1056</v>
      </c>
      <c r="P26" s="532">
        <f>Q26/O26</f>
        <v>106.39772727272727</v>
      </c>
      <c r="Q26" s="502">
        <f>Q248</f>
        <v>112356</v>
      </c>
    </row>
    <row r="27" spans="1:17" ht="18" thickBot="1" x14ac:dyDescent="0.35">
      <c r="A27" s="460">
        <v>4</v>
      </c>
      <c r="B27" s="461" t="s">
        <v>517</v>
      </c>
      <c r="C27" s="459"/>
      <c r="D27" s="459"/>
      <c r="E27" s="410"/>
      <c r="F27" s="459"/>
      <c r="G27" s="459"/>
      <c r="H27" s="410"/>
      <c r="I27" s="477">
        <f>I256/1000000</f>
        <v>1.339947</v>
      </c>
      <c r="J27" s="477">
        <f>J256/1000000</f>
        <v>1.3142389999999999</v>
      </c>
      <c r="K27" s="533">
        <f>I27/J27*100</f>
        <v>101.95611300532094</v>
      </c>
      <c r="L27" s="459">
        <f>L256</f>
        <v>0</v>
      </c>
      <c r="M27" s="459">
        <f>M256</f>
        <v>0</v>
      </c>
      <c r="N27" s="410"/>
      <c r="O27" s="459">
        <f>O256</f>
        <v>98</v>
      </c>
      <c r="P27" s="534">
        <f>Q27/O27</f>
        <v>109</v>
      </c>
      <c r="Q27" s="503">
        <f>Q256</f>
        <v>10682</v>
      </c>
    </row>
    <row r="28" spans="1:17" ht="99.75" customHeight="1" x14ac:dyDescent="0.25"/>
    <row r="29" spans="1:17" ht="30.75" customHeight="1" x14ac:dyDescent="0.25">
      <c r="A29" s="941" t="s">
        <v>524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  <c r="O29" s="1000"/>
      <c r="P29" s="1000"/>
      <c r="Q29" s="444"/>
    </row>
    <row r="30" spans="1:17" s="1" customFormat="1" ht="4.5" customHeight="1" thickBot="1" x14ac:dyDescent="0.25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  <c r="O30" s="1000"/>
      <c r="P30" s="1000"/>
      <c r="Q30" s="444"/>
    </row>
    <row r="31" spans="1:17" ht="15" customHeight="1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5"/>
      <c r="O31" s="1023" t="s">
        <v>330</v>
      </c>
      <c r="P31" s="1030" t="s">
        <v>325</v>
      </c>
      <c r="Q31" s="504"/>
    </row>
    <row r="32" spans="1:17" ht="82.5" customHeight="1" thickBot="1" x14ac:dyDescent="0.3">
      <c r="A32" s="1038"/>
      <c r="B32" s="1039"/>
      <c r="C32" s="486" t="s">
        <v>511</v>
      </c>
      <c r="D32" s="486" t="s">
        <v>512</v>
      </c>
      <c r="E32" s="486" t="s">
        <v>323</v>
      </c>
      <c r="F32" s="486" t="s">
        <v>513</v>
      </c>
      <c r="G32" s="486" t="s">
        <v>514</v>
      </c>
      <c r="H32" s="486" t="s">
        <v>323</v>
      </c>
      <c r="I32" s="486" t="s">
        <v>511</v>
      </c>
      <c r="J32" s="486" t="s">
        <v>512</v>
      </c>
      <c r="K32" s="486" t="s">
        <v>323</v>
      </c>
      <c r="L32" s="486" t="s">
        <v>511</v>
      </c>
      <c r="M32" s="486" t="s">
        <v>512</v>
      </c>
      <c r="N32" s="486" t="s">
        <v>323</v>
      </c>
      <c r="O32" s="1014"/>
      <c r="P32" s="1032"/>
      <c r="Q32" s="444"/>
    </row>
    <row r="33" spans="1:17" ht="17.25" customHeight="1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  <c r="O33" s="489">
        <v>15</v>
      </c>
      <c r="P33" s="491">
        <v>16</v>
      </c>
      <c r="Q33" s="444"/>
    </row>
    <row r="34" spans="1:17" ht="35.25" customHeight="1" x14ac:dyDescent="0.25">
      <c r="A34" s="1043" t="s">
        <v>526</v>
      </c>
      <c r="B34" s="1044" t="s">
        <v>78</v>
      </c>
      <c r="C34" s="464">
        <f>C35+C55+C69</f>
        <v>2368158</v>
      </c>
      <c r="D34" s="464">
        <f>D35+D55+D69</f>
        <v>3088531</v>
      </c>
      <c r="E34" s="465">
        <f>C34/D34*100</f>
        <v>76.675869531502201</v>
      </c>
      <c r="F34" s="464">
        <f>F35+F55+F69</f>
        <v>448817</v>
      </c>
      <c r="G34" s="464">
        <f>G35+G55+G69</f>
        <v>631999</v>
      </c>
      <c r="H34" s="465">
        <f>F34/G34*100</f>
        <v>71.015460467500731</v>
      </c>
      <c r="I34" s="464">
        <f>I35+I55+I69</f>
        <v>2361755</v>
      </c>
      <c r="J34" s="464">
        <f>J35+J55+J69</f>
        <v>3440000</v>
      </c>
      <c r="K34" s="465">
        <f>I34/J34*100</f>
        <v>68.655668604651169</v>
      </c>
      <c r="L34" s="464">
        <f>L35+L55+L69</f>
        <v>1316531</v>
      </c>
      <c r="M34" s="464">
        <f>M35+M55+M69</f>
        <v>1906007</v>
      </c>
      <c r="N34" s="465">
        <f>L34/M34*100</f>
        <v>69.072726385579912</v>
      </c>
      <c r="O34" s="475">
        <f>O35+O55+O69</f>
        <v>1957</v>
      </c>
      <c r="P34" s="466">
        <f>Q34/O34</f>
        <v>107.18191108840061</v>
      </c>
      <c r="Q34" s="536">
        <f>Q35+Q55+Q69</f>
        <v>209755</v>
      </c>
    </row>
    <row r="35" spans="1:17" ht="31.5" customHeight="1" x14ac:dyDescent="0.25">
      <c r="A35" s="1033" t="s">
        <v>371</v>
      </c>
      <c r="B35" s="1034"/>
      <c r="C35" s="254">
        <f>SUM(C36:C53)</f>
        <v>972743</v>
      </c>
      <c r="D35" s="254">
        <f>SUM(D36:D53)</f>
        <v>1607444</v>
      </c>
      <c r="E35" s="254">
        <f>C35/D35*100</f>
        <v>60.514891965132222</v>
      </c>
      <c r="F35" s="254">
        <f>SUM(F36:F53)</f>
        <v>157711</v>
      </c>
      <c r="G35" s="254">
        <f>SUM(G36:G53)</f>
        <v>296820</v>
      </c>
      <c r="H35" s="254">
        <f>F35/G35*100</f>
        <v>53.133548952226938</v>
      </c>
      <c r="I35" s="254">
        <f>SUM(I36:I53)</f>
        <v>968398</v>
      </c>
      <c r="J35" s="254">
        <f>SUM(J36:J53)</f>
        <v>1900952</v>
      </c>
      <c r="K35" s="254">
        <f>I35/J35*100</f>
        <v>50.942790770098355</v>
      </c>
      <c r="L35" s="254">
        <f>SUM(L36:L53)</f>
        <v>494688</v>
      </c>
      <c r="M35" s="254">
        <f>SUM(M36:M53)</f>
        <v>972554</v>
      </c>
      <c r="N35" s="254">
        <f>L35/M35*100</f>
        <v>50.864836297007678</v>
      </c>
      <c r="O35" s="254">
        <f>SUM(O36:O53)</f>
        <v>831</v>
      </c>
      <c r="P35" s="254">
        <f>Q35/O35</f>
        <v>104.94344163658243</v>
      </c>
      <c r="Q35" s="505">
        <f>SUM(Q36:Q53)</f>
        <v>87208</v>
      </c>
    </row>
    <row r="36" spans="1:17" x14ac:dyDescent="0.25">
      <c r="A36" s="253">
        <v>1</v>
      </c>
      <c r="B36" s="304" t="s">
        <v>372</v>
      </c>
      <c r="C36" s="247">
        <v>46389</v>
      </c>
      <c r="D36" s="247">
        <v>63328</v>
      </c>
      <c r="E36" s="425">
        <f>C36/D36*100</f>
        <v>73.251958059626077</v>
      </c>
      <c r="F36" s="247">
        <v>7698</v>
      </c>
      <c r="G36" s="247">
        <v>10979</v>
      </c>
      <c r="H36" s="425">
        <f>F36/G36*100</f>
        <v>70.115675380271426</v>
      </c>
      <c r="I36" s="247">
        <v>32723</v>
      </c>
      <c r="J36" s="247">
        <v>63328</v>
      </c>
      <c r="K36" s="425">
        <f>I36/J36*100</f>
        <v>51.672246083880744</v>
      </c>
      <c r="L36" s="247">
        <v>0</v>
      </c>
      <c r="M36" s="247">
        <v>1672</v>
      </c>
      <c r="N36" s="425">
        <f>L36/M36*100</f>
        <v>0</v>
      </c>
      <c r="O36" s="247">
        <v>72</v>
      </c>
      <c r="P36" s="53">
        <v>112</v>
      </c>
      <c r="Q36" s="162">
        <f>O36*P36</f>
        <v>8064</v>
      </c>
    </row>
    <row r="37" spans="1:17" x14ac:dyDescent="0.25">
      <c r="A37" s="253">
        <v>2</v>
      </c>
      <c r="B37" s="304" t="s">
        <v>373</v>
      </c>
      <c r="C37" s="247">
        <v>187781</v>
      </c>
      <c r="D37" s="247">
        <v>110524</v>
      </c>
      <c r="E37" s="425">
        <f t="shared" ref="E37:E53" si="9">C37/D37*100</f>
        <v>169.90065506134414</v>
      </c>
      <c r="F37" s="247">
        <v>28388</v>
      </c>
      <c r="G37" s="247">
        <v>3330</v>
      </c>
      <c r="H37" s="425">
        <f t="shared" ref="H37:H53" si="10">F37/G37*100</f>
        <v>852.49249249249249</v>
      </c>
      <c r="I37" s="247">
        <v>187781</v>
      </c>
      <c r="J37" s="247">
        <v>110524</v>
      </c>
      <c r="K37" s="425">
        <f t="shared" ref="K37:K53" si="11">I37/J37*100</f>
        <v>169.90065506134414</v>
      </c>
      <c r="L37" s="247">
        <v>67466</v>
      </c>
      <c r="M37" s="247">
        <v>66498</v>
      </c>
      <c r="N37" s="425">
        <f t="shared" ref="N37:N53" si="12">L37/M37*100</f>
        <v>101.45568287768054</v>
      </c>
      <c r="O37" s="247">
        <v>72</v>
      </c>
      <c r="P37" s="252">
        <v>207</v>
      </c>
      <c r="Q37" s="162">
        <f t="shared" ref="Q37:Q53" si="13">O37*P37</f>
        <v>14904</v>
      </c>
    </row>
    <row r="38" spans="1:17" x14ac:dyDescent="0.25">
      <c r="A38" s="253">
        <v>3</v>
      </c>
      <c r="B38" s="304" t="s">
        <v>374</v>
      </c>
      <c r="C38" s="247">
        <v>20409</v>
      </c>
      <c r="D38" s="247">
        <v>33191</v>
      </c>
      <c r="E38" s="425">
        <f t="shared" si="9"/>
        <v>61.489560423006239</v>
      </c>
      <c r="F38" s="247">
        <v>3370</v>
      </c>
      <c r="G38" s="247">
        <v>5680</v>
      </c>
      <c r="H38" s="425">
        <f t="shared" si="10"/>
        <v>59.33098591549296</v>
      </c>
      <c r="I38" s="247">
        <v>28235</v>
      </c>
      <c r="J38" s="247">
        <v>74525</v>
      </c>
      <c r="K38" s="425">
        <f t="shared" si="11"/>
        <v>37.88661522978866</v>
      </c>
      <c r="L38" s="247">
        <v>0</v>
      </c>
      <c r="M38" s="247">
        <v>0</v>
      </c>
      <c r="N38" s="425">
        <v>0</v>
      </c>
      <c r="O38" s="247">
        <v>23</v>
      </c>
      <c r="P38" s="252">
        <v>90</v>
      </c>
      <c r="Q38" s="162">
        <f t="shared" si="13"/>
        <v>2070</v>
      </c>
    </row>
    <row r="39" spans="1:17" ht="24.75" customHeight="1" x14ac:dyDescent="0.25">
      <c r="A39" s="253">
        <v>4</v>
      </c>
      <c r="B39" s="304" t="s">
        <v>375</v>
      </c>
      <c r="C39" s="247">
        <v>11320</v>
      </c>
      <c r="D39" s="247">
        <v>8630</v>
      </c>
      <c r="E39" s="425">
        <f t="shared" si="9"/>
        <v>131.17033603707995</v>
      </c>
      <c r="F39" s="247">
        <v>3480</v>
      </c>
      <c r="G39" s="247">
        <v>2600</v>
      </c>
      <c r="H39" s="425">
        <f t="shared" si="10"/>
        <v>133.84615384615384</v>
      </c>
      <c r="I39" s="247">
        <v>7024</v>
      </c>
      <c r="J39" s="247">
        <v>11668</v>
      </c>
      <c r="K39" s="425">
        <f t="shared" si="11"/>
        <v>60.198834418923553</v>
      </c>
      <c r="L39" s="247">
        <v>7024</v>
      </c>
      <c r="M39" s="247">
        <v>11668</v>
      </c>
      <c r="N39" s="425">
        <f t="shared" si="12"/>
        <v>60.198834418923553</v>
      </c>
      <c r="O39" s="247">
        <v>11</v>
      </c>
      <c r="P39" s="252">
        <v>60</v>
      </c>
      <c r="Q39" s="162">
        <f t="shared" si="13"/>
        <v>660</v>
      </c>
    </row>
    <row r="40" spans="1:17" x14ac:dyDescent="0.25">
      <c r="A40" s="253">
        <v>5</v>
      </c>
      <c r="B40" s="304" t="s">
        <v>376</v>
      </c>
      <c r="C40" s="247">
        <v>25804</v>
      </c>
      <c r="D40" s="247">
        <v>21327</v>
      </c>
      <c r="E40" s="425">
        <f t="shared" si="9"/>
        <v>120.99216955033525</v>
      </c>
      <c r="F40" s="247">
        <v>393</v>
      </c>
      <c r="G40" s="247">
        <v>2634</v>
      </c>
      <c r="H40" s="425">
        <f t="shared" si="10"/>
        <v>14.920273348519361</v>
      </c>
      <c r="I40" s="247">
        <v>29067</v>
      </c>
      <c r="J40" s="247">
        <v>316852</v>
      </c>
      <c r="K40" s="425">
        <f t="shared" si="11"/>
        <v>9.1736836125383459</v>
      </c>
      <c r="L40" s="247">
        <v>50380</v>
      </c>
      <c r="M40" s="247">
        <v>5045</v>
      </c>
      <c r="N40" s="425">
        <f t="shared" si="12"/>
        <v>998.61248761149659</v>
      </c>
      <c r="O40" s="247">
        <v>54</v>
      </c>
      <c r="P40" s="252">
        <v>70</v>
      </c>
      <c r="Q40" s="162">
        <f t="shared" si="13"/>
        <v>3780</v>
      </c>
    </row>
    <row r="41" spans="1:17" x14ac:dyDescent="0.25">
      <c r="A41" s="253">
        <v>6</v>
      </c>
      <c r="B41" s="304" t="s">
        <v>377</v>
      </c>
      <c r="C41" s="247">
        <v>58272</v>
      </c>
      <c r="D41" s="247">
        <v>69826</v>
      </c>
      <c r="E41" s="425">
        <f t="shared" si="9"/>
        <v>83.453154985249043</v>
      </c>
      <c r="F41" s="247">
        <v>15531</v>
      </c>
      <c r="G41" s="247">
        <v>17668</v>
      </c>
      <c r="H41" s="425">
        <f t="shared" si="10"/>
        <v>87.904686438759342</v>
      </c>
      <c r="I41" s="247">
        <v>63127</v>
      </c>
      <c r="J41" s="247">
        <v>62594</v>
      </c>
      <c r="K41" s="425">
        <f t="shared" si="11"/>
        <v>100.85151931495031</v>
      </c>
      <c r="L41" s="247">
        <v>5327</v>
      </c>
      <c r="M41" s="247">
        <v>0</v>
      </c>
      <c r="N41" s="425"/>
      <c r="O41" s="247">
        <v>65</v>
      </c>
      <c r="P41" s="252">
        <v>70</v>
      </c>
      <c r="Q41" s="162">
        <f t="shared" si="13"/>
        <v>4550</v>
      </c>
    </row>
    <row r="42" spans="1:17" x14ac:dyDescent="0.25">
      <c r="A42" s="253">
        <v>7</v>
      </c>
      <c r="B42" s="304" t="s">
        <v>378</v>
      </c>
      <c r="C42" s="247">
        <v>0</v>
      </c>
      <c r="D42" s="247">
        <v>0</v>
      </c>
      <c r="E42" s="425">
        <v>0</v>
      </c>
      <c r="F42" s="247">
        <v>0</v>
      </c>
      <c r="G42" s="247">
        <v>0</v>
      </c>
      <c r="H42" s="425">
        <v>0</v>
      </c>
      <c r="I42" s="247">
        <v>0</v>
      </c>
      <c r="J42" s="247">
        <v>0</v>
      </c>
      <c r="K42" s="425">
        <v>0</v>
      </c>
      <c r="L42" s="247">
        <v>0</v>
      </c>
      <c r="M42" s="247">
        <v>0</v>
      </c>
      <c r="N42" s="425">
        <v>0</v>
      </c>
      <c r="O42" s="247">
        <v>0</v>
      </c>
      <c r="P42" s="252">
        <v>0</v>
      </c>
      <c r="Q42" s="162">
        <f t="shared" si="13"/>
        <v>0</v>
      </c>
    </row>
    <row r="43" spans="1:17" ht="27" customHeight="1" x14ac:dyDescent="0.25">
      <c r="A43" s="253">
        <v>8</v>
      </c>
      <c r="B43" s="304" t="s">
        <v>379</v>
      </c>
      <c r="C43" s="247">
        <v>57998</v>
      </c>
      <c r="D43" s="247">
        <v>65365</v>
      </c>
      <c r="E43" s="425">
        <f t="shared" si="9"/>
        <v>88.729442362120409</v>
      </c>
      <c r="F43" s="247">
        <v>7383</v>
      </c>
      <c r="G43" s="247">
        <v>7733</v>
      </c>
      <c r="H43" s="425">
        <f t="shared" si="10"/>
        <v>95.473942842363897</v>
      </c>
      <c r="I43" s="247">
        <v>58075</v>
      </c>
      <c r="J43" s="247">
        <v>65045</v>
      </c>
      <c r="K43" s="425">
        <f t="shared" si="11"/>
        <v>89.284341609654845</v>
      </c>
      <c r="L43" s="247">
        <v>0</v>
      </c>
      <c r="M43" s="247">
        <v>0</v>
      </c>
      <c r="N43" s="425">
        <v>0</v>
      </c>
      <c r="O43" s="247">
        <v>39</v>
      </c>
      <c r="P43" s="252">
        <v>103</v>
      </c>
      <c r="Q43" s="162">
        <f t="shared" si="13"/>
        <v>4017</v>
      </c>
    </row>
    <row r="44" spans="1:17" x14ac:dyDescent="0.25">
      <c r="A44" s="253">
        <v>9</v>
      </c>
      <c r="B44" s="304" t="s">
        <v>380</v>
      </c>
      <c r="C44" s="247">
        <v>57861</v>
      </c>
      <c r="D44" s="247">
        <v>126616</v>
      </c>
      <c r="E44" s="425">
        <f t="shared" si="9"/>
        <v>45.698016048524678</v>
      </c>
      <c r="F44" s="247">
        <v>8485</v>
      </c>
      <c r="G44" s="247">
        <v>37621</v>
      </c>
      <c r="H44" s="425">
        <f t="shared" si="10"/>
        <v>22.553892772653573</v>
      </c>
      <c r="I44" s="247">
        <v>75577</v>
      </c>
      <c r="J44" s="247">
        <v>100213</v>
      </c>
      <c r="K44" s="425">
        <f t="shared" si="11"/>
        <v>75.416363146497957</v>
      </c>
      <c r="L44" s="247">
        <v>0</v>
      </c>
      <c r="M44" s="247">
        <v>0</v>
      </c>
      <c r="N44" s="425">
        <v>0</v>
      </c>
      <c r="O44" s="247">
        <v>53</v>
      </c>
      <c r="P44" s="252">
        <v>100</v>
      </c>
      <c r="Q44" s="162">
        <f t="shared" si="13"/>
        <v>5300</v>
      </c>
    </row>
    <row r="45" spans="1:17" x14ac:dyDescent="0.25">
      <c r="A45" s="252">
        <v>10</v>
      </c>
      <c r="B45" s="304" t="s">
        <v>381</v>
      </c>
      <c r="C45" s="247">
        <v>210189</v>
      </c>
      <c r="D45" s="247">
        <v>417062</v>
      </c>
      <c r="E45" s="425">
        <f t="shared" si="9"/>
        <v>50.397542811380561</v>
      </c>
      <c r="F45" s="247">
        <v>30636</v>
      </c>
      <c r="G45" s="247">
        <v>131643</v>
      </c>
      <c r="H45" s="425">
        <f t="shared" si="10"/>
        <v>23.272031175223901</v>
      </c>
      <c r="I45" s="247">
        <v>187376</v>
      </c>
      <c r="J45" s="247">
        <v>408894</v>
      </c>
      <c r="K45" s="425">
        <f t="shared" si="11"/>
        <v>45.825079360421043</v>
      </c>
      <c r="L45" s="247">
        <v>187376</v>
      </c>
      <c r="M45" s="247">
        <v>406571</v>
      </c>
      <c r="N45" s="425">
        <f t="shared" si="12"/>
        <v>46.086907329839065</v>
      </c>
      <c r="O45" s="247">
        <v>180</v>
      </c>
      <c r="P45" s="252">
        <v>84</v>
      </c>
      <c r="Q45" s="162">
        <f t="shared" si="13"/>
        <v>15120</v>
      </c>
    </row>
    <row r="46" spans="1:17" x14ac:dyDescent="0.25">
      <c r="A46" s="253">
        <v>11</v>
      </c>
      <c r="B46" s="304" t="s">
        <v>382</v>
      </c>
      <c r="C46" s="247">
        <v>0</v>
      </c>
      <c r="D46" s="247">
        <v>0</v>
      </c>
      <c r="E46" s="425">
        <v>0</v>
      </c>
      <c r="F46" s="247">
        <v>0</v>
      </c>
      <c r="G46" s="247">
        <v>0</v>
      </c>
      <c r="H46" s="425">
        <v>0</v>
      </c>
      <c r="I46" s="247">
        <v>0</v>
      </c>
      <c r="J46" s="247">
        <v>0</v>
      </c>
      <c r="K46" s="425">
        <v>0</v>
      </c>
      <c r="L46" s="247">
        <v>0</v>
      </c>
      <c r="M46" s="247">
        <v>0</v>
      </c>
      <c r="N46" s="425">
        <v>0</v>
      </c>
      <c r="O46" s="247">
        <v>21</v>
      </c>
      <c r="P46" s="252">
        <v>80</v>
      </c>
      <c r="Q46" s="162">
        <f t="shared" si="13"/>
        <v>1680</v>
      </c>
    </row>
    <row r="47" spans="1:17" x14ac:dyDescent="0.25">
      <c r="A47" s="253">
        <v>12</v>
      </c>
      <c r="B47" s="304" t="s">
        <v>383</v>
      </c>
      <c r="C47" s="247">
        <v>16756</v>
      </c>
      <c r="D47" s="247">
        <v>48863</v>
      </c>
      <c r="E47" s="425">
        <f t="shared" si="9"/>
        <v>34.291795428033481</v>
      </c>
      <c r="F47" s="247">
        <v>210</v>
      </c>
      <c r="G47" s="247">
        <v>6162</v>
      </c>
      <c r="H47" s="425">
        <f t="shared" si="10"/>
        <v>3.4079844206426486</v>
      </c>
      <c r="I47" s="247">
        <v>16756</v>
      </c>
      <c r="J47" s="247">
        <v>51752</v>
      </c>
      <c r="K47" s="425">
        <f t="shared" si="11"/>
        <v>32.377492657288606</v>
      </c>
      <c r="L47" s="247">
        <v>12059</v>
      </c>
      <c r="M47" s="247">
        <v>43343</v>
      </c>
      <c r="N47" s="425">
        <f t="shared" si="12"/>
        <v>27.822255035415179</v>
      </c>
      <c r="O47" s="247">
        <v>22</v>
      </c>
      <c r="P47" s="252">
        <v>147</v>
      </c>
      <c r="Q47" s="162">
        <f t="shared" si="13"/>
        <v>3234</v>
      </c>
    </row>
    <row r="48" spans="1:17" x14ac:dyDescent="0.25">
      <c r="A48" s="253">
        <v>13</v>
      </c>
      <c r="B48" s="304" t="s">
        <v>384</v>
      </c>
      <c r="C48" s="247">
        <v>93624</v>
      </c>
      <c r="D48" s="247">
        <v>160486</v>
      </c>
      <c r="E48" s="425">
        <f t="shared" si="9"/>
        <v>58.337798935732707</v>
      </c>
      <c r="F48" s="247">
        <v>22722</v>
      </c>
      <c r="G48" s="247">
        <v>26703</v>
      </c>
      <c r="H48" s="425">
        <f t="shared" si="10"/>
        <v>85.091562745758907</v>
      </c>
      <c r="I48" s="247">
        <v>96846</v>
      </c>
      <c r="J48" s="247">
        <v>155777</v>
      </c>
      <c r="K48" s="425">
        <f t="shared" si="11"/>
        <v>62.169639934008224</v>
      </c>
      <c r="L48" s="247">
        <v>0</v>
      </c>
      <c r="M48" s="247">
        <v>0</v>
      </c>
      <c r="N48" s="425">
        <v>0</v>
      </c>
      <c r="O48" s="247">
        <v>39</v>
      </c>
      <c r="P48" s="252">
        <v>135</v>
      </c>
      <c r="Q48" s="162">
        <f t="shared" si="13"/>
        <v>5265</v>
      </c>
    </row>
    <row r="49" spans="1:17" x14ac:dyDescent="0.25">
      <c r="A49" s="253">
        <v>14</v>
      </c>
      <c r="B49" s="304" t="s">
        <v>385</v>
      </c>
      <c r="C49" s="247">
        <v>10979</v>
      </c>
      <c r="D49" s="247">
        <v>10597</v>
      </c>
      <c r="E49" s="425">
        <f t="shared" si="9"/>
        <v>103.60479380956875</v>
      </c>
      <c r="F49" s="247">
        <v>1844</v>
      </c>
      <c r="G49" s="247">
        <v>1625</v>
      </c>
      <c r="H49" s="425">
        <f t="shared" si="10"/>
        <v>113.47692307692307</v>
      </c>
      <c r="I49" s="247">
        <v>10450</v>
      </c>
      <c r="J49" s="247">
        <v>8151</v>
      </c>
      <c r="K49" s="425">
        <f t="shared" si="11"/>
        <v>128.2051282051282</v>
      </c>
      <c r="L49" s="247">
        <v>0</v>
      </c>
      <c r="M49" s="247">
        <v>1576</v>
      </c>
      <c r="N49" s="425">
        <f t="shared" si="12"/>
        <v>0</v>
      </c>
      <c r="O49" s="247">
        <v>14</v>
      </c>
      <c r="P49" s="252">
        <v>80</v>
      </c>
      <c r="Q49" s="162">
        <f t="shared" si="13"/>
        <v>1120</v>
      </c>
    </row>
    <row r="50" spans="1:17" x14ac:dyDescent="0.25">
      <c r="A50" s="253">
        <v>15</v>
      </c>
      <c r="B50" s="304" t="s">
        <v>386</v>
      </c>
      <c r="C50" s="247">
        <v>0</v>
      </c>
      <c r="D50" s="247">
        <v>0</v>
      </c>
      <c r="E50" s="425" t="e">
        <f t="shared" si="9"/>
        <v>#DIV/0!</v>
      </c>
      <c r="F50" s="247">
        <v>0</v>
      </c>
      <c r="G50" s="247">
        <v>0</v>
      </c>
      <c r="H50" s="425">
        <v>0</v>
      </c>
      <c r="I50" s="247">
        <v>0</v>
      </c>
      <c r="J50" s="247">
        <v>0</v>
      </c>
      <c r="K50" s="425">
        <v>0</v>
      </c>
      <c r="L50" s="247">
        <v>0</v>
      </c>
      <c r="M50" s="247">
        <v>0</v>
      </c>
      <c r="N50" s="425">
        <v>0</v>
      </c>
      <c r="O50" s="247">
        <v>58</v>
      </c>
      <c r="P50" s="252">
        <v>140</v>
      </c>
      <c r="Q50" s="162">
        <f t="shared" si="13"/>
        <v>8120</v>
      </c>
    </row>
    <row r="51" spans="1:17" x14ac:dyDescent="0.25">
      <c r="A51" s="253">
        <v>16</v>
      </c>
      <c r="B51" s="304" t="s">
        <v>387</v>
      </c>
      <c r="C51" s="247">
        <v>0</v>
      </c>
      <c r="D51" s="247">
        <v>0</v>
      </c>
      <c r="E51" s="425" t="e">
        <f t="shared" si="9"/>
        <v>#DIV/0!</v>
      </c>
      <c r="F51" s="247">
        <v>0</v>
      </c>
      <c r="G51" s="247">
        <v>0</v>
      </c>
      <c r="H51" s="425">
        <v>0</v>
      </c>
      <c r="I51" s="247">
        <v>0</v>
      </c>
      <c r="J51" s="247">
        <v>0</v>
      </c>
      <c r="K51" s="425">
        <v>0</v>
      </c>
      <c r="L51" s="247">
        <v>0</v>
      </c>
      <c r="M51" s="247">
        <v>0</v>
      </c>
      <c r="N51" s="425">
        <v>0</v>
      </c>
      <c r="O51" s="247">
        <v>0</v>
      </c>
      <c r="P51" s="252">
        <v>45</v>
      </c>
      <c r="Q51" s="162">
        <f t="shared" si="13"/>
        <v>0</v>
      </c>
    </row>
    <row r="52" spans="1:17" x14ac:dyDescent="0.25">
      <c r="A52" s="253">
        <v>17</v>
      </c>
      <c r="B52" s="304" t="s">
        <v>388</v>
      </c>
      <c r="C52" s="247">
        <v>8655</v>
      </c>
      <c r="D52" s="247">
        <v>15126</v>
      </c>
      <c r="E52" s="425">
        <f t="shared" si="9"/>
        <v>57.219357397857998</v>
      </c>
      <c r="F52" s="247">
        <v>413</v>
      </c>
      <c r="G52" s="247">
        <v>3016</v>
      </c>
      <c r="H52" s="425">
        <f t="shared" si="10"/>
        <v>13.693633952254642</v>
      </c>
      <c r="I52" s="247">
        <v>8655</v>
      </c>
      <c r="J52" s="247">
        <v>15126</v>
      </c>
      <c r="K52" s="425">
        <f t="shared" si="11"/>
        <v>57.219357397857998</v>
      </c>
      <c r="L52" s="247">
        <v>0</v>
      </c>
      <c r="M52" s="247">
        <v>0</v>
      </c>
      <c r="N52" s="425">
        <v>0</v>
      </c>
      <c r="O52" s="247">
        <v>3</v>
      </c>
      <c r="P52" s="252">
        <v>63</v>
      </c>
      <c r="Q52" s="162">
        <f t="shared" si="13"/>
        <v>189</v>
      </c>
    </row>
    <row r="53" spans="1:17" x14ac:dyDescent="0.25">
      <c r="A53" s="253">
        <v>18</v>
      </c>
      <c r="B53" s="304" t="s">
        <v>389</v>
      </c>
      <c r="C53" s="247">
        <v>166706</v>
      </c>
      <c r="D53" s="247">
        <v>456503</v>
      </c>
      <c r="E53" s="425">
        <f t="shared" si="9"/>
        <v>36.518051360012969</v>
      </c>
      <c r="F53" s="247">
        <v>27158</v>
      </c>
      <c r="G53" s="247">
        <v>39426</v>
      </c>
      <c r="H53" s="425">
        <f t="shared" si="10"/>
        <v>68.883477907979511</v>
      </c>
      <c r="I53" s="247">
        <v>166706</v>
      </c>
      <c r="J53" s="247">
        <v>456503</v>
      </c>
      <c r="K53" s="425">
        <f t="shared" si="11"/>
        <v>36.518051360012969</v>
      </c>
      <c r="L53" s="247">
        <v>165056</v>
      </c>
      <c r="M53" s="247">
        <v>436181</v>
      </c>
      <c r="N53" s="425">
        <f t="shared" si="12"/>
        <v>37.84117144029657</v>
      </c>
      <c r="O53" s="247">
        <v>105</v>
      </c>
      <c r="P53" s="252">
        <v>87</v>
      </c>
      <c r="Q53" s="162">
        <f t="shared" si="13"/>
        <v>9135</v>
      </c>
    </row>
    <row r="54" spans="1:17" s="328" customFormat="1" x14ac:dyDescent="0.25">
      <c r="Q54" s="1"/>
    </row>
    <row r="55" spans="1:17" ht="30.75" customHeight="1" x14ac:dyDescent="0.25">
      <c r="A55" s="1033" t="s">
        <v>515</v>
      </c>
      <c r="B55" s="1034"/>
      <c r="C55" s="450">
        <f>SUM(C56:C67)</f>
        <v>803727</v>
      </c>
      <c r="D55" s="450">
        <f>SUM(D56:D67)</f>
        <v>731604</v>
      </c>
      <c r="E55" s="453">
        <f>C55/D55*100</f>
        <v>109.85820197811931</v>
      </c>
      <c r="F55" s="450">
        <f>SUM(F56:F67)</f>
        <v>172368</v>
      </c>
      <c r="G55" s="450">
        <f>SUM(G56:G67)</f>
        <v>163260</v>
      </c>
      <c r="H55" s="453">
        <f>F55/G55*100</f>
        <v>105.57883131201764</v>
      </c>
      <c r="I55" s="450">
        <f>SUM(I56:I67)</f>
        <v>801162</v>
      </c>
      <c r="J55" s="450">
        <f>SUM(J56:J67)</f>
        <v>738655</v>
      </c>
      <c r="K55" s="453">
        <f>I55/J55*100</f>
        <v>108.4622726441979</v>
      </c>
      <c r="L55" s="450">
        <f>SUM(L56:L67)</f>
        <v>508672</v>
      </c>
      <c r="M55" s="450">
        <f>SUM(M56:M67)</f>
        <v>479583</v>
      </c>
      <c r="N55" s="453">
        <f>L55/M55*100</f>
        <v>106.06547771710007</v>
      </c>
      <c r="O55" s="450">
        <f>SUM(O56:O67)</f>
        <v>683</v>
      </c>
      <c r="P55" s="455">
        <f>Q55/O55</f>
        <v>98.437774524158129</v>
      </c>
      <c r="Q55" s="498">
        <f>SUM(Q56:Q67)</f>
        <v>67233</v>
      </c>
    </row>
    <row r="56" spans="1:17" x14ac:dyDescent="0.25">
      <c r="A56" s="253">
        <v>1</v>
      </c>
      <c r="B56" s="304" t="s">
        <v>391</v>
      </c>
      <c r="C56" s="247">
        <v>183182</v>
      </c>
      <c r="D56" s="247">
        <v>241247</v>
      </c>
      <c r="E56" s="247">
        <f t="shared" ref="E56:E63" si="14">C56/D56*100</f>
        <v>75.931306917806225</v>
      </c>
      <c r="F56" s="247">
        <v>50208</v>
      </c>
      <c r="G56" s="247">
        <v>60146</v>
      </c>
      <c r="H56" s="247">
        <f t="shared" ref="H56:H63" si="15">F56/G56*100</f>
        <v>83.47687294250656</v>
      </c>
      <c r="I56" s="247">
        <v>171158</v>
      </c>
      <c r="J56" s="247">
        <v>253781</v>
      </c>
      <c r="K56" s="247">
        <f t="shared" ref="K56:K63" si="16">I56/J56*100</f>
        <v>67.443189206441772</v>
      </c>
      <c r="L56" s="247">
        <v>169609</v>
      </c>
      <c r="M56" s="247">
        <v>252501</v>
      </c>
      <c r="N56" s="247">
        <f t="shared" ref="N56:N63" si="17">L56/M56*100</f>
        <v>67.171615161920144</v>
      </c>
      <c r="O56" s="247">
        <v>138</v>
      </c>
      <c r="P56" s="247">
        <v>94</v>
      </c>
      <c r="Q56" s="162">
        <f>O56*P56</f>
        <v>12972</v>
      </c>
    </row>
    <row r="57" spans="1:17" x14ac:dyDescent="0.25">
      <c r="A57" s="253">
        <v>2</v>
      </c>
      <c r="B57" s="304" t="s">
        <v>392</v>
      </c>
      <c r="C57" s="247">
        <v>28680</v>
      </c>
      <c r="D57" s="247">
        <v>55546</v>
      </c>
      <c r="E57" s="247">
        <f t="shared" si="14"/>
        <v>51.632880855507146</v>
      </c>
      <c r="F57" s="247">
        <v>9178</v>
      </c>
      <c r="G57" s="247">
        <v>1187</v>
      </c>
      <c r="H57" s="247">
        <f t="shared" si="15"/>
        <v>773.20977253580452</v>
      </c>
      <c r="I57" s="247">
        <v>39765</v>
      </c>
      <c r="J57" s="247">
        <v>39659</v>
      </c>
      <c r="K57" s="247">
        <f t="shared" si="16"/>
        <v>100.26727854963565</v>
      </c>
      <c r="L57" s="247">
        <v>0</v>
      </c>
      <c r="M57" s="247">
        <v>0</v>
      </c>
      <c r="N57" s="247">
        <v>0</v>
      </c>
      <c r="O57" s="247">
        <v>104</v>
      </c>
      <c r="P57" s="247">
        <v>105</v>
      </c>
      <c r="Q57" s="162">
        <f t="shared" ref="Q57:Q64" si="18">O57*P57</f>
        <v>10920</v>
      </c>
    </row>
    <row r="58" spans="1:17" x14ac:dyDescent="0.25">
      <c r="A58" s="253">
        <v>3</v>
      </c>
      <c r="B58" s="304" t="s">
        <v>393</v>
      </c>
      <c r="C58" s="247">
        <v>104300</v>
      </c>
      <c r="D58" s="247">
        <v>13345</v>
      </c>
      <c r="E58" s="247">
        <f t="shared" si="14"/>
        <v>781.56612963656801</v>
      </c>
      <c r="F58" s="247">
        <v>19148</v>
      </c>
      <c r="G58" s="247">
        <v>17740</v>
      </c>
      <c r="H58" s="247">
        <f t="shared" si="15"/>
        <v>107.9368658399098</v>
      </c>
      <c r="I58" s="247">
        <v>104300</v>
      </c>
      <c r="J58" s="247">
        <v>13345</v>
      </c>
      <c r="K58" s="247">
        <f t="shared" si="16"/>
        <v>781.56612963656801</v>
      </c>
      <c r="L58" s="247">
        <v>0</v>
      </c>
      <c r="M58" s="247">
        <v>0</v>
      </c>
      <c r="N58" s="247">
        <v>0</v>
      </c>
      <c r="O58" s="247">
        <v>102</v>
      </c>
      <c r="P58" s="247">
        <v>120</v>
      </c>
      <c r="Q58" s="162">
        <f t="shared" si="18"/>
        <v>12240</v>
      </c>
    </row>
    <row r="59" spans="1:17" x14ac:dyDescent="0.25">
      <c r="A59" s="253">
        <v>4</v>
      </c>
      <c r="B59" s="304" t="s">
        <v>394</v>
      </c>
      <c r="C59" s="247">
        <v>196638</v>
      </c>
      <c r="D59" s="247">
        <v>165716</v>
      </c>
      <c r="E59" s="247">
        <f t="shared" si="14"/>
        <v>118.6596345555046</v>
      </c>
      <c r="F59" s="247">
        <v>52740</v>
      </c>
      <c r="G59" s="247">
        <v>47427</v>
      </c>
      <c r="H59" s="247">
        <f t="shared" si="15"/>
        <v>111.2024796002277</v>
      </c>
      <c r="I59" s="247">
        <v>196430</v>
      </c>
      <c r="J59" s="247">
        <v>165156</v>
      </c>
      <c r="K59" s="247">
        <f t="shared" si="16"/>
        <v>118.93603623241059</v>
      </c>
      <c r="L59" s="247">
        <v>77763</v>
      </c>
      <c r="M59" s="247">
        <v>54505</v>
      </c>
      <c r="N59" s="247">
        <f t="shared" si="17"/>
        <v>142.67131455829741</v>
      </c>
      <c r="O59" s="247">
        <v>68</v>
      </c>
      <c r="P59" s="247">
        <v>71</v>
      </c>
      <c r="Q59" s="162">
        <f t="shared" si="18"/>
        <v>4828</v>
      </c>
    </row>
    <row r="60" spans="1:17" x14ac:dyDescent="0.25">
      <c r="A60" s="253">
        <v>5</v>
      </c>
      <c r="B60" s="304" t="s">
        <v>395</v>
      </c>
      <c r="C60" s="247">
        <v>0</v>
      </c>
      <c r="D60" s="247">
        <v>0</v>
      </c>
      <c r="E60" s="247">
        <v>0</v>
      </c>
      <c r="F60" s="247">
        <v>0</v>
      </c>
      <c r="G60" s="247">
        <v>0</v>
      </c>
      <c r="H60" s="247">
        <v>0</v>
      </c>
      <c r="I60" s="247">
        <v>0</v>
      </c>
      <c r="J60" s="247">
        <v>0</v>
      </c>
      <c r="K60" s="247">
        <v>0</v>
      </c>
      <c r="L60" s="247">
        <v>0</v>
      </c>
      <c r="M60" s="247">
        <v>0</v>
      </c>
      <c r="N60" s="247">
        <v>0</v>
      </c>
      <c r="O60" s="247">
        <v>0</v>
      </c>
      <c r="P60" s="247">
        <v>0</v>
      </c>
      <c r="Q60" s="162">
        <f t="shared" si="18"/>
        <v>0</v>
      </c>
    </row>
    <row r="61" spans="1:17" x14ac:dyDescent="0.25">
      <c r="A61" s="253">
        <v>6</v>
      </c>
      <c r="B61" s="304" t="s">
        <v>396</v>
      </c>
      <c r="C61" s="247">
        <v>29598</v>
      </c>
      <c r="D61" s="247">
        <v>29137</v>
      </c>
      <c r="E61" s="247">
        <f t="shared" si="14"/>
        <v>101.58218073240211</v>
      </c>
      <c r="F61" s="247">
        <v>6478</v>
      </c>
      <c r="G61" s="247">
        <v>4895</v>
      </c>
      <c r="H61" s="247">
        <f t="shared" si="15"/>
        <v>132.33912155260469</v>
      </c>
      <c r="I61" s="247">
        <v>31946</v>
      </c>
      <c r="J61" s="247">
        <v>27811</v>
      </c>
      <c r="K61" s="247">
        <f t="shared" si="16"/>
        <v>114.86821761173636</v>
      </c>
      <c r="L61" s="247">
        <v>31948</v>
      </c>
      <c r="M61" s="247">
        <v>27811</v>
      </c>
      <c r="N61" s="247">
        <f t="shared" si="17"/>
        <v>114.87540901082305</v>
      </c>
      <c r="O61" s="247">
        <v>31</v>
      </c>
      <c r="P61" s="247">
        <v>67</v>
      </c>
      <c r="Q61" s="162">
        <f t="shared" si="18"/>
        <v>2077</v>
      </c>
    </row>
    <row r="62" spans="1:17" x14ac:dyDescent="0.25">
      <c r="A62" s="253">
        <v>7</v>
      </c>
      <c r="B62" s="304" t="s">
        <v>397</v>
      </c>
      <c r="C62" s="247">
        <v>49929</v>
      </c>
      <c r="D62" s="247">
        <v>18018</v>
      </c>
      <c r="E62" s="247">
        <f>C62/D62*100</f>
        <v>277.1062271062271</v>
      </c>
      <c r="F62" s="247">
        <v>9412</v>
      </c>
      <c r="G62" s="247">
        <v>5879</v>
      </c>
      <c r="H62" s="247">
        <f t="shared" si="15"/>
        <v>160.09525429494812</v>
      </c>
      <c r="I62" s="247">
        <v>34559</v>
      </c>
      <c r="J62" s="247">
        <v>33009</v>
      </c>
      <c r="K62" s="247">
        <f t="shared" si="16"/>
        <v>104.69568905450029</v>
      </c>
      <c r="L62" s="247">
        <v>34031</v>
      </c>
      <c r="M62" s="247">
        <v>32983</v>
      </c>
      <c r="N62" s="247">
        <f t="shared" si="17"/>
        <v>103.17739441530485</v>
      </c>
      <c r="O62" s="247">
        <v>33</v>
      </c>
      <c r="P62" s="247">
        <v>92</v>
      </c>
      <c r="Q62" s="162">
        <f t="shared" si="18"/>
        <v>3036</v>
      </c>
    </row>
    <row r="63" spans="1:17" x14ac:dyDescent="0.25">
      <c r="A63" s="253">
        <v>8</v>
      </c>
      <c r="B63" s="304" t="s">
        <v>398</v>
      </c>
      <c r="C63" s="247">
        <v>95900</v>
      </c>
      <c r="D63" s="247">
        <v>106200</v>
      </c>
      <c r="E63" s="247">
        <f t="shared" si="14"/>
        <v>90.301318267419958</v>
      </c>
      <c r="F63" s="247">
        <v>6000</v>
      </c>
      <c r="G63" s="247">
        <v>11400</v>
      </c>
      <c r="H63" s="247">
        <f t="shared" si="15"/>
        <v>52.631578947368418</v>
      </c>
      <c r="I63" s="247">
        <v>107504</v>
      </c>
      <c r="J63" s="247">
        <v>143479</v>
      </c>
      <c r="K63" s="247">
        <f t="shared" si="16"/>
        <v>74.926644317286843</v>
      </c>
      <c r="L63" s="247">
        <v>107504</v>
      </c>
      <c r="M63" s="247">
        <v>14379</v>
      </c>
      <c r="N63" s="247">
        <f t="shared" si="17"/>
        <v>747.64587245288271</v>
      </c>
      <c r="O63" s="247">
        <v>30</v>
      </c>
      <c r="P63" s="247">
        <v>90</v>
      </c>
      <c r="Q63" s="162">
        <f t="shared" si="18"/>
        <v>2700</v>
      </c>
    </row>
    <row r="64" spans="1:17" x14ac:dyDescent="0.25">
      <c r="A64" s="253">
        <v>9</v>
      </c>
      <c r="B64" s="304" t="s">
        <v>399</v>
      </c>
      <c r="C64" s="247">
        <v>0</v>
      </c>
      <c r="D64" s="247">
        <v>0</v>
      </c>
      <c r="E64" s="247">
        <v>0</v>
      </c>
      <c r="F64" s="247">
        <v>0</v>
      </c>
      <c r="G64" s="247">
        <v>0</v>
      </c>
      <c r="H64" s="247">
        <v>0</v>
      </c>
      <c r="I64" s="247">
        <v>0</v>
      </c>
      <c r="J64" s="247">
        <v>0</v>
      </c>
      <c r="K64" s="247">
        <v>0</v>
      </c>
      <c r="L64" s="247">
        <v>0</v>
      </c>
      <c r="M64" s="247">
        <v>0</v>
      </c>
      <c r="N64" s="247">
        <v>0</v>
      </c>
      <c r="O64" s="247">
        <v>0</v>
      </c>
      <c r="P64" s="247">
        <v>0</v>
      </c>
      <c r="Q64" s="162">
        <f t="shared" si="18"/>
        <v>0</v>
      </c>
    </row>
    <row r="65" spans="1:17" x14ac:dyDescent="0.25">
      <c r="A65" s="253">
        <v>10</v>
      </c>
      <c r="B65" s="304" t="s">
        <v>400</v>
      </c>
      <c r="C65" s="247">
        <v>37505</v>
      </c>
      <c r="D65" s="247">
        <v>53000</v>
      </c>
      <c r="E65" s="247">
        <f>C65/D65*100</f>
        <v>70.764150943396231</v>
      </c>
      <c r="F65" s="247">
        <v>4842</v>
      </c>
      <c r="G65" s="247">
        <v>6728</v>
      </c>
      <c r="H65" s="247">
        <f>F65/G65*100</f>
        <v>71.967895362663498</v>
      </c>
      <c r="I65" s="247">
        <v>37505</v>
      </c>
      <c r="J65" s="247">
        <v>53020</v>
      </c>
      <c r="K65" s="247">
        <f>I65/J65*100</f>
        <v>70.73745756318371</v>
      </c>
      <c r="L65" s="247">
        <v>37505</v>
      </c>
      <c r="M65" s="247">
        <v>53000</v>
      </c>
      <c r="N65" s="247">
        <f>L65/M65*100</f>
        <v>70.764150943396231</v>
      </c>
      <c r="O65" s="247">
        <v>49</v>
      </c>
      <c r="P65" s="247">
        <v>67</v>
      </c>
      <c r="Q65" s="157">
        <f>O65*P65</f>
        <v>3283</v>
      </c>
    </row>
    <row r="66" spans="1:17" x14ac:dyDescent="0.25">
      <c r="A66" s="253"/>
      <c r="B66" s="304" t="s">
        <v>520</v>
      </c>
      <c r="C66" s="247">
        <v>50312</v>
      </c>
      <c r="D66" s="247">
        <v>44404</v>
      </c>
      <c r="E66" s="247">
        <f>C66/D66*100</f>
        <v>113.30510764795964</v>
      </c>
      <c r="F66" s="247">
        <v>10886</v>
      </c>
      <c r="G66" s="247">
        <v>7858</v>
      </c>
      <c r="H66" s="247">
        <f>F66/G66*100</f>
        <v>138.53397811147875</v>
      </c>
      <c r="I66" s="247">
        <v>50312</v>
      </c>
      <c r="J66" s="247">
        <v>4404</v>
      </c>
      <c r="K66" s="247">
        <f>I66/J66*100</f>
        <v>1142.4159854677566</v>
      </c>
      <c r="L66" s="247">
        <v>50312</v>
      </c>
      <c r="M66" s="247">
        <v>44404</v>
      </c>
      <c r="N66" s="247">
        <f>L66/M66*100</f>
        <v>113.30510764795964</v>
      </c>
      <c r="O66" s="247">
        <v>69</v>
      </c>
      <c r="P66" s="247">
        <v>143</v>
      </c>
      <c r="Q66" s="157">
        <f>O66*P66</f>
        <v>9867</v>
      </c>
    </row>
    <row r="67" spans="1:17" x14ac:dyDescent="0.25">
      <c r="A67" s="253"/>
      <c r="B67" s="304" t="s">
        <v>522</v>
      </c>
      <c r="C67" s="247">
        <v>27683</v>
      </c>
      <c r="D67" s="247">
        <v>4991</v>
      </c>
      <c r="E67" s="247">
        <f>C67/D67*100</f>
        <v>554.65838509316768</v>
      </c>
      <c r="F67" s="247">
        <v>3476</v>
      </c>
      <c r="G67" s="247">
        <v>0</v>
      </c>
      <c r="H67" s="247"/>
      <c r="I67" s="247">
        <v>27683</v>
      </c>
      <c r="J67" s="247">
        <v>4991</v>
      </c>
      <c r="K67" s="247">
        <f>I67/J67*100</f>
        <v>554.65838509316768</v>
      </c>
      <c r="L67" s="247">
        <v>0</v>
      </c>
      <c r="M67" s="247">
        <v>0</v>
      </c>
      <c r="N67" s="247">
        <v>0</v>
      </c>
      <c r="O67" s="247">
        <v>59</v>
      </c>
      <c r="P67" s="247">
        <v>90</v>
      </c>
      <c r="Q67" s="157">
        <f>O67*P67</f>
        <v>5310</v>
      </c>
    </row>
    <row r="68" spans="1:17" ht="33" customHeight="1" x14ac:dyDescent="0.25"/>
    <row r="69" spans="1:17" ht="30.75" x14ac:dyDescent="0.25">
      <c r="A69" s="350"/>
      <c r="B69" s="441" t="s">
        <v>516</v>
      </c>
      <c r="C69" s="450">
        <f>SUM(C70:C77)</f>
        <v>591688</v>
      </c>
      <c r="D69" s="450">
        <f>SUM(D70:D77)</f>
        <v>749483</v>
      </c>
      <c r="E69" s="453">
        <f>C69/D69*100</f>
        <v>78.946153548512783</v>
      </c>
      <c r="F69" s="450">
        <f>SUM(F70:F77)</f>
        <v>118738</v>
      </c>
      <c r="G69" s="450">
        <f>SUM(G70:G77)</f>
        <v>171919</v>
      </c>
      <c r="H69" s="453">
        <f>F69/G69*100</f>
        <v>69.066246313670973</v>
      </c>
      <c r="I69" s="450">
        <f>SUM(I70:I77)</f>
        <v>592195</v>
      </c>
      <c r="J69" s="450">
        <f>SUM(J70:J77)</f>
        <v>800393</v>
      </c>
      <c r="K69" s="453">
        <f>I69/J69*100</f>
        <v>73.988028381057802</v>
      </c>
      <c r="L69" s="450">
        <f>SUM(L70:L77)</f>
        <v>313171</v>
      </c>
      <c r="M69" s="450">
        <f>SUM(M70:M77)</f>
        <v>453870</v>
      </c>
      <c r="N69" s="453">
        <f>L69/M69*100</f>
        <v>69.000154229184574</v>
      </c>
      <c r="O69" s="454">
        <f>SUM(O70:O77)</f>
        <v>443</v>
      </c>
      <c r="P69" s="455">
        <f>Q69/O69</f>
        <v>124.86230248306998</v>
      </c>
      <c r="Q69" s="506">
        <f>SUM(Q70:Q77)</f>
        <v>55314</v>
      </c>
    </row>
    <row r="70" spans="1:17" x14ac:dyDescent="0.25">
      <c r="A70" s="245">
        <v>1</v>
      </c>
      <c r="B70" s="304" t="s">
        <v>402</v>
      </c>
      <c r="C70" s="247">
        <v>8480</v>
      </c>
      <c r="D70" s="247">
        <v>7485</v>
      </c>
      <c r="E70" s="247">
        <f t="shared" ref="E70:E77" si="19">C70/D70*100</f>
        <v>113.29325317301269</v>
      </c>
      <c r="F70" s="247">
        <v>5175</v>
      </c>
      <c r="G70" s="247">
        <v>0</v>
      </c>
      <c r="H70" s="247"/>
      <c r="I70" s="247">
        <v>23480</v>
      </c>
      <c r="J70" s="247">
        <v>15580</v>
      </c>
      <c r="K70" s="247">
        <f t="shared" ref="K70:K77" si="20">I70/J70*100</f>
        <v>150.70603337612323</v>
      </c>
      <c r="L70" s="247">
        <v>1653</v>
      </c>
      <c r="M70" s="247">
        <v>14671</v>
      </c>
      <c r="N70" s="247">
        <f t="shared" ref="N70:N77" si="21">L70/M70*100</f>
        <v>11.267125621975325</v>
      </c>
      <c r="O70" s="247">
        <v>135</v>
      </c>
      <c r="P70" s="247">
        <v>55</v>
      </c>
      <c r="Q70" s="162">
        <f>O70*P70</f>
        <v>7425</v>
      </c>
    </row>
    <row r="71" spans="1:17" x14ac:dyDescent="0.25">
      <c r="A71" s="245">
        <v>2</v>
      </c>
      <c r="B71" s="304" t="s">
        <v>403</v>
      </c>
      <c r="C71" s="247">
        <v>41664</v>
      </c>
      <c r="D71" s="247">
        <v>311715</v>
      </c>
      <c r="E71" s="247">
        <f t="shared" si="19"/>
        <v>13.366055531495116</v>
      </c>
      <c r="F71" s="247">
        <v>1073</v>
      </c>
      <c r="G71" s="247">
        <v>77777</v>
      </c>
      <c r="H71" s="247">
        <f t="shared" ref="H71:H77" si="22">F71/G71*100</f>
        <v>1.3795852244236728</v>
      </c>
      <c r="I71" s="247">
        <v>41760</v>
      </c>
      <c r="J71" s="247">
        <v>311844</v>
      </c>
      <c r="K71" s="247">
        <f t="shared" si="20"/>
        <v>13.391311040135454</v>
      </c>
      <c r="L71" s="247">
        <v>41760</v>
      </c>
      <c r="M71" s="247">
        <v>311844</v>
      </c>
      <c r="N71" s="247">
        <f t="shared" si="21"/>
        <v>13.391311040135454</v>
      </c>
      <c r="O71" s="247">
        <v>4</v>
      </c>
      <c r="P71" s="247">
        <v>102</v>
      </c>
      <c r="Q71" s="162">
        <f t="shared" ref="Q71:Q77" si="23">O71*P71</f>
        <v>408</v>
      </c>
    </row>
    <row r="72" spans="1:17" x14ac:dyDescent="0.25">
      <c r="A72" s="245">
        <v>3</v>
      </c>
      <c r="B72" s="304" t="s">
        <v>404</v>
      </c>
      <c r="C72" s="247">
        <v>799</v>
      </c>
      <c r="D72" s="247">
        <v>696</v>
      </c>
      <c r="E72" s="247">
        <f t="shared" si="19"/>
        <v>114.79885057471265</v>
      </c>
      <c r="F72" s="247">
        <v>130</v>
      </c>
      <c r="G72" s="247">
        <v>1943</v>
      </c>
      <c r="H72" s="247">
        <f t="shared" si="22"/>
        <v>6.6906845084920228</v>
      </c>
      <c r="I72" s="247">
        <v>5108</v>
      </c>
      <c r="J72" s="247">
        <v>14511</v>
      </c>
      <c r="K72" s="247">
        <f t="shared" si="20"/>
        <v>35.200882089449379</v>
      </c>
      <c r="L72" s="247">
        <v>0</v>
      </c>
      <c r="M72" s="247">
        <v>7659</v>
      </c>
      <c r="N72" s="247">
        <f t="shared" si="21"/>
        <v>0</v>
      </c>
      <c r="O72" s="247">
        <v>38</v>
      </c>
      <c r="P72" s="247">
        <v>71</v>
      </c>
      <c r="Q72" s="162">
        <f t="shared" si="23"/>
        <v>2698</v>
      </c>
    </row>
    <row r="73" spans="1:17" x14ac:dyDescent="0.25">
      <c r="A73" s="245">
        <v>4</v>
      </c>
      <c r="B73" s="304" t="s">
        <v>405</v>
      </c>
      <c r="C73" s="247">
        <v>9878</v>
      </c>
      <c r="D73" s="247">
        <v>33977</v>
      </c>
      <c r="E73" s="247">
        <f t="shared" si="19"/>
        <v>29.072607940665744</v>
      </c>
      <c r="F73" s="247">
        <v>977</v>
      </c>
      <c r="G73" s="247">
        <v>1423</v>
      </c>
      <c r="H73" s="247">
        <f t="shared" si="22"/>
        <v>68.65776528460998</v>
      </c>
      <c r="I73" s="247">
        <v>1778</v>
      </c>
      <c r="J73" s="247">
        <v>41928</v>
      </c>
      <c r="K73" s="247">
        <f t="shared" si="20"/>
        <v>4.2406029383705395</v>
      </c>
      <c r="L73" s="247">
        <v>0</v>
      </c>
      <c r="M73" s="247">
        <v>34491</v>
      </c>
      <c r="N73" s="247">
        <f t="shared" si="21"/>
        <v>0</v>
      </c>
      <c r="O73" s="247">
        <v>34</v>
      </c>
      <c r="P73" s="247">
        <v>50</v>
      </c>
      <c r="Q73" s="162">
        <f t="shared" si="23"/>
        <v>1700</v>
      </c>
    </row>
    <row r="74" spans="1:17" x14ac:dyDescent="0.25">
      <c r="A74" s="245">
        <v>5</v>
      </c>
      <c r="B74" s="304" t="s">
        <v>406</v>
      </c>
      <c r="C74" s="247">
        <v>5510</v>
      </c>
      <c r="D74" s="247">
        <v>5168</v>
      </c>
      <c r="E74" s="247">
        <f t="shared" si="19"/>
        <v>106.61764705882352</v>
      </c>
      <c r="F74" s="247">
        <v>4343</v>
      </c>
      <c r="G74" s="247">
        <v>3318</v>
      </c>
      <c r="H74" s="247">
        <f t="shared" si="22"/>
        <v>130.89210367691379</v>
      </c>
      <c r="I74" s="247">
        <v>5510</v>
      </c>
      <c r="J74" s="247">
        <v>5168</v>
      </c>
      <c r="K74" s="247">
        <f t="shared" si="20"/>
        <v>106.61764705882352</v>
      </c>
      <c r="L74" s="247">
        <v>0</v>
      </c>
      <c r="M74" s="247">
        <v>0</v>
      </c>
      <c r="N74" s="247">
        <v>0</v>
      </c>
      <c r="O74" s="247">
        <v>64</v>
      </c>
      <c r="P74" s="247">
        <v>133</v>
      </c>
      <c r="Q74" s="162">
        <f t="shared" si="23"/>
        <v>8512</v>
      </c>
    </row>
    <row r="75" spans="1:17" x14ac:dyDescent="0.25">
      <c r="A75" s="248">
        <v>6</v>
      </c>
      <c r="B75" s="304" t="s">
        <v>407</v>
      </c>
      <c r="C75" s="247">
        <v>202</v>
      </c>
      <c r="D75" s="247">
        <v>35835</v>
      </c>
      <c r="E75" s="247">
        <f t="shared" si="19"/>
        <v>0.56369471187386633</v>
      </c>
      <c r="F75" s="247">
        <v>16</v>
      </c>
      <c r="G75" s="247">
        <v>0</v>
      </c>
      <c r="H75" s="247" t="e">
        <f t="shared" si="22"/>
        <v>#DIV/0!</v>
      </c>
      <c r="I75" s="247">
        <v>485</v>
      </c>
      <c r="J75" s="247">
        <v>54980</v>
      </c>
      <c r="K75" s="247">
        <f t="shared" si="20"/>
        <v>0.88213895962168054</v>
      </c>
      <c r="L75" s="247">
        <v>53</v>
      </c>
      <c r="M75" s="247">
        <v>33896</v>
      </c>
      <c r="N75" s="247">
        <f t="shared" si="21"/>
        <v>0.15636063252301155</v>
      </c>
      <c r="O75" s="247">
        <v>7</v>
      </c>
      <c r="P75" s="247">
        <v>70</v>
      </c>
      <c r="Q75" s="162">
        <f t="shared" si="23"/>
        <v>490</v>
      </c>
    </row>
    <row r="76" spans="1:17" x14ac:dyDescent="0.25">
      <c r="A76" s="245">
        <v>7</v>
      </c>
      <c r="B76" s="304" t="s">
        <v>408</v>
      </c>
      <c r="C76" s="247">
        <v>460792</v>
      </c>
      <c r="D76" s="247">
        <v>306531</v>
      </c>
      <c r="E76" s="247">
        <f t="shared" si="19"/>
        <v>150.32476323764971</v>
      </c>
      <c r="F76" s="247">
        <v>94279</v>
      </c>
      <c r="G76" s="247">
        <v>74704</v>
      </c>
      <c r="H76" s="247">
        <f t="shared" si="22"/>
        <v>126.20341614906832</v>
      </c>
      <c r="I76" s="247">
        <v>449711</v>
      </c>
      <c r="J76" s="247">
        <v>308306</v>
      </c>
      <c r="K76" s="247">
        <f t="shared" si="20"/>
        <v>145.86514696437956</v>
      </c>
      <c r="L76" s="247">
        <v>269705</v>
      </c>
      <c r="M76" s="247">
        <v>50264</v>
      </c>
      <c r="N76" s="247">
        <f t="shared" si="21"/>
        <v>536.57687410472704</v>
      </c>
      <c r="O76" s="247">
        <v>131</v>
      </c>
      <c r="P76" s="247">
        <v>251</v>
      </c>
      <c r="Q76" s="162">
        <f t="shared" si="23"/>
        <v>32881</v>
      </c>
    </row>
    <row r="77" spans="1:17" x14ac:dyDescent="0.25">
      <c r="A77" s="245">
        <v>8</v>
      </c>
      <c r="B77" s="304" t="s">
        <v>409</v>
      </c>
      <c r="C77" s="247">
        <v>64363</v>
      </c>
      <c r="D77" s="247">
        <v>48076</v>
      </c>
      <c r="E77" s="247">
        <f t="shared" si="19"/>
        <v>133.87761045012064</v>
      </c>
      <c r="F77" s="247">
        <v>12745</v>
      </c>
      <c r="G77" s="247">
        <v>12754</v>
      </c>
      <c r="H77" s="247">
        <f t="shared" si="22"/>
        <v>99.929433903089233</v>
      </c>
      <c r="I77" s="247">
        <v>64363</v>
      </c>
      <c r="J77" s="247">
        <v>48076</v>
      </c>
      <c r="K77" s="247">
        <f t="shared" si="20"/>
        <v>133.87761045012064</v>
      </c>
      <c r="L77" s="247">
        <v>0</v>
      </c>
      <c r="M77" s="247">
        <v>1045</v>
      </c>
      <c r="N77" s="247">
        <f t="shared" si="21"/>
        <v>0</v>
      </c>
      <c r="O77" s="247">
        <v>30</v>
      </c>
      <c r="P77" s="247">
        <v>40</v>
      </c>
      <c r="Q77" s="162">
        <f t="shared" si="23"/>
        <v>1200</v>
      </c>
    </row>
    <row r="78" spans="1:17" s="131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507"/>
    </row>
    <row r="79" spans="1:17" s="126" customFormat="1" ht="30" x14ac:dyDescent="0.25">
      <c r="A79" s="428"/>
      <c r="B79" s="442" t="s">
        <v>410</v>
      </c>
      <c r="C79" s="450">
        <f>SUM(C80:C91)</f>
        <v>3483095</v>
      </c>
      <c r="D79" s="450">
        <f>SUM(D80:D91)</f>
        <v>3326718</v>
      </c>
      <c r="E79" s="453">
        <f>C79/D79*100</f>
        <v>104.70063888793699</v>
      </c>
      <c r="F79" s="450">
        <f>SUM(F80:F91)</f>
        <v>707538</v>
      </c>
      <c r="G79" s="450">
        <f>SUM(G80:G91)</f>
        <v>663211</v>
      </c>
      <c r="H79" s="453">
        <f>F79/G79*100</f>
        <v>106.68369493268357</v>
      </c>
      <c r="I79" s="450">
        <f>SUM(I80:I91)</f>
        <v>4474933</v>
      </c>
      <c r="J79" s="450">
        <f>SUM(J80:J91)</f>
        <v>5140830</v>
      </c>
      <c r="K79" s="453">
        <f>I79/J79*100</f>
        <v>87.046897096383276</v>
      </c>
      <c r="L79" s="450">
        <f>SUM(L80:L91)</f>
        <v>1498744</v>
      </c>
      <c r="M79" s="450">
        <f>SUM(M80:M91)</f>
        <v>1709290</v>
      </c>
      <c r="N79" s="453">
        <f>L79/M79*100</f>
        <v>87.682254035301213</v>
      </c>
      <c r="O79" s="450">
        <f>SUM(O80:O91)</f>
        <v>3734</v>
      </c>
      <c r="P79" s="455">
        <f>Q79/O79</f>
        <v>113.91671130155329</v>
      </c>
      <c r="Q79" s="508">
        <f>SUM(Q80:Q91)</f>
        <v>425365</v>
      </c>
    </row>
    <row r="80" spans="1:17" x14ac:dyDescent="0.25">
      <c r="A80" s="260">
        <v>1</v>
      </c>
      <c r="B80" s="304" t="s">
        <v>411</v>
      </c>
      <c r="C80" s="247">
        <v>1026</v>
      </c>
      <c r="D80" s="247">
        <v>2510</v>
      </c>
      <c r="E80" s="247">
        <f t="shared" ref="E80:E90" si="24">C80/D80*100</f>
        <v>40.876494023904378</v>
      </c>
      <c r="F80" s="247">
        <v>580</v>
      </c>
      <c r="G80" s="247">
        <v>424</v>
      </c>
      <c r="H80" s="247">
        <f t="shared" ref="H80:H90" si="25">F80/G80*100</f>
        <v>136.79245283018869</v>
      </c>
      <c r="I80" s="247">
        <v>1026</v>
      </c>
      <c r="J80" s="247">
        <v>2510</v>
      </c>
      <c r="K80" s="247">
        <f t="shared" ref="K80:K90" si="26">I80/J80*100</f>
        <v>40.876494023904378</v>
      </c>
      <c r="L80" s="247">
        <v>0</v>
      </c>
      <c r="M80" s="247">
        <v>0</v>
      </c>
      <c r="N80" s="247" t="e">
        <f t="shared" ref="N80:N90" si="27">L80/M80*100</f>
        <v>#DIV/0!</v>
      </c>
      <c r="O80" s="247">
        <v>2267</v>
      </c>
      <c r="P80" s="247">
        <v>113</v>
      </c>
      <c r="Q80" s="162">
        <f t="shared" ref="Q80:Q90" si="28">O80*P80</f>
        <v>256171</v>
      </c>
    </row>
    <row r="81" spans="1:18" x14ac:dyDescent="0.25">
      <c r="A81" s="261">
        <v>2</v>
      </c>
      <c r="B81" s="304" t="s">
        <v>412</v>
      </c>
      <c r="C81" s="247">
        <v>3433</v>
      </c>
      <c r="D81" s="247">
        <v>319862</v>
      </c>
      <c r="E81" s="247">
        <f t="shared" si="24"/>
        <v>1.0732753499946852</v>
      </c>
      <c r="F81" s="247">
        <v>928</v>
      </c>
      <c r="G81" s="247">
        <v>700</v>
      </c>
      <c r="H81" s="247">
        <f t="shared" si="25"/>
        <v>132.57142857142856</v>
      </c>
      <c r="I81" s="247">
        <v>4073</v>
      </c>
      <c r="J81" s="247">
        <v>370717</v>
      </c>
      <c r="K81" s="247">
        <f t="shared" si="26"/>
        <v>1.0986817437560188</v>
      </c>
      <c r="L81" s="247">
        <v>0</v>
      </c>
      <c r="M81" s="247">
        <v>361588</v>
      </c>
      <c r="N81" s="247">
        <f t="shared" si="27"/>
        <v>0</v>
      </c>
      <c r="O81" s="247">
        <v>658</v>
      </c>
      <c r="P81" s="247">
        <v>105</v>
      </c>
      <c r="Q81" s="162">
        <f t="shared" si="28"/>
        <v>69090</v>
      </c>
    </row>
    <row r="82" spans="1:18" x14ac:dyDescent="0.25">
      <c r="A82" s="260">
        <v>3</v>
      </c>
      <c r="B82" s="304" t="s">
        <v>413</v>
      </c>
      <c r="C82" s="247">
        <v>579435</v>
      </c>
      <c r="D82" s="247">
        <v>489027</v>
      </c>
      <c r="E82" s="247">
        <f t="shared" si="24"/>
        <v>118.48732278585845</v>
      </c>
      <c r="F82" s="247">
        <v>96985</v>
      </c>
      <c r="G82" s="247">
        <v>130971</v>
      </c>
      <c r="H82" s="247">
        <f t="shared" si="25"/>
        <v>74.050744057844867</v>
      </c>
      <c r="I82" s="247">
        <v>659539</v>
      </c>
      <c r="J82" s="247">
        <v>611460</v>
      </c>
      <c r="K82" s="247">
        <f t="shared" si="26"/>
        <v>107.86298367840905</v>
      </c>
      <c r="L82" s="247">
        <v>125191</v>
      </c>
      <c r="M82" s="247">
        <v>137892</v>
      </c>
      <c r="N82" s="247">
        <f t="shared" si="27"/>
        <v>90.789168334638703</v>
      </c>
      <c r="O82" s="247">
        <v>34</v>
      </c>
      <c r="P82" s="247">
        <v>365</v>
      </c>
      <c r="Q82" s="162">
        <f t="shared" si="28"/>
        <v>12410</v>
      </c>
    </row>
    <row r="83" spans="1:18" x14ac:dyDescent="0.25">
      <c r="A83" s="261">
        <v>4</v>
      </c>
      <c r="B83" s="304" t="s">
        <v>414</v>
      </c>
      <c r="C83" s="247">
        <v>605033</v>
      </c>
      <c r="D83" s="247">
        <v>490316</v>
      </c>
      <c r="E83" s="247">
        <f t="shared" si="24"/>
        <v>123.39654426940993</v>
      </c>
      <c r="F83" s="247">
        <v>137836</v>
      </c>
      <c r="G83" s="247">
        <v>85010</v>
      </c>
      <c r="H83" s="247">
        <f t="shared" si="25"/>
        <v>162.14092459710622</v>
      </c>
      <c r="I83" s="247">
        <v>597183</v>
      </c>
      <c r="J83" s="247">
        <v>460234</v>
      </c>
      <c r="K83" s="247">
        <f t="shared" si="26"/>
        <v>129.75638479556051</v>
      </c>
      <c r="L83" s="247">
        <v>450496</v>
      </c>
      <c r="M83" s="247">
        <v>297325</v>
      </c>
      <c r="N83" s="247">
        <f t="shared" si="27"/>
        <v>151.51635415790801</v>
      </c>
      <c r="O83" s="247">
        <v>186</v>
      </c>
      <c r="P83" s="247">
        <v>40</v>
      </c>
      <c r="Q83" s="162">
        <f t="shared" si="28"/>
        <v>7440</v>
      </c>
    </row>
    <row r="84" spans="1:18" x14ac:dyDescent="0.25">
      <c r="A84" s="260">
        <v>5</v>
      </c>
      <c r="B84" s="304" t="s">
        <v>415</v>
      </c>
      <c r="C84" s="247">
        <v>143055</v>
      </c>
      <c r="D84" s="247">
        <v>179828</v>
      </c>
      <c r="E84" s="247">
        <f t="shared" si="24"/>
        <v>79.551015414729633</v>
      </c>
      <c r="F84" s="247">
        <v>19611</v>
      </c>
      <c r="G84" s="247">
        <v>34603</v>
      </c>
      <c r="H84" s="247">
        <f t="shared" si="25"/>
        <v>56.674276796809529</v>
      </c>
      <c r="I84" s="247">
        <v>138754</v>
      </c>
      <c r="J84" s="247">
        <v>184743</v>
      </c>
      <c r="K84" s="247">
        <f t="shared" si="26"/>
        <v>75.106499299026225</v>
      </c>
      <c r="L84" s="247">
        <v>75568</v>
      </c>
      <c r="M84" s="247">
        <v>102275</v>
      </c>
      <c r="N84" s="247">
        <f t="shared" si="27"/>
        <v>73.88706917624053</v>
      </c>
      <c r="O84" s="247">
        <v>88</v>
      </c>
      <c r="P84" s="247">
        <v>70</v>
      </c>
      <c r="Q84" s="162">
        <f t="shared" si="28"/>
        <v>6160</v>
      </c>
    </row>
    <row r="85" spans="1:18" x14ac:dyDescent="0.25">
      <c r="A85" s="261">
        <v>6</v>
      </c>
      <c r="B85" s="304" t="s">
        <v>416</v>
      </c>
      <c r="C85" s="247">
        <v>0</v>
      </c>
      <c r="D85" s="247">
        <v>0</v>
      </c>
      <c r="E85" s="247">
        <v>0</v>
      </c>
      <c r="F85" s="247">
        <v>0</v>
      </c>
      <c r="G85" s="247">
        <v>0</v>
      </c>
      <c r="H85" s="247">
        <v>0</v>
      </c>
      <c r="I85" s="247">
        <v>0</v>
      </c>
      <c r="J85" s="247">
        <v>0</v>
      </c>
      <c r="K85" s="247">
        <v>0</v>
      </c>
      <c r="L85" s="247">
        <v>0</v>
      </c>
      <c r="M85" s="247">
        <v>0</v>
      </c>
      <c r="N85" s="247">
        <v>0</v>
      </c>
      <c r="O85" s="247">
        <v>0</v>
      </c>
      <c r="P85" s="247">
        <v>0</v>
      </c>
      <c r="Q85" s="162">
        <f t="shared" si="28"/>
        <v>0</v>
      </c>
    </row>
    <row r="86" spans="1:18" x14ac:dyDescent="0.25">
      <c r="A86" s="261">
        <v>7</v>
      </c>
      <c r="B86" s="304" t="s">
        <v>417</v>
      </c>
      <c r="C86" s="247">
        <v>329601</v>
      </c>
      <c r="D86" s="247">
        <v>286001</v>
      </c>
      <c r="E86" s="247">
        <f t="shared" si="24"/>
        <v>115.24470194160162</v>
      </c>
      <c r="F86" s="247">
        <v>77454</v>
      </c>
      <c r="G86" s="247">
        <v>58514</v>
      </c>
      <c r="H86" s="247">
        <f t="shared" si="25"/>
        <v>132.36832211094779</v>
      </c>
      <c r="I86" s="247">
        <v>423430</v>
      </c>
      <c r="J86" s="247">
        <v>523435</v>
      </c>
      <c r="K86" s="247">
        <f t="shared" si="26"/>
        <v>80.894475913914803</v>
      </c>
      <c r="L86" s="247">
        <v>48604</v>
      </c>
      <c r="M86" s="247">
        <v>151741</v>
      </c>
      <c r="N86" s="247">
        <f t="shared" si="27"/>
        <v>32.030894748288205</v>
      </c>
      <c r="O86" s="247">
        <v>65</v>
      </c>
      <c r="P86" s="247">
        <v>70</v>
      </c>
      <c r="Q86" s="162">
        <f t="shared" si="28"/>
        <v>4550</v>
      </c>
    </row>
    <row r="87" spans="1:18" x14ac:dyDescent="0.25">
      <c r="A87" s="260">
        <v>8</v>
      </c>
      <c r="B87" s="304" t="s">
        <v>418</v>
      </c>
      <c r="C87" s="247">
        <v>1021857</v>
      </c>
      <c r="D87" s="247">
        <v>760742</v>
      </c>
      <c r="E87" s="247">
        <f t="shared" si="24"/>
        <v>134.32372604641259</v>
      </c>
      <c r="F87" s="247">
        <v>225784</v>
      </c>
      <c r="G87" s="247">
        <v>151443</v>
      </c>
      <c r="H87" s="247">
        <f t="shared" si="25"/>
        <v>149.08843591318185</v>
      </c>
      <c r="I87" s="247">
        <v>986140</v>
      </c>
      <c r="J87" s="247">
        <v>753935</v>
      </c>
      <c r="K87" s="247">
        <f t="shared" si="26"/>
        <v>130.79907419074587</v>
      </c>
      <c r="L87" s="247">
        <v>651702</v>
      </c>
      <c r="M87" s="247">
        <v>459852</v>
      </c>
      <c r="N87" s="247">
        <f t="shared" si="27"/>
        <v>141.71994467785288</v>
      </c>
      <c r="O87" s="247">
        <v>105</v>
      </c>
      <c r="P87" s="247">
        <v>261</v>
      </c>
      <c r="Q87" s="162">
        <f t="shared" si="28"/>
        <v>27405</v>
      </c>
    </row>
    <row r="88" spans="1:18" x14ac:dyDescent="0.25">
      <c r="A88" s="260">
        <v>9</v>
      </c>
      <c r="B88" s="304" t="s">
        <v>419</v>
      </c>
      <c r="C88" s="247">
        <v>444433</v>
      </c>
      <c r="D88" s="247">
        <v>458371</v>
      </c>
      <c r="E88" s="247">
        <f t="shared" si="24"/>
        <v>96.959231714048215</v>
      </c>
      <c r="F88" s="247">
        <v>71796</v>
      </c>
      <c r="G88" s="247">
        <v>104301</v>
      </c>
      <c r="H88" s="247">
        <f t="shared" si="25"/>
        <v>68.835389881209196</v>
      </c>
      <c r="I88" s="247">
        <v>377979</v>
      </c>
      <c r="J88" s="247">
        <v>413647</v>
      </c>
      <c r="K88" s="247">
        <f t="shared" si="26"/>
        <v>91.377188762398859</v>
      </c>
      <c r="L88" s="247">
        <v>101600</v>
      </c>
      <c r="M88" s="247">
        <v>87730</v>
      </c>
      <c r="N88" s="247">
        <f t="shared" si="27"/>
        <v>115.80987119571414</v>
      </c>
      <c r="O88" s="247">
        <v>87</v>
      </c>
      <c r="P88" s="247">
        <v>141</v>
      </c>
      <c r="Q88" s="162">
        <f t="shared" si="28"/>
        <v>12267</v>
      </c>
    </row>
    <row r="89" spans="1:18" x14ac:dyDescent="0.25">
      <c r="A89" s="260">
        <v>10</v>
      </c>
      <c r="B89" s="304" t="s">
        <v>420</v>
      </c>
      <c r="C89" s="247">
        <v>74702</v>
      </c>
      <c r="D89" s="247">
        <v>132386</v>
      </c>
      <c r="E89" s="247">
        <f t="shared" si="24"/>
        <v>56.42741679633798</v>
      </c>
      <c r="F89" s="247">
        <v>7838</v>
      </c>
      <c r="G89" s="247">
        <v>64632</v>
      </c>
      <c r="H89" s="247">
        <f t="shared" si="25"/>
        <v>12.127119693031316</v>
      </c>
      <c r="I89" s="247">
        <v>7838</v>
      </c>
      <c r="J89" s="247">
        <v>64632</v>
      </c>
      <c r="K89" s="247">
        <f t="shared" si="26"/>
        <v>12.127119693031316</v>
      </c>
      <c r="L89" s="247">
        <v>1123</v>
      </c>
      <c r="M89" s="247">
        <v>80753</v>
      </c>
      <c r="N89" s="247">
        <f t="shared" si="27"/>
        <v>1.3906604089012171</v>
      </c>
      <c r="O89" s="247">
        <v>30</v>
      </c>
      <c r="P89" s="247">
        <v>142</v>
      </c>
      <c r="Q89" s="162">
        <f t="shared" si="28"/>
        <v>4260</v>
      </c>
    </row>
    <row r="90" spans="1:18" x14ac:dyDescent="0.25">
      <c r="A90" s="261">
        <v>11</v>
      </c>
      <c r="B90" s="304" t="s">
        <v>421</v>
      </c>
      <c r="C90" s="247">
        <v>197817</v>
      </c>
      <c r="D90" s="247">
        <v>173006</v>
      </c>
      <c r="E90" s="247">
        <f t="shared" si="24"/>
        <v>114.34112111718669</v>
      </c>
      <c r="F90" s="247">
        <v>37882</v>
      </c>
      <c r="G90" s="247">
        <v>27916</v>
      </c>
      <c r="H90" s="247">
        <f t="shared" si="25"/>
        <v>135.69995701389882</v>
      </c>
      <c r="I90" s="247">
        <v>1198633</v>
      </c>
      <c r="J90" s="247">
        <v>1720881</v>
      </c>
      <c r="K90" s="247">
        <f t="shared" si="26"/>
        <v>69.65228856614722</v>
      </c>
      <c r="L90" s="247">
        <v>20983</v>
      </c>
      <c r="M90" s="247">
        <v>19273</v>
      </c>
      <c r="N90" s="247">
        <f t="shared" si="27"/>
        <v>108.87251595496291</v>
      </c>
      <c r="O90" s="247">
        <v>48</v>
      </c>
      <c r="P90" s="247">
        <v>250</v>
      </c>
      <c r="Q90" s="162">
        <f t="shared" si="28"/>
        <v>12000</v>
      </c>
    </row>
    <row r="91" spans="1:18" x14ac:dyDescent="0.25">
      <c r="A91" s="271">
        <v>2</v>
      </c>
      <c r="B91" s="304" t="s">
        <v>422</v>
      </c>
      <c r="C91" s="247">
        <v>82703</v>
      </c>
      <c r="D91" s="247">
        <v>34669</v>
      </c>
      <c r="E91" s="247">
        <f>C91/D91*100</f>
        <v>238.55028988433472</v>
      </c>
      <c r="F91" s="247">
        <v>30844</v>
      </c>
      <c r="G91" s="247">
        <v>4697</v>
      </c>
      <c r="H91" s="247">
        <f>F91/G91*100</f>
        <v>656.67447306791576</v>
      </c>
      <c r="I91" s="247">
        <v>80338</v>
      </c>
      <c r="J91" s="247">
        <v>34636</v>
      </c>
      <c r="K91" s="247">
        <f>I91/J91*100</f>
        <v>231.94941679177737</v>
      </c>
      <c r="L91" s="247">
        <v>23477</v>
      </c>
      <c r="M91" s="247">
        <v>10861</v>
      </c>
      <c r="N91" s="247">
        <f>L91/M91*100</f>
        <v>216.15873308166837</v>
      </c>
      <c r="O91" s="247">
        <v>166</v>
      </c>
      <c r="P91" s="247">
        <v>82</v>
      </c>
      <c r="Q91" s="157">
        <f>O91*P91</f>
        <v>13612</v>
      </c>
    </row>
    <row r="93" spans="1:18" s="126" customFormat="1" ht="37.5" customHeight="1" x14ac:dyDescent="0.25">
      <c r="A93" s="421"/>
      <c r="B93" s="442" t="s">
        <v>423</v>
      </c>
      <c r="C93" s="450">
        <f>SUM(C94:C120)</f>
        <v>2153452</v>
      </c>
      <c r="D93" s="450">
        <f>SUM(D94:D120)</f>
        <v>1419075</v>
      </c>
      <c r="E93" s="453">
        <f>C93/D93*100</f>
        <v>151.7504007892465</v>
      </c>
      <c r="F93" s="450">
        <f>SUM(F94:F120)</f>
        <v>355712</v>
      </c>
      <c r="G93" s="450">
        <f>SUM(G94:G120)</f>
        <v>300697</v>
      </c>
      <c r="H93" s="453">
        <f>F93/G93*100</f>
        <v>118.29582603085498</v>
      </c>
      <c r="I93" s="450">
        <f>SUM(I94:I120)</f>
        <v>2246431</v>
      </c>
      <c r="J93" s="450">
        <f>SUM(J94:J120)</f>
        <v>1315531</v>
      </c>
      <c r="K93" s="453">
        <f t="shared" ref="K93" si="29">I93/J93*100-100</f>
        <v>70.762300546319324</v>
      </c>
      <c r="L93" s="450">
        <f>SUM(L94:L120)</f>
        <v>1451610</v>
      </c>
      <c r="M93" s="450">
        <f>SUM(M94:M120)</f>
        <v>584746</v>
      </c>
      <c r="N93" s="453">
        <f>L93/M93*100</f>
        <v>248.24624708847944</v>
      </c>
      <c r="O93" s="450">
        <f>SUM(O94:O120)</f>
        <v>2608</v>
      </c>
      <c r="P93" s="455">
        <f>Q93/O93</f>
        <v>83.946702453987726</v>
      </c>
      <c r="Q93" s="498">
        <f>SUM(Q94:Q120)</f>
        <v>218933</v>
      </c>
    </row>
    <row r="94" spans="1:18" x14ac:dyDescent="0.25">
      <c r="A94" s="264">
        <v>1</v>
      </c>
      <c r="B94" s="304" t="s">
        <v>424</v>
      </c>
      <c r="C94" s="256">
        <v>289598</v>
      </c>
      <c r="D94" s="256">
        <v>149792</v>
      </c>
      <c r="E94" s="425">
        <f t="shared" ref="E94:E120" si="30">C94/D94*100</f>
        <v>193.33342234565262</v>
      </c>
      <c r="F94" s="256">
        <v>63918</v>
      </c>
      <c r="G94" s="256">
        <v>42919</v>
      </c>
      <c r="H94" s="425">
        <f t="shared" ref="H94:H120" si="31">F94/G94*100</f>
        <v>148.92704862648245</v>
      </c>
      <c r="I94" s="256">
        <v>272399</v>
      </c>
      <c r="J94" s="256">
        <v>131540</v>
      </c>
      <c r="K94" s="425">
        <f t="shared" ref="K94:K120" si="32">I94/J94*100</f>
        <v>207.08453702295881</v>
      </c>
      <c r="L94" s="256">
        <v>264473</v>
      </c>
      <c r="M94" s="256">
        <v>131520</v>
      </c>
      <c r="N94" s="425">
        <f t="shared" ref="N94:N106" si="33">L94/M94*100</f>
        <v>201.0895681265207</v>
      </c>
      <c r="O94" s="430">
        <v>317</v>
      </c>
      <c r="P94" s="430">
        <v>132</v>
      </c>
      <c r="Q94" s="162">
        <f t="shared" ref="Q94:Q120" si="34">O94*P94</f>
        <v>41844</v>
      </c>
    </row>
    <row r="95" spans="1:18" x14ac:dyDescent="0.25">
      <c r="A95" s="264">
        <v>2</v>
      </c>
      <c r="B95" s="304" t="s">
        <v>425</v>
      </c>
      <c r="C95" s="256">
        <v>0</v>
      </c>
      <c r="D95" s="256">
        <v>0</v>
      </c>
      <c r="E95" s="425">
        <v>0</v>
      </c>
      <c r="F95" s="256">
        <v>0</v>
      </c>
      <c r="G95" s="256">
        <v>0</v>
      </c>
      <c r="H95" s="425">
        <v>0</v>
      </c>
      <c r="I95" s="256">
        <v>0</v>
      </c>
      <c r="J95" s="256">
        <v>0</v>
      </c>
      <c r="K95" s="425">
        <v>0</v>
      </c>
      <c r="L95" s="256">
        <v>0</v>
      </c>
      <c r="M95" s="256">
        <v>0</v>
      </c>
      <c r="N95" s="425">
        <v>0</v>
      </c>
      <c r="O95" s="430">
        <v>0</v>
      </c>
      <c r="P95" s="430">
        <v>0</v>
      </c>
      <c r="Q95" s="162">
        <f t="shared" si="34"/>
        <v>0</v>
      </c>
    </row>
    <row r="96" spans="1:18" x14ac:dyDescent="0.25">
      <c r="A96" s="264">
        <v>3</v>
      </c>
      <c r="B96" s="304" t="s">
        <v>426</v>
      </c>
      <c r="C96" s="256">
        <v>0</v>
      </c>
      <c r="D96" s="256">
        <v>0</v>
      </c>
      <c r="E96" s="425">
        <v>0</v>
      </c>
      <c r="F96" s="256">
        <v>0</v>
      </c>
      <c r="G96" s="256">
        <v>0</v>
      </c>
      <c r="H96" s="425">
        <v>0</v>
      </c>
      <c r="I96" s="256">
        <v>0</v>
      </c>
      <c r="J96" s="256">
        <v>0</v>
      </c>
      <c r="K96" s="425">
        <v>0</v>
      </c>
      <c r="L96" s="256">
        <v>0</v>
      </c>
      <c r="M96" s="256">
        <v>0</v>
      </c>
      <c r="N96" s="425">
        <v>0</v>
      </c>
      <c r="O96" s="430">
        <v>0</v>
      </c>
      <c r="P96" s="430">
        <v>0</v>
      </c>
      <c r="Q96" s="162">
        <f t="shared" si="34"/>
        <v>0</v>
      </c>
      <c r="R96" s="191"/>
    </row>
    <row r="97" spans="1:17" x14ac:dyDescent="0.25">
      <c r="A97" s="264">
        <v>4</v>
      </c>
      <c r="B97" s="304" t="s">
        <v>427</v>
      </c>
      <c r="C97" s="256">
        <v>30669</v>
      </c>
      <c r="D97" s="256">
        <v>16225</v>
      </c>
      <c r="E97" s="425">
        <f t="shared" si="30"/>
        <v>189.0231124807396</v>
      </c>
      <c r="F97" s="256">
        <v>3399</v>
      </c>
      <c r="G97" s="256">
        <v>16225</v>
      </c>
      <c r="H97" s="425">
        <f t="shared" si="31"/>
        <v>20.949152542372882</v>
      </c>
      <c r="I97" s="256">
        <v>1385</v>
      </c>
      <c r="J97" s="256">
        <v>6671</v>
      </c>
      <c r="K97" s="425">
        <f t="shared" si="32"/>
        <v>20.761505021735871</v>
      </c>
      <c r="L97" s="256">
        <v>0</v>
      </c>
      <c r="M97" s="256">
        <v>0</v>
      </c>
      <c r="N97" s="425">
        <v>0</v>
      </c>
      <c r="O97" s="430">
        <v>23</v>
      </c>
      <c r="P97" s="430">
        <v>141</v>
      </c>
      <c r="Q97" s="162">
        <f t="shared" si="34"/>
        <v>3243</v>
      </c>
    </row>
    <row r="98" spans="1:17" x14ac:dyDescent="0.25">
      <c r="A98" s="264">
        <v>5</v>
      </c>
      <c r="B98" s="304" t="s">
        <v>428</v>
      </c>
      <c r="C98" s="256">
        <v>226107</v>
      </c>
      <c r="D98" s="256">
        <v>333295</v>
      </c>
      <c r="E98" s="425">
        <f t="shared" si="30"/>
        <v>67.839901588682693</v>
      </c>
      <c r="F98" s="256">
        <v>4229</v>
      </c>
      <c r="G98" s="256">
        <v>44752</v>
      </c>
      <c r="H98" s="425">
        <f t="shared" si="31"/>
        <v>9.4498569896317477</v>
      </c>
      <c r="I98" s="256">
        <v>266785</v>
      </c>
      <c r="J98" s="256">
        <v>307913</v>
      </c>
      <c r="K98" s="425">
        <f t="shared" si="32"/>
        <v>86.642980322363783</v>
      </c>
      <c r="L98" s="256">
        <v>266896</v>
      </c>
      <c r="M98" s="256">
        <v>307913</v>
      </c>
      <c r="N98" s="425">
        <f t="shared" si="33"/>
        <v>86.679029466115438</v>
      </c>
      <c r="O98" s="430">
        <v>359</v>
      </c>
      <c r="P98" s="430">
        <v>52</v>
      </c>
      <c r="Q98" s="162">
        <f t="shared" si="34"/>
        <v>18668</v>
      </c>
    </row>
    <row r="99" spans="1:17" x14ac:dyDescent="0.25">
      <c r="A99" s="264">
        <v>6</v>
      </c>
      <c r="B99" s="304" t="s">
        <v>429</v>
      </c>
      <c r="C99" s="256">
        <v>0</v>
      </c>
      <c r="D99" s="256">
        <v>0</v>
      </c>
      <c r="E99" s="425">
        <v>0</v>
      </c>
      <c r="F99" s="256">
        <v>0</v>
      </c>
      <c r="G99" s="256">
        <v>0</v>
      </c>
      <c r="H99" s="425">
        <v>0</v>
      </c>
      <c r="I99" s="256">
        <v>0</v>
      </c>
      <c r="J99" s="256">
        <v>0</v>
      </c>
      <c r="K99" s="425">
        <v>0</v>
      </c>
      <c r="L99" s="256">
        <v>0</v>
      </c>
      <c r="M99" s="256">
        <v>0</v>
      </c>
      <c r="N99" s="425">
        <v>0</v>
      </c>
      <c r="O99" s="430">
        <v>0</v>
      </c>
      <c r="P99" s="430">
        <v>0</v>
      </c>
      <c r="Q99" s="162">
        <f t="shared" si="34"/>
        <v>0</v>
      </c>
    </row>
    <row r="100" spans="1:17" x14ac:dyDescent="0.25">
      <c r="A100" s="264">
        <v>7</v>
      </c>
      <c r="B100" s="304" t="s">
        <v>430</v>
      </c>
      <c r="C100" s="256">
        <v>0</v>
      </c>
      <c r="D100" s="256">
        <v>0</v>
      </c>
      <c r="E100" s="425">
        <v>0</v>
      </c>
      <c r="F100" s="256">
        <v>0</v>
      </c>
      <c r="G100" s="256">
        <v>0</v>
      </c>
      <c r="H100" s="425">
        <v>0</v>
      </c>
      <c r="I100" s="256">
        <v>0</v>
      </c>
      <c r="J100" s="256">
        <v>0</v>
      </c>
      <c r="K100" s="425">
        <v>0</v>
      </c>
      <c r="L100" s="256">
        <v>0</v>
      </c>
      <c r="M100" s="256">
        <v>0</v>
      </c>
      <c r="N100" s="425">
        <v>0</v>
      </c>
      <c r="O100" s="430">
        <v>0</v>
      </c>
      <c r="P100" s="430">
        <v>0</v>
      </c>
      <c r="Q100" s="162">
        <f t="shared" si="34"/>
        <v>0</v>
      </c>
    </row>
    <row r="101" spans="1:17" x14ac:dyDescent="0.25">
      <c r="A101" s="264">
        <v>8</v>
      </c>
      <c r="B101" s="304" t="s">
        <v>431</v>
      </c>
      <c r="C101" s="256">
        <v>96016</v>
      </c>
      <c r="D101" s="256">
        <v>211927</v>
      </c>
      <c r="E101" s="425">
        <f t="shared" si="30"/>
        <v>45.30616674609653</v>
      </c>
      <c r="F101" s="256">
        <v>17815</v>
      </c>
      <c r="G101" s="256">
        <v>32047</v>
      </c>
      <c r="H101" s="425">
        <f t="shared" si="31"/>
        <v>55.590226854307737</v>
      </c>
      <c r="I101" s="256">
        <v>120777</v>
      </c>
      <c r="J101" s="256">
        <v>210446</v>
      </c>
      <c r="K101" s="425">
        <f t="shared" si="32"/>
        <v>57.390969654923353</v>
      </c>
      <c r="L101" s="256">
        <v>10196</v>
      </c>
      <c r="M101" s="256">
        <v>67551</v>
      </c>
      <c r="N101" s="425">
        <f t="shared" si="33"/>
        <v>15.093780995099998</v>
      </c>
      <c r="O101" s="430">
        <v>103</v>
      </c>
      <c r="P101" s="430">
        <v>90</v>
      </c>
      <c r="Q101" s="162">
        <f t="shared" si="34"/>
        <v>9270</v>
      </c>
    </row>
    <row r="102" spans="1:17" x14ac:dyDescent="0.25">
      <c r="A102" s="264">
        <v>9</v>
      </c>
      <c r="B102" s="304" t="s">
        <v>432</v>
      </c>
      <c r="C102" s="256">
        <v>0</v>
      </c>
      <c r="D102" s="256">
        <v>0</v>
      </c>
      <c r="E102" s="425">
        <v>0</v>
      </c>
      <c r="F102" s="256">
        <v>0</v>
      </c>
      <c r="G102" s="256">
        <v>0</v>
      </c>
      <c r="H102" s="425">
        <v>0</v>
      </c>
      <c r="I102" s="256">
        <v>0</v>
      </c>
      <c r="J102" s="256">
        <v>0</v>
      </c>
      <c r="K102" s="425">
        <v>0</v>
      </c>
      <c r="L102" s="256">
        <v>0</v>
      </c>
      <c r="M102" s="256">
        <v>0</v>
      </c>
      <c r="N102" s="425">
        <v>0</v>
      </c>
      <c r="O102" s="430">
        <v>0</v>
      </c>
      <c r="P102" s="430">
        <v>0</v>
      </c>
      <c r="Q102" s="162">
        <f t="shared" si="34"/>
        <v>0</v>
      </c>
    </row>
    <row r="103" spans="1:17" x14ac:dyDescent="0.25">
      <c r="A103" s="264">
        <v>10</v>
      </c>
      <c r="B103" s="304" t="s">
        <v>433</v>
      </c>
      <c r="C103" s="256">
        <v>42759</v>
      </c>
      <c r="D103" s="256">
        <v>76233</v>
      </c>
      <c r="E103" s="425">
        <f t="shared" si="30"/>
        <v>56.0898823344221</v>
      </c>
      <c r="F103" s="256">
        <v>0</v>
      </c>
      <c r="G103" s="256">
        <v>0</v>
      </c>
      <c r="H103" s="425">
        <v>0</v>
      </c>
      <c r="I103" s="256">
        <v>42759</v>
      </c>
      <c r="J103" s="256">
        <v>76233</v>
      </c>
      <c r="K103" s="425">
        <f t="shared" si="32"/>
        <v>56.0898823344221</v>
      </c>
      <c r="L103" s="256">
        <v>42759</v>
      </c>
      <c r="M103" s="256">
        <v>76233</v>
      </c>
      <c r="N103" s="425">
        <f t="shared" si="33"/>
        <v>56.0898823344221</v>
      </c>
      <c r="O103" s="430">
        <v>84</v>
      </c>
      <c r="P103" s="430">
        <v>65</v>
      </c>
      <c r="Q103" s="162">
        <f t="shared" si="34"/>
        <v>5460</v>
      </c>
    </row>
    <row r="104" spans="1:17" x14ac:dyDescent="0.25">
      <c r="A104" s="264">
        <v>11</v>
      </c>
      <c r="B104" s="304" t="s">
        <v>434</v>
      </c>
      <c r="C104" s="256">
        <v>0</v>
      </c>
      <c r="D104" s="256">
        <v>0</v>
      </c>
      <c r="E104" s="425">
        <v>0</v>
      </c>
      <c r="F104" s="256">
        <v>0</v>
      </c>
      <c r="G104" s="256">
        <v>0</v>
      </c>
      <c r="H104" s="425">
        <v>0</v>
      </c>
      <c r="I104" s="256">
        <v>0</v>
      </c>
      <c r="J104" s="256">
        <v>0</v>
      </c>
      <c r="K104" s="425">
        <v>0</v>
      </c>
      <c r="L104" s="256">
        <v>0</v>
      </c>
      <c r="M104" s="256">
        <v>0</v>
      </c>
      <c r="N104" s="425">
        <v>0</v>
      </c>
      <c r="O104" s="430">
        <v>0</v>
      </c>
      <c r="P104" s="430">
        <v>0</v>
      </c>
      <c r="Q104" s="162">
        <f t="shared" si="34"/>
        <v>0</v>
      </c>
    </row>
    <row r="105" spans="1:17" x14ac:dyDescent="0.25">
      <c r="A105" s="264">
        <v>12</v>
      </c>
      <c r="B105" s="304" t="s">
        <v>435</v>
      </c>
      <c r="C105" s="256">
        <v>0</v>
      </c>
      <c r="D105" s="256">
        <v>38230</v>
      </c>
      <c r="E105" s="425">
        <f t="shared" si="30"/>
        <v>0</v>
      </c>
      <c r="F105" s="256">
        <v>0</v>
      </c>
      <c r="G105" s="256">
        <v>8500</v>
      </c>
      <c r="H105" s="425">
        <f t="shared" si="31"/>
        <v>0</v>
      </c>
      <c r="I105" s="256">
        <v>0</v>
      </c>
      <c r="J105" s="256">
        <v>32800</v>
      </c>
      <c r="K105" s="425">
        <f t="shared" si="32"/>
        <v>0</v>
      </c>
      <c r="L105" s="256">
        <v>0</v>
      </c>
      <c r="M105" s="256">
        <v>0</v>
      </c>
      <c r="N105" s="425">
        <v>0</v>
      </c>
      <c r="O105" s="430">
        <v>8</v>
      </c>
      <c r="P105" s="430">
        <v>58</v>
      </c>
      <c r="Q105" s="162">
        <f t="shared" si="34"/>
        <v>464</v>
      </c>
    </row>
    <row r="106" spans="1:17" x14ac:dyDescent="0.25">
      <c r="A106" s="264">
        <v>13</v>
      </c>
      <c r="B106" s="304" t="s">
        <v>436</v>
      </c>
      <c r="C106" s="256">
        <v>20727</v>
      </c>
      <c r="D106" s="256">
        <v>10269</v>
      </c>
      <c r="E106" s="425">
        <f t="shared" si="30"/>
        <v>201.84049079754601</v>
      </c>
      <c r="F106" s="256">
        <v>13994</v>
      </c>
      <c r="G106" s="256">
        <v>4068</v>
      </c>
      <c r="H106" s="425">
        <f t="shared" si="31"/>
        <v>344.00196656833828</v>
      </c>
      <c r="I106" s="256">
        <v>18204</v>
      </c>
      <c r="J106" s="256">
        <v>9359</v>
      </c>
      <c r="K106" s="425">
        <f t="shared" si="32"/>
        <v>194.50796025216371</v>
      </c>
      <c r="L106" s="256">
        <v>16736</v>
      </c>
      <c r="M106" s="256">
        <v>1529</v>
      </c>
      <c r="N106" s="425">
        <f t="shared" si="33"/>
        <v>1094.5716154349248</v>
      </c>
      <c r="O106" s="431">
        <v>79</v>
      </c>
      <c r="P106" s="431">
        <v>87</v>
      </c>
      <c r="Q106" s="162">
        <f t="shared" si="34"/>
        <v>6873</v>
      </c>
    </row>
    <row r="107" spans="1:17" x14ac:dyDescent="0.25">
      <c r="A107" s="264">
        <v>14</v>
      </c>
      <c r="B107" s="304" t="s">
        <v>437</v>
      </c>
      <c r="C107" s="256">
        <v>0</v>
      </c>
      <c r="D107" s="256">
        <v>0</v>
      </c>
      <c r="E107" s="425">
        <v>0</v>
      </c>
      <c r="F107" s="256">
        <v>0</v>
      </c>
      <c r="G107" s="256">
        <v>0</v>
      </c>
      <c r="H107" s="425">
        <v>0</v>
      </c>
      <c r="I107" s="256">
        <v>0</v>
      </c>
      <c r="J107" s="256">
        <v>0</v>
      </c>
      <c r="K107" s="425">
        <v>0</v>
      </c>
      <c r="L107" s="256">
        <v>0</v>
      </c>
      <c r="M107" s="256">
        <v>0</v>
      </c>
      <c r="N107" s="247">
        <v>0</v>
      </c>
      <c r="O107" s="430">
        <v>0</v>
      </c>
      <c r="P107" s="430">
        <v>0</v>
      </c>
      <c r="Q107" s="162">
        <f t="shared" si="34"/>
        <v>0</v>
      </c>
    </row>
    <row r="108" spans="1:17" x14ac:dyDescent="0.25">
      <c r="A108" s="264">
        <v>15</v>
      </c>
      <c r="B108" s="304" t="s">
        <v>438</v>
      </c>
      <c r="C108" s="256"/>
      <c r="D108" s="256"/>
      <c r="E108" s="425">
        <v>0</v>
      </c>
      <c r="F108" s="256"/>
      <c r="G108" s="256"/>
      <c r="H108" s="425">
        <v>0</v>
      </c>
      <c r="I108" s="256"/>
      <c r="J108" s="256"/>
      <c r="K108" s="425">
        <v>0</v>
      </c>
      <c r="L108" s="256"/>
      <c r="M108" s="256"/>
      <c r="N108" s="247">
        <v>0</v>
      </c>
      <c r="O108" s="430">
        <v>75</v>
      </c>
      <c r="P108" s="430">
        <v>95</v>
      </c>
      <c r="Q108" s="162">
        <f t="shared" si="34"/>
        <v>7125</v>
      </c>
    </row>
    <row r="109" spans="1:17" x14ac:dyDescent="0.25">
      <c r="A109" s="264">
        <v>16</v>
      </c>
      <c r="B109" s="304" t="s">
        <v>439</v>
      </c>
      <c r="C109" s="256">
        <v>105826</v>
      </c>
      <c r="D109" s="256">
        <v>123018</v>
      </c>
      <c r="E109" s="425">
        <f t="shared" si="30"/>
        <v>86.024809377489476</v>
      </c>
      <c r="F109" s="256">
        <v>15136</v>
      </c>
      <c r="G109" s="256">
        <v>37194</v>
      </c>
      <c r="H109" s="425">
        <f t="shared" si="31"/>
        <v>40.694735710060762</v>
      </c>
      <c r="I109" s="256">
        <v>101724</v>
      </c>
      <c r="J109" s="256">
        <v>122722</v>
      </c>
      <c r="K109" s="425">
        <f t="shared" si="32"/>
        <v>82.889783412916998</v>
      </c>
      <c r="L109" s="256">
        <v>0</v>
      </c>
      <c r="M109" s="256">
        <v>0</v>
      </c>
      <c r="N109" s="247">
        <v>0</v>
      </c>
      <c r="O109" s="430">
        <v>69</v>
      </c>
      <c r="P109" s="430">
        <v>80</v>
      </c>
      <c r="Q109" s="162">
        <f t="shared" si="34"/>
        <v>5520</v>
      </c>
    </row>
    <row r="110" spans="1:17" x14ac:dyDescent="0.25">
      <c r="A110" s="264">
        <v>17</v>
      </c>
      <c r="B110" s="304" t="s">
        <v>440</v>
      </c>
      <c r="C110" s="256">
        <v>286983</v>
      </c>
      <c r="D110" s="256">
        <v>284939</v>
      </c>
      <c r="E110" s="425">
        <f t="shared" si="30"/>
        <v>100.71734651978144</v>
      </c>
      <c r="F110" s="256">
        <v>60281</v>
      </c>
      <c r="G110" s="256">
        <v>71710</v>
      </c>
      <c r="H110" s="425">
        <f t="shared" si="31"/>
        <v>84.062194951889552</v>
      </c>
      <c r="I110" s="256">
        <v>336019</v>
      </c>
      <c r="J110" s="256">
        <v>192962</v>
      </c>
      <c r="K110" s="425">
        <f t="shared" si="32"/>
        <v>174.13739492749866</v>
      </c>
      <c r="L110" s="256">
        <v>0</v>
      </c>
      <c r="M110" s="256">
        <v>0</v>
      </c>
      <c r="N110" s="247">
        <v>0</v>
      </c>
      <c r="O110" s="430">
        <v>176</v>
      </c>
      <c r="P110" s="430">
        <v>70</v>
      </c>
      <c r="Q110" s="162">
        <f t="shared" si="34"/>
        <v>12320</v>
      </c>
    </row>
    <row r="111" spans="1:17" x14ac:dyDescent="0.25">
      <c r="A111" s="265">
        <v>18</v>
      </c>
      <c r="B111" s="304" t="s">
        <v>441</v>
      </c>
      <c r="C111" s="247">
        <v>850550</v>
      </c>
      <c r="D111" s="247">
        <v>0</v>
      </c>
      <c r="E111" s="425">
        <v>0</v>
      </c>
      <c r="F111" s="247">
        <v>136166</v>
      </c>
      <c r="G111" s="247">
        <v>0</v>
      </c>
      <c r="H111" s="425">
        <v>0</v>
      </c>
      <c r="I111" s="247">
        <v>850550</v>
      </c>
      <c r="J111" s="247">
        <v>0</v>
      </c>
      <c r="K111" s="425">
        <v>0</v>
      </c>
      <c r="L111" s="247">
        <v>850550</v>
      </c>
      <c r="M111" s="247">
        <v>0</v>
      </c>
      <c r="N111" s="247">
        <v>0</v>
      </c>
      <c r="O111" s="432">
        <v>1112</v>
      </c>
      <c r="P111" s="432">
        <v>84</v>
      </c>
      <c r="Q111" s="162">
        <f t="shared" si="34"/>
        <v>93408</v>
      </c>
    </row>
    <row r="112" spans="1:17" x14ac:dyDescent="0.25">
      <c r="A112" s="264">
        <v>19</v>
      </c>
      <c r="B112" s="304" t="s">
        <v>442</v>
      </c>
      <c r="C112" s="256">
        <v>1258</v>
      </c>
      <c r="D112" s="256">
        <v>0</v>
      </c>
      <c r="E112" s="425">
        <v>0</v>
      </c>
      <c r="F112" s="256">
        <v>1258</v>
      </c>
      <c r="G112" s="256">
        <v>0</v>
      </c>
      <c r="H112" s="425">
        <v>0</v>
      </c>
      <c r="I112" s="256">
        <v>0</v>
      </c>
      <c r="J112" s="256">
        <v>0</v>
      </c>
      <c r="K112" s="425">
        <v>0</v>
      </c>
      <c r="L112" s="256">
        <v>0</v>
      </c>
      <c r="M112" s="256">
        <v>0</v>
      </c>
      <c r="N112" s="247">
        <v>0</v>
      </c>
      <c r="O112" s="431">
        <v>21</v>
      </c>
      <c r="P112" s="431">
        <v>70</v>
      </c>
      <c r="Q112" s="162">
        <f t="shared" si="34"/>
        <v>1470</v>
      </c>
    </row>
    <row r="113" spans="1:17" x14ac:dyDescent="0.25">
      <c r="A113" s="264">
        <v>20</v>
      </c>
      <c r="B113" s="304" t="s">
        <v>443</v>
      </c>
      <c r="C113" s="256">
        <v>0</v>
      </c>
      <c r="D113" s="256">
        <v>0</v>
      </c>
      <c r="E113" s="425">
        <v>0</v>
      </c>
      <c r="F113" s="256">
        <v>0</v>
      </c>
      <c r="G113" s="256">
        <v>0</v>
      </c>
      <c r="H113" s="425">
        <v>0</v>
      </c>
      <c r="I113" s="256">
        <v>0</v>
      </c>
      <c r="J113" s="256">
        <v>0</v>
      </c>
      <c r="K113" s="425">
        <v>0</v>
      </c>
      <c r="L113" s="256">
        <v>0</v>
      </c>
      <c r="M113" s="256">
        <v>0</v>
      </c>
      <c r="N113" s="247">
        <v>0</v>
      </c>
      <c r="O113" s="431">
        <v>0</v>
      </c>
      <c r="P113" s="431">
        <v>0</v>
      </c>
      <c r="Q113" s="162">
        <f t="shared" si="34"/>
        <v>0</v>
      </c>
    </row>
    <row r="114" spans="1:17" x14ac:dyDescent="0.25">
      <c r="A114" s="264">
        <v>21</v>
      </c>
      <c r="B114" s="304" t="s">
        <v>444</v>
      </c>
      <c r="C114" s="256">
        <v>0</v>
      </c>
      <c r="D114" s="256">
        <v>0</v>
      </c>
      <c r="E114" s="425">
        <v>0</v>
      </c>
      <c r="F114" s="256">
        <v>0</v>
      </c>
      <c r="G114" s="256">
        <v>0</v>
      </c>
      <c r="H114" s="425">
        <v>0</v>
      </c>
      <c r="I114" s="256">
        <v>0</v>
      </c>
      <c r="J114" s="256">
        <v>0</v>
      </c>
      <c r="K114" s="425">
        <v>0</v>
      </c>
      <c r="L114" s="256">
        <v>0</v>
      </c>
      <c r="M114" s="256">
        <v>0</v>
      </c>
      <c r="N114" s="247">
        <v>0</v>
      </c>
      <c r="O114" s="431">
        <v>14</v>
      </c>
      <c r="P114" s="431">
        <v>67</v>
      </c>
      <c r="Q114" s="162">
        <f t="shared" si="34"/>
        <v>938</v>
      </c>
    </row>
    <row r="115" spans="1:17" x14ac:dyDescent="0.25">
      <c r="A115" s="264">
        <v>22</v>
      </c>
      <c r="B115" s="304" t="s">
        <v>445</v>
      </c>
      <c r="C115" s="256">
        <v>15890</v>
      </c>
      <c r="D115" s="256">
        <v>14570</v>
      </c>
      <c r="E115" s="425">
        <f t="shared" si="30"/>
        <v>109.05971173644475</v>
      </c>
      <c r="F115" s="256">
        <v>6440</v>
      </c>
      <c r="G115" s="256">
        <v>4080</v>
      </c>
      <c r="H115" s="425">
        <f t="shared" si="31"/>
        <v>157.84313725490196</v>
      </c>
      <c r="I115" s="256">
        <v>21385</v>
      </c>
      <c r="J115" s="256">
        <v>22086</v>
      </c>
      <c r="K115" s="425">
        <f t="shared" si="32"/>
        <v>96.826043647559544</v>
      </c>
      <c r="L115" s="256">
        <v>0</v>
      </c>
      <c r="M115" s="256">
        <v>0</v>
      </c>
      <c r="N115" s="247">
        <v>0</v>
      </c>
      <c r="O115" s="431">
        <v>14</v>
      </c>
      <c r="P115" s="431">
        <v>85</v>
      </c>
      <c r="Q115" s="162">
        <f t="shared" si="34"/>
        <v>1190</v>
      </c>
    </row>
    <row r="116" spans="1:17" x14ac:dyDescent="0.25">
      <c r="A116" s="264">
        <v>23</v>
      </c>
      <c r="B116" s="304" t="s">
        <v>446</v>
      </c>
      <c r="C116" s="256">
        <v>71905</v>
      </c>
      <c r="D116" s="256">
        <v>64247</v>
      </c>
      <c r="E116" s="425">
        <f t="shared" si="30"/>
        <v>111.91962270611857</v>
      </c>
      <c r="F116" s="256">
        <v>12777</v>
      </c>
      <c r="G116" s="256">
        <v>12329</v>
      </c>
      <c r="H116" s="425">
        <f t="shared" si="31"/>
        <v>103.63370914104956</v>
      </c>
      <c r="I116" s="256">
        <v>72874</v>
      </c>
      <c r="J116" s="256">
        <v>64835</v>
      </c>
      <c r="K116" s="425">
        <f t="shared" si="32"/>
        <v>112.39916711652657</v>
      </c>
      <c r="L116" s="256">
        <v>0</v>
      </c>
      <c r="M116" s="256">
        <v>0</v>
      </c>
      <c r="N116" s="247">
        <v>0</v>
      </c>
      <c r="O116" s="431">
        <v>28</v>
      </c>
      <c r="P116" s="431">
        <v>73</v>
      </c>
      <c r="Q116" s="162">
        <f t="shared" si="34"/>
        <v>2044</v>
      </c>
    </row>
    <row r="117" spans="1:17" x14ac:dyDescent="0.25">
      <c r="A117" s="264">
        <v>24</v>
      </c>
      <c r="B117" s="304" t="s">
        <v>447</v>
      </c>
      <c r="C117" s="256">
        <v>37759</v>
      </c>
      <c r="D117" s="256">
        <v>29220</v>
      </c>
      <c r="E117" s="425">
        <f t="shared" si="30"/>
        <v>129.22313483915127</v>
      </c>
      <c r="F117" s="256">
        <v>5610</v>
      </c>
      <c r="G117" s="256">
        <v>6240</v>
      </c>
      <c r="H117" s="425">
        <f t="shared" si="31"/>
        <v>89.90384615384616</v>
      </c>
      <c r="I117" s="256">
        <v>67367</v>
      </c>
      <c r="J117" s="256">
        <v>66663</v>
      </c>
      <c r="K117" s="425">
        <f t="shared" si="32"/>
        <v>101.05605808319457</v>
      </c>
      <c r="L117" s="256">
        <v>0</v>
      </c>
      <c r="M117" s="256">
        <v>0</v>
      </c>
      <c r="N117" s="247">
        <v>0</v>
      </c>
      <c r="O117" s="431">
        <v>52</v>
      </c>
      <c r="P117" s="431">
        <v>78</v>
      </c>
      <c r="Q117" s="162">
        <f t="shared" si="34"/>
        <v>4056</v>
      </c>
    </row>
    <row r="118" spans="1:17" x14ac:dyDescent="0.25">
      <c r="A118" s="264">
        <v>25</v>
      </c>
      <c r="B118" s="304" t="s">
        <v>448</v>
      </c>
      <c r="C118" s="256">
        <v>13657</v>
      </c>
      <c r="D118" s="256">
        <v>22684</v>
      </c>
      <c r="E118" s="425">
        <f t="shared" si="30"/>
        <v>60.205431140892266</v>
      </c>
      <c r="F118" s="256">
        <v>3431</v>
      </c>
      <c r="G118" s="256">
        <v>8046</v>
      </c>
      <c r="H118" s="425">
        <f t="shared" si="31"/>
        <v>42.64230673626647</v>
      </c>
      <c r="I118" s="256">
        <v>13709</v>
      </c>
      <c r="J118" s="256">
        <v>23121</v>
      </c>
      <c r="K118" s="425">
        <f t="shared" si="32"/>
        <v>59.292418148003975</v>
      </c>
      <c r="L118" s="256">
        <v>0</v>
      </c>
      <c r="M118" s="256">
        <v>0</v>
      </c>
      <c r="N118" s="247">
        <v>0</v>
      </c>
      <c r="O118" s="431">
        <v>22</v>
      </c>
      <c r="P118" s="431">
        <v>60</v>
      </c>
      <c r="Q118" s="162">
        <f t="shared" si="34"/>
        <v>1320</v>
      </c>
    </row>
    <row r="119" spans="1:17" x14ac:dyDescent="0.25">
      <c r="A119" s="264">
        <v>26</v>
      </c>
      <c r="B119" s="304" t="s">
        <v>449</v>
      </c>
      <c r="C119" s="256">
        <v>17251</v>
      </c>
      <c r="D119" s="256">
        <v>7737</v>
      </c>
      <c r="E119" s="425">
        <f t="shared" si="30"/>
        <v>222.96755848520098</v>
      </c>
      <c r="F119" s="256">
        <v>2459</v>
      </c>
      <c r="G119" s="256">
        <v>1660</v>
      </c>
      <c r="H119" s="425">
        <f t="shared" si="31"/>
        <v>148.13253012048193</v>
      </c>
      <c r="I119" s="256">
        <v>13997</v>
      </c>
      <c r="J119" s="256">
        <v>11491</v>
      </c>
      <c r="K119" s="425">
        <f t="shared" si="32"/>
        <v>121.80837176921069</v>
      </c>
      <c r="L119" s="256">
        <v>0</v>
      </c>
      <c r="M119" s="256">
        <v>0</v>
      </c>
      <c r="N119" s="247">
        <v>0</v>
      </c>
      <c r="O119" s="431">
        <v>18</v>
      </c>
      <c r="P119" s="431">
        <v>65</v>
      </c>
      <c r="Q119" s="162">
        <f t="shared" si="34"/>
        <v>1170</v>
      </c>
    </row>
    <row r="120" spans="1:17" x14ac:dyDescent="0.25">
      <c r="A120" s="264">
        <v>27</v>
      </c>
      <c r="B120" s="304" t="s">
        <v>450</v>
      </c>
      <c r="C120" s="256">
        <v>46497</v>
      </c>
      <c r="D120" s="256">
        <v>36689</v>
      </c>
      <c r="E120" s="425">
        <f t="shared" si="30"/>
        <v>126.73280819864266</v>
      </c>
      <c r="F120" s="256">
        <v>8799</v>
      </c>
      <c r="G120" s="256">
        <v>10927</v>
      </c>
      <c r="H120" s="425">
        <f t="shared" si="31"/>
        <v>80.525304292120438</v>
      </c>
      <c r="I120" s="256">
        <v>46497</v>
      </c>
      <c r="J120" s="256">
        <v>36689</v>
      </c>
      <c r="K120" s="425">
        <f t="shared" si="32"/>
        <v>126.73280819864266</v>
      </c>
      <c r="L120" s="256">
        <v>0</v>
      </c>
      <c r="M120" s="256">
        <v>0</v>
      </c>
      <c r="N120" s="425">
        <v>0</v>
      </c>
      <c r="O120" s="431">
        <v>34</v>
      </c>
      <c r="P120" s="431">
        <v>75</v>
      </c>
      <c r="Q120" s="162">
        <f t="shared" si="34"/>
        <v>2550</v>
      </c>
    </row>
    <row r="122" spans="1:17" s="126" customFormat="1" ht="35.25" customHeight="1" x14ac:dyDescent="0.25">
      <c r="A122" s="353"/>
      <c r="B122" s="443" t="s">
        <v>367</v>
      </c>
      <c r="C122" s="463">
        <f>SUM(C123:C128)</f>
        <v>76203</v>
      </c>
      <c r="D122" s="454">
        <f>SUM(D123:D128)</f>
        <v>91412</v>
      </c>
      <c r="E122" s="453">
        <f>C122/D122*100</f>
        <v>83.362140637990635</v>
      </c>
      <c r="F122" s="454">
        <f>SUM(F123:F128)</f>
        <v>10664</v>
      </c>
      <c r="G122" s="454">
        <f>SUM(G123:G128)</f>
        <v>23304</v>
      </c>
      <c r="H122" s="453">
        <f>F122/G122*100</f>
        <v>45.760384483350499</v>
      </c>
      <c r="I122" s="454">
        <f>SUM(I123:I128)</f>
        <v>75775</v>
      </c>
      <c r="J122" s="454">
        <f>SUM(J123:J128)</f>
        <v>55407</v>
      </c>
      <c r="K122" s="453">
        <f>I122/J122*100</f>
        <v>136.76069810673741</v>
      </c>
      <c r="L122" s="454">
        <f>SUM(L123:L128)</f>
        <v>30536</v>
      </c>
      <c r="M122" s="454">
        <f>SUM(M123:M128)</f>
        <v>0</v>
      </c>
      <c r="N122" s="453"/>
      <c r="O122" s="454">
        <f>SUM(O123:O128)</f>
        <v>100</v>
      </c>
      <c r="P122" s="450">
        <f>Q122/O122</f>
        <v>83.2</v>
      </c>
      <c r="Q122" s="509">
        <f>SUM(Q123:Q128)</f>
        <v>8320</v>
      </c>
    </row>
    <row r="123" spans="1:17" x14ac:dyDescent="0.25">
      <c r="A123" s="248">
        <v>1</v>
      </c>
      <c r="B123" s="304" t="s">
        <v>451</v>
      </c>
      <c r="C123" s="256">
        <v>44277</v>
      </c>
      <c r="D123" s="256">
        <v>74334</v>
      </c>
      <c r="E123" s="425">
        <f t="shared" ref="E123:E127" si="35">C123/D123*100</f>
        <v>59.564936637339571</v>
      </c>
      <c r="F123" s="256">
        <v>9761</v>
      </c>
      <c r="G123" s="256">
        <v>21876</v>
      </c>
      <c r="H123" s="425">
        <f t="shared" ref="H123:H128" si="36">F123/G123*100</f>
        <v>44.619674529164385</v>
      </c>
      <c r="I123" s="256">
        <v>43144</v>
      </c>
      <c r="J123" s="256">
        <v>35390</v>
      </c>
      <c r="K123" s="425">
        <f t="shared" ref="K123:K128" si="37">I123/J123*100</f>
        <v>121.91014410850522</v>
      </c>
      <c r="L123" s="256">
        <v>20270</v>
      </c>
      <c r="M123" s="256">
        <v>0</v>
      </c>
      <c r="N123" s="425">
        <v>0</v>
      </c>
      <c r="O123" s="256">
        <v>72</v>
      </c>
      <c r="P123" s="252">
        <v>80</v>
      </c>
      <c r="Q123" s="162">
        <f t="shared" ref="Q123:Q128" si="38">O123*P123</f>
        <v>5760</v>
      </c>
    </row>
    <row r="124" spans="1:17" x14ac:dyDescent="0.25">
      <c r="A124" s="248">
        <v>2</v>
      </c>
      <c r="B124" s="304" t="s">
        <v>452</v>
      </c>
      <c r="C124" s="256">
        <v>0</v>
      </c>
      <c r="D124" s="256">
        <v>0</v>
      </c>
      <c r="E124" s="425">
        <v>0</v>
      </c>
      <c r="F124" s="256">
        <v>0</v>
      </c>
      <c r="G124" s="256">
        <v>0</v>
      </c>
      <c r="H124" s="425">
        <v>0</v>
      </c>
      <c r="I124" s="256">
        <v>0</v>
      </c>
      <c r="J124" s="256">
        <v>0</v>
      </c>
      <c r="K124" s="425">
        <v>0</v>
      </c>
      <c r="L124" s="256">
        <v>0</v>
      </c>
      <c r="M124" s="256">
        <v>0</v>
      </c>
      <c r="N124" s="425">
        <v>0</v>
      </c>
      <c r="O124" s="284">
        <v>0</v>
      </c>
      <c r="P124" s="252">
        <v>0</v>
      </c>
      <c r="Q124" s="162">
        <f t="shared" si="38"/>
        <v>0</v>
      </c>
    </row>
    <row r="125" spans="1:17" x14ac:dyDescent="0.25">
      <c r="A125" s="248">
        <v>3</v>
      </c>
      <c r="B125" s="304" t="s">
        <v>453</v>
      </c>
      <c r="C125" s="256">
        <v>0</v>
      </c>
      <c r="D125" s="256">
        <v>0</v>
      </c>
      <c r="E125" s="425">
        <v>0</v>
      </c>
      <c r="F125" s="256">
        <v>0</v>
      </c>
      <c r="G125" s="256">
        <v>0</v>
      </c>
      <c r="H125" s="425">
        <v>0</v>
      </c>
      <c r="I125" s="256">
        <v>0</v>
      </c>
      <c r="J125" s="256">
        <v>0</v>
      </c>
      <c r="K125" s="425">
        <v>0</v>
      </c>
      <c r="L125" s="256">
        <v>0</v>
      </c>
      <c r="M125" s="256">
        <v>0</v>
      </c>
      <c r="N125" s="425">
        <v>0</v>
      </c>
      <c r="O125" s="284">
        <v>0</v>
      </c>
      <c r="P125" s="252">
        <v>0</v>
      </c>
      <c r="Q125" s="162">
        <f t="shared" si="38"/>
        <v>0</v>
      </c>
    </row>
    <row r="126" spans="1:17" x14ac:dyDescent="0.25">
      <c r="A126" s="248">
        <v>4</v>
      </c>
      <c r="B126" s="304" t="s">
        <v>454</v>
      </c>
      <c r="C126" s="256">
        <v>6250</v>
      </c>
      <c r="D126" s="256">
        <v>1050</v>
      </c>
      <c r="E126" s="425">
        <f t="shared" si="35"/>
        <v>595.2380952380953</v>
      </c>
      <c r="F126" s="256">
        <v>0</v>
      </c>
      <c r="G126" s="256">
        <v>0</v>
      </c>
      <c r="H126" s="425">
        <v>0</v>
      </c>
      <c r="I126" s="256">
        <v>6955</v>
      </c>
      <c r="J126" s="256">
        <v>3989</v>
      </c>
      <c r="K126" s="425">
        <f t="shared" si="37"/>
        <v>174.35447480571571</v>
      </c>
      <c r="L126" s="256">
        <v>0</v>
      </c>
      <c r="M126" s="256">
        <v>0</v>
      </c>
      <c r="N126" s="425">
        <v>0</v>
      </c>
      <c r="O126" s="256">
        <v>8</v>
      </c>
      <c r="P126" s="438">
        <v>70</v>
      </c>
      <c r="Q126" s="162">
        <f t="shared" si="38"/>
        <v>560</v>
      </c>
    </row>
    <row r="127" spans="1:17" x14ac:dyDescent="0.25">
      <c r="A127" s="248">
        <v>5</v>
      </c>
      <c r="B127" s="304" t="s">
        <v>455</v>
      </c>
      <c r="C127" s="256">
        <v>0</v>
      </c>
      <c r="D127" s="256">
        <v>0</v>
      </c>
      <c r="E127" s="425" t="e">
        <f t="shared" si="35"/>
        <v>#DIV/0!</v>
      </c>
      <c r="F127" s="256">
        <v>0</v>
      </c>
      <c r="G127" s="256">
        <v>0</v>
      </c>
      <c r="H127" s="425">
        <v>0</v>
      </c>
      <c r="I127" s="256">
        <v>0</v>
      </c>
      <c r="J127" s="256">
        <v>0</v>
      </c>
      <c r="K127" s="425">
        <v>0</v>
      </c>
      <c r="L127" s="256">
        <v>0</v>
      </c>
      <c r="M127" s="256">
        <v>0</v>
      </c>
      <c r="N127" s="425">
        <v>0</v>
      </c>
      <c r="O127" s="284">
        <v>0</v>
      </c>
      <c r="P127" s="252">
        <v>0</v>
      </c>
      <c r="Q127" s="162">
        <f t="shared" si="38"/>
        <v>0</v>
      </c>
    </row>
    <row r="128" spans="1:17" x14ac:dyDescent="0.25">
      <c r="A128" s="248">
        <v>6</v>
      </c>
      <c r="B128" s="304" t="s">
        <v>456</v>
      </c>
      <c r="C128" s="256">
        <v>25676</v>
      </c>
      <c r="D128" s="256">
        <v>16028</v>
      </c>
      <c r="E128" s="425">
        <v>0</v>
      </c>
      <c r="F128" s="256">
        <v>903</v>
      </c>
      <c r="G128" s="256">
        <v>1428</v>
      </c>
      <c r="H128" s="425">
        <f t="shared" si="36"/>
        <v>63.235294117647058</v>
      </c>
      <c r="I128" s="256">
        <v>25676</v>
      </c>
      <c r="J128" s="256">
        <v>16028</v>
      </c>
      <c r="K128" s="425">
        <f t="shared" si="37"/>
        <v>160.19465934614425</v>
      </c>
      <c r="L128" s="256">
        <v>10266</v>
      </c>
      <c r="M128" s="256">
        <v>0</v>
      </c>
      <c r="N128" s="425">
        <v>0</v>
      </c>
      <c r="O128" s="256">
        <v>20</v>
      </c>
      <c r="P128" s="430">
        <v>100</v>
      </c>
      <c r="Q128" s="162">
        <f t="shared" si="38"/>
        <v>2000</v>
      </c>
    </row>
    <row r="129" spans="1:17" x14ac:dyDescent="0.25">
      <c r="A129" s="354"/>
      <c r="B129" s="355"/>
      <c r="C129" s="356"/>
      <c r="D129" s="356"/>
      <c r="E129" s="439"/>
      <c r="F129" s="356"/>
      <c r="G129" s="356"/>
      <c r="H129" s="439"/>
      <c r="I129" s="356"/>
      <c r="J129" s="356"/>
      <c r="K129" s="439"/>
      <c r="L129" s="356"/>
      <c r="M129" s="356"/>
      <c r="N129" s="439"/>
      <c r="O129" s="356"/>
      <c r="P129" s="440"/>
      <c r="Q129" s="162"/>
    </row>
    <row r="130" spans="1:17" s="363" customFormat="1" ht="63" customHeight="1" x14ac:dyDescent="0.25">
      <c r="A130" s="1043" t="s">
        <v>366</v>
      </c>
      <c r="B130" s="1044" t="s">
        <v>78</v>
      </c>
      <c r="C130" s="345">
        <f>C131+C141</f>
        <v>164822417</v>
      </c>
      <c r="D130" s="345">
        <f>D131+D141</f>
        <v>174469347</v>
      </c>
      <c r="E130" s="467">
        <f>C130/D130*100</f>
        <v>94.470702065503815</v>
      </c>
      <c r="F130" s="345">
        <f>F131+F141</f>
        <v>30428653</v>
      </c>
      <c r="G130" s="345">
        <f>G131+G141</f>
        <v>30084482</v>
      </c>
      <c r="H130" s="467">
        <f>F130/G130*100</f>
        <v>101.14401504403499</v>
      </c>
      <c r="I130" s="345">
        <f>I131+I141</f>
        <v>162399480</v>
      </c>
      <c r="J130" s="345">
        <f>J131+J141</f>
        <v>164714525</v>
      </c>
      <c r="K130" s="467">
        <f>I130/J130*100</f>
        <v>98.594510714826157</v>
      </c>
      <c r="L130" s="345">
        <f>L131+L141</f>
        <v>128019306</v>
      </c>
      <c r="M130" s="345">
        <f>M131+M141</f>
        <v>129014774</v>
      </c>
      <c r="N130" s="467">
        <f>L130/M130*100</f>
        <v>99.228407748092479</v>
      </c>
      <c r="O130" s="345">
        <f>O131+O141</f>
        <v>10283</v>
      </c>
      <c r="P130" s="468">
        <f>Q130/O130</f>
        <v>155.49343576777204</v>
      </c>
      <c r="Q130" s="510">
        <f>Q131+Q141</f>
        <v>1598939</v>
      </c>
    </row>
    <row r="131" spans="1:17" s="126" customFormat="1" ht="31.5" customHeight="1" x14ac:dyDescent="0.25">
      <c r="A131" s="1033" t="s">
        <v>365</v>
      </c>
      <c r="B131" s="1034" t="s">
        <v>135</v>
      </c>
      <c r="C131" s="254">
        <f>SUM(C132:C139)</f>
        <v>85445583</v>
      </c>
      <c r="D131" s="254">
        <f>SUM(D132:D139)</f>
        <v>90525060</v>
      </c>
      <c r="E131" s="451">
        <f>C131/D131*100</f>
        <v>94.38887198749164</v>
      </c>
      <c r="F131" s="254">
        <f>SUM(F132:F139)</f>
        <v>14070006</v>
      </c>
      <c r="G131" s="254">
        <f>SUM(G132:G139)</f>
        <v>16759498</v>
      </c>
      <c r="H131" s="451">
        <f>F131/G131*100</f>
        <v>83.952431033435488</v>
      </c>
      <c r="I131" s="254">
        <f>SUM(I132:I139)</f>
        <v>82525434</v>
      </c>
      <c r="J131" s="254">
        <f>SUM(J132:J139)</f>
        <v>81815921</v>
      </c>
      <c r="K131" s="451">
        <f>I131/J131*100</f>
        <v>100.86720651839877</v>
      </c>
      <c r="L131" s="254">
        <f>SUM(L132:L139)</f>
        <v>52579107</v>
      </c>
      <c r="M131" s="254">
        <f>SUM(M132:M139)</f>
        <v>50117137</v>
      </c>
      <c r="N131" s="451">
        <f>L131/M131*100</f>
        <v>104.91243145034402</v>
      </c>
      <c r="O131" s="254">
        <f>SUM(O132:O139)</f>
        <v>6462</v>
      </c>
      <c r="P131" s="254">
        <f>Q131/O131</f>
        <v>168.6485608170845</v>
      </c>
      <c r="Q131" s="498">
        <f>SUM(Q132:Q139)</f>
        <v>1089807</v>
      </c>
    </row>
    <row r="132" spans="1:17" x14ac:dyDescent="0.25">
      <c r="A132" s="271">
        <v>1</v>
      </c>
      <c r="B132" s="304" t="s">
        <v>457</v>
      </c>
      <c r="C132" s="256">
        <v>60570864</v>
      </c>
      <c r="D132" s="256">
        <v>62203096</v>
      </c>
      <c r="E132" s="425">
        <f t="shared" ref="E132:E135" si="39">C132/D132*100</f>
        <v>97.375963408638057</v>
      </c>
      <c r="F132" s="256">
        <v>10538779</v>
      </c>
      <c r="G132" s="256">
        <v>10565052</v>
      </c>
      <c r="H132" s="425">
        <f t="shared" ref="H132:H135" si="40">F132/G132*100</f>
        <v>99.751321621512133</v>
      </c>
      <c r="I132" s="256">
        <v>59716929</v>
      </c>
      <c r="J132" s="256">
        <v>60312197</v>
      </c>
      <c r="K132" s="425">
        <f t="shared" ref="K132:K135" si="41">I132/J132*100</f>
        <v>99.013022191846204</v>
      </c>
      <c r="L132" s="256">
        <v>32946178</v>
      </c>
      <c r="M132" s="256">
        <v>31239186</v>
      </c>
      <c r="N132" s="425">
        <f t="shared" ref="N132:N134" si="42">L132/M132*100</f>
        <v>105.46426529807786</v>
      </c>
      <c r="O132" s="284">
        <v>3030</v>
      </c>
      <c r="P132" s="256">
        <v>145</v>
      </c>
      <c r="Q132" s="162">
        <f t="shared" ref="Q132:Q139" si="43">O132*P132</f>
        <v>439350</v>
      </c>
    </row>
    <row r="133" spans="1:17" x14ac:dyDescent="0.25">
      <c r="A133" s="271">
        <v>2</v>
      </c>
      <c r="B133" s="304" t="s">
        <v>458</v>
      </c>
      <c r="C133" s="256">
        <v>13424888</v>
      </c>
      <c r="D133" s="256">
        <v>12448877</v>
      </c>
      <c r="E133" s="425">
        <f t="shared" si="39"/>
        <v>107.84015297122784</v>
      </c>
      <c r="F133" s="256">
        <v>2310966</v>
      </c>
      <c r="G133" s="256">
        <v>2377007</v>
      </c>
      <c r="H133" s="425">
        <f t="shared" si="40"/>
        <v>97.22167414736262</v>
      </c>
      <c r="I133" s="256">
        <v>10924838</v>
      </c>
      <c r="J133" s="256">
        <v>9470436</v>
      </c>
      <c r="K133" s="425">
        <f t="shared" si="41"/>
        <v>115.35728661278108</v>
      </c>
      <c r="L133" s="256">
        <v>10924838</v>
      </c>
      <c r="M133" s="256">
        <v>9470436</v>
      </c>
      <c r="N133" s="425">
        <f t="shared" si="42"/>
        <v>115.35728661278108</v>
      </c>
      <c r="O133" s="284">
        <v>1019</v>
      </c>
      <c r="P133" s="256">
        <v>120</v>
      </c>
      <c r="Q133" s="162">
        <f t="shared" si="43"/>
        <v>122280</v>
      </c>
    </row>
    <row r="134" spans="1:17" ht="27" customHeight="1" x14ac:dyDescent="0.25">
      <c r="A134" s="272">
        <v>3</v>
      </c>
      <c r="B134" s="304" t="s">
        <v>459</v>
      </c>
      <c r="C134" s="247">
        <v>8130087</v>
      </c>
      <c r="D134" s="247">
        <v>12926079</v>
      </c>
      <c r="E134" s="425">
        <f t="shared" si="39"/>
        <v>62.896776354221572</v>
      </c>
      <c r="F134" s="247">
        <v>730673</v>
      </c>
      <c r="G134" s="247">
        <v>3034000</v>
      </c>
      <c r="H134" s="425">
        <f t="shared" si="40"/>
        <v>24.08282794990112</v>
      </c>
      <c r="I134" s="247">
        <v>8708091</v>
      </c>
      <c r="J134" s="247">
        <v>9407515</v>
      </c>
      <c r="K134" s="425">
        <f t="shared" si="41"/>
        <v>92.565262983901704</v>
      </c>
      <c r="L134" s="247">
        <v>8708091</v>
      </c>
      <c r="M134" s="247">
        <v>9407515</v>
      </c>
      <c r="N134" s="425">
        <f t="shared" si="42"/>
        <v>92.565262983901704</v>
      </c>
      <c r="O134" s="53">
        <v>1066</v>
      </c>
      <c r="P134" s="282">
        <v>306</v>
      </c>
      <c r="Q134" s="162">
        <f t="shared" si="43"/>
        <v>326196</v>
      </c>
    </row>
    <row r="135" spans="1:17" x14ac:dyDescent="0.25">
      <c r="A135" s="271">
        <v>4</v>
      </c>
      <c r="B135" s="304" t="s">
        <v>460</v>
      </c>
      <c r="C135" s="256">
        <v>3299465</v>
      </c>
      <c r="D135" s="256">
        <v>2493861</v>
      </c>
      <c r="E135" s="425">
        <f t="shared" si="39"/>
        <v>132.30348443638198</v>
      </c>
      <c r="F135" s="256">
        <v>481286</v>
      </c>
      <c r="G135" s="256">
        <v>344823</v>
      </c>
      <c r="H135" s="425">
        <f t="shared" si="40"/>
        <v>139.57479634479139</v>
      </c>
      <c r="I135" s="256">
        <v>2999804</v>
      </c>
      <c r="J135" s="256">
        <v>2573274</v>
      </c>
      <c r="K135" s="425">
        <f t="shared" si="41"/>
        <v>116.575382178501</v>
      </c>
      <c r="L135" s="256">
        <v>0</v>
      </c>
      <c r="M135" s="256">
        <v>0</v>
      </c>
      <c r="N135" s="425">
        <v>0</v>
      </c>
      <c r="O135" s="284">
        <v>656</v>
      </c>
      <c r="P135" s="256">
        <v>166</v>
      </c>
      <c r="Q135" s="162">
        <f t="shared" si="43"/>
        <v>108896</v>
      </c>
    </row>
    <row r="136" spans="1:17" x14ac:dyDescent="0.25">
      <c r="A136" s="271">
        <v>5</v>
      </c>
      <c r="B136" s="304" t="s">
        <v>461</v>
      </c>
      <c r="C136" s="256">
        <v>0</v>
      </c>
      <c r="D136" s="256">
        <v>0</v>
      </c>
      <c r="E136" s="425">
        <v>0</v>
      </c>
      <c r="F136" s="256">
        <v>0</v>
      </c>
      <c r="G136" s="256">
        <v>0</v>
      </c>
      <c r="H136" s="425">
        <v>0</v>
      </c>
      <c r="I136" s="256">
        <v>0</v>
      </c>
      <c r="J136" s="256">
        <v>0</v>
      </c>
      <c r="K136" s="425">
        <v>0</v>
      </c>
      <c r="L136" s="256">
        <v>0</v>
      </c>
      <c r="M136" s="256">
        <v>0</v>
      </c>
      <c r="N136" s="425">
        <v>0</v>
      </c>
      <c r="O136" s="284">
        <v>380</v>
      </c>
      <c r="P136" s="252">
        <v>189</v>
      </c>
      <c r="Q136" s="162">
        <f t="shared" si="43"/>
        <v>71820</v>
      </c>
    </row>
    <row r="137" spans="1:17" x14ac:dyDescent="0.25">
      <c r="A137" s="271">
        <v>6</v>
      </c>
      <c r="B137" s="304" t="s">
        <v>462</v>
      </c>
      <c r="C137" s="256">
        <v>0</v>
      </c>
      <c r="D137" s="256">
        <v>437146</v>
      </c>
      <c r="E137" s="425">
        <f>C137/D137*100</f>
        <v>0</v>
      </c>
      <c r="F137" s="256">
        <v>0</v>
      </c>
      <c r="G137" s="256">
        <v>437146</v>
      </c>
      <c r="H137" s="425">
        <f>F137/G137*100</f>
        <v>0</v>
      </c>
      <c r="I137" s="256">
        <v>155493</v>
      </c>
      <c r="J137" s="256">
        <v>36498</v>
      </c>
      <c r="K137" s="425">
        <f>I137/J137*100</f>
        <v>426.03156337333547</v>
      </c>
      <c r="L137" s="256">
        <v>0</v>
      </c>
      <c r="M137" s="256">
        <v>0</v>
      </c>
      <c r="N137" s="425">
        <v>0</v>
      </c>
      <c r="O137" s="284">
        <v>276</v>
      </c>
      <c r="P137" s="252">
        <v>65</v>
      </c>
      <c r="Q137" s="162">
        <f t="shared" si="43"/>
        <v>17940</v>
      </c>
    </row>
    <row r="138" spans="1:17" x14ac:dyDescent="0.25">
      <c r="A138" s="271">
        <v>3</v>
      </c>
      <c r="B138" s="304" t="s">
        <v>463</v>
      </c>
      <c r="C138" s="256">
        <v>0</v>
      </c>
      <c r="D138" s="256">
        <v>0</v>
      </c>
      <c r="E138" s="425">
        <v>0</v>
      </c>
      <c r="F138" s="256">
        <v>0</v>
      </c>
      <c r="G138" s="256">
        <v>0</v>
      </c>
      <c r="H138" s="425">
        <v>0</v>
      </c>
      <c r="I138" s="256">
        <v>0</v>
      </c>
      <c r="J138" s="256">
        <v>0</v>
      </c>
      <c r="K138" s="425">
        <v>0</v>
      </c>
      <c r="L138" s="256">
        <v>0</v>
      </c>
      <c r="M138" s="256">
        <v>0</v>
      </c>
      <c r="N138" s="425">
        <v>0</v>
      </c>
      <c r="O138" s="284">
        <v>0</v>
      </c>
      <c r="P138" s="252">
        <v>0</v>
      </c>
      <c r="Q138" s="162">
        <f t="shared" si="43"/>
        <v>0</v>
      </c>
    </row>
    <row r="139" spans="1:17" x14ac:dyDescent="0.25">
      <c r="A139" s="271">
        <v>1</v>
      </c>
      <c r="B139" s="304" t="s">
        <v>464</v>
      </c>
      <c r="C139" s="256">
        <v>20279</v>
      </c>
      <c r="D139" s="256">
        <v>16001</v>
      </c>
      <c r="E139" s="425">
        <f>C139/D139*100</f>
        <v>126.73582901068683</v>
      </c>
      <c r="F139" s="256">
        <v>8302</v>
      </c>
      <c r="G139" s="256">
        <v>1470</v>
      </c>
      <c r="H139" s="425">
        <f>F139/G139*100</f>
        <v>564.76190476190482</v>
      </c>
      <c r="I139" s="256">
        <v>20279</v>
      </c>
      <c r="J139" s="256">
        <v>16001</v>
      </c>
      <c r="K139" s="425">
        <f>I139/J139*100</f>
        <v>126.73582901068683</v>
      </c>
      <c r="L139" s="256">
        <v>0</v>
      </c>
      <c r="M139" s="256">
        <v>0</v>
      </c>
      <c r="N139" s="425">
        <v>0</v>
      </c>
      <c r="O139" s="271">
        <v>35</v>
      </c>
      <c r="P139" s="433">
        <v>95</v>
      </c>
      <c r="Q139" s="162">
        <f t="shared" si="43"/>
        <v>3325</v>
      </c>
    </row>
    <row r="141" spans="1:17" s="126" customFormat="1" ht="39.75" customHeight="1" x14ac:dyDescent="0.25">
      <c r="A141" s="492" t="s">
        <v>528</v>
      </c>
      <c r="B141" s="495" t="s">
        <v>15</v>
      </c>
      <c r="C141" s="254">
        <f>SUM(C142:C149)</f>
        <v>79376834</v>
      </c>
      <c r="D141" s="254">
        <f>SUM(D142:D149)</f>
        <v>83944287</v>
      </c>
      <c r="E141" s="451">
        <f>C141/D141*100</f>
        <v>94.558947174094172</v>
      </c>
      <c r="F141" s="254">
        <f>SUM(F142:F149)</f>
        <v>16358647</v>
      </c>
      <c r="G141" s="254">
        <f>SUM(G142:G149)</f>
        <v>13324984</v>
      </c>
      <c r="H141" s="451">
        <f>F141/G141*100</f>
        <v>122.7667290257159</v>
      </c>
      <c r="I141" s="254">
        <f>SUM(I142:I149)</f>
        <v>79874046</v>
      </c>
      <c r="J141" s="254">
        <f>SUM(J142:J149)</f>
        <v>82898604</v>
      </c>
      <c r="K141" s="451">
        <f>I141/J141*100</f>
        <v>96.351497065016929</v>
      </c>
      <c r="L141" s="254">
        <f>SUM(L142:L149)</f>
        <v>75440199</v>
      </c>
      <c r="M141" s="254">
        <f>SUM(M142:M149)</f>
        <v>78897637</v>
      </c>
      <c r="N141" s="451">
        <f>L141/M141*100</f>
        <v>95.617818059620717</v>
      </c>
      <c r="O141" s="348">
        <f>SUM(O142:O149)</f>
        <v>3821</v>
      </c>
      <c r="P141" s="254">
        <f>Q141/O141</f>
        <v>133.24574718660037</v>
      </c>
      <c r="Q141" s="509">
        <f>SUM(Q142:Q149)</f>
        <v>509132</v>
      </c>
    </row>
    <row r="142" spans="1:17" x14ac:dyDescent="0.25">
      <c r="A142" s="271">
        <v>1</v>
      </c>
      <c r="B142" s="304" t="s">
        <v>466</v>
      </c>
      <c r="C142" s="256">
        <v>10937970</v>
      </c>
      <c r="D142" s="256">
        <v>10633214</v>
      </c>
      <c r="E142" s="425">
        <f t="shared" ref="E142:E148" si="44">C142/D142*100</f>
        <v>102.86607605188797</v>
      </c>
      <c r="F142" s="256">
        <v>2167783</v>
      </c>
      <c r="G142" s="256">
        <v>1692438</v>
      </c>
      <c r="H142" s="425">
        <f t="shared" ref="H142:H148" si="45">F142/G142*100</f>
        <v>128.08640552859248</v>
      </c>
      <c r="I142" s="256">
        <v>11753565</v>
      </c>
      <c r="J142" s="256">
        <v>10607161</v>
      </c>
      <c r="K142" s="425">
        <f t="shared" ref="K142:K148" si="46">I142/J142*100</f>
        <v>110.80783067212801</v>
      </c>
      <c r="L142" s="256">
        <v>11753565</v>
      </c>
      <c r="M142" s="256">
        <v>10607161</v>
      </c>
      <c r="N142" s="425">
        <f t="shared" ref="N142:N147" si="47">L142/M142*100</f>
        <v>110.80783067212801</v>
      </c>
      <c r="O142" s="284">
        <v>517</v>
      </c>
      <c r="P142" s="433">
        <v>150</v>
      </c>
      <c r="Q142" s="162">
        <f>O142*P142</f>
        <v>77550</v>
      </c>
    </row>
    <row r="143" spans="1:17" x14ac:dyDescent="0.25">
      <c r="A143" s="271">
        <v>2</v>
      </c>
      <c r="B143" s="304" t="s">
        <v>467</v>
      </c>
      <c r="C143" s="256">
        <v>14712110</v>
      </c>
      <c r="D143" s="256">
        <v>21292522</v>
      </c>
      <c r="E143" s="425">
        <f t="shared" si="44"/>
        <v>69.09519689588673</v>
      </c>
      <c r="F143" s="256">
        <v>2445723</v>
      </c>
      <c r="G143" s="256">
        <v>2922034</v>
      </c>
      <c r="H143" s="425">
        <f t="shared" si="45"/>
        <v>83.6993340939907</v>
      </c>
      <c r="I143" s="256">
        <v>14453694</v>
      </c>
      <c r="J143" s="256">
        <v>21380329</v>
      </c>
      <c r="K143" s="425">
        <f t="shared" si="46"/>
        <v>67.602767010741502</v>
      </c>
      <c r="L143" s="256">
        <v>14432600</v>
      </c>
      <c r="M143" s="256">
        <v>21327193</v>
      </c>
      <c r="N143" s="425">
        <f t="shared" si="47"/>
        <v>67.672290488485757</v>
      </c>
      <c r="O143" s="284">
        <v>681</v>
      </c>
      <c r="P143" s="256">
        <v>176</v>
      </c>
      <c r="Q143" s="162">
        <f t="shared" ref="Q143:Q149" si="48">O143*P143</f>
        <v>119856</v>
      </c>
    </row>
    <row r="144" spans="1:17" x14ac:dyDescent="0.25">
      <c r="A144" s="271">
        <v>3</v>
      </c>
      <c r="B144" s="304" t="s">
        <v>468</v>
      </c>
      <c r="C144" s="256">
        <v>15911563</v>
      </c>
      <c r="D144" s="256">
        <v>15723180</v>
      </c>
      <c r="E144" s="425">
        <f t="shared" si="44"/>
        <v>101.19812277160219</v>
      </c>
      <c r="F144" s="256">
        <v>3319229</v>
      </c>
      <c r="G144" s="256">
        <v>2440078</v>
      </c>
      <c r="H144" s="425">
        <f t="shared" si="45"/>
        <v>136.02962692176234</v>
      </c>
      <c r="I144" s="256">
        <v>17255291</v>
      </c>
      <c r="J144" s="256">
        <v>15865244</v>
      </c>
      <c r="K144" s="425">
        <f t="shared" si="46"/>
        <v>108.76158601783874</v>
      </c>
      <c r="L144" s="256">
        <v>17255291</v>
      </c>
      <c r="M144" s="256">
        <v>15865244</v>
      </c>
      <c r="N144" s="425">
        <f t="shared" si="47"/>
        <v>108.76158601783874</v>
      </c>
      <c r="O144" s="284">
        <v>563</v>
      </c>
      <c r="P144" s="256">
        <v>180</v>
      </c>
      <c r="Q144" s="162">
        <f t="shared" si="48"/>
        <v>101340</v>
      </c>
    </row>
    <row r="145" spans="1:17" x14ac:dyDescent="0.25">
      <c r="A145" s="271">
        <v>4</v>
      </c>
      <c r="B145" s="304" t="s">
        <v>469</v>
      </c>
      <c r="C145" s="256">
        <v>3017336</v>
      </c>
      <c r="D145" s="256">
        <v>2306598</v>
      </c>
      <c r="E145" s="425">
        <f t="shared" si="44"/>
        <v>130.81325831375906</v>
      </c>
      <c r="F145" s="256">
        <v>453163</v>
      </c>
      <c r="G145" s="256">
        <v>399037</v>
      </c>
      <c r="H145" s="425">
        <f t="shared" si="45"/>
        <v>113.56415570485944</v>
      </c>
      <c r="I145" s="256">
        <v>2815635</v>
      </c>
      <c r="J145" s="256">
        <v>2567734</v>
      </c>
      <c r="K145" s="425">
        <f t="shared" si="46"/>
        <v>109.65446576631379</v>
      </c>
      <c r="L145" s="256">
        <v>0</v>
      </c>
      <c r="M145" s="256">
        <v>0</v>
      </c>
      <c r="N145" s="425">
        <v>0</v>
      </c>
      <c r="O145" s="284">
        <v>377</v>
      </c>
      <c r="P145" s="433">
        <v>58</v>
      </c>
      <c r="Q145" s="162">
        <f t="shared" si="48"/>
        <v>21866</v>
      </c>
    </row>
    <row r="146" spans="1:17" x14ac:dyDescent="0.25">
      <c r="A146" s="271">
        <v>5</v>
      </c>
      <c r="B146" s="304" t="s">
        <v>470</v>
      </c>
      <c r="C146" s="256">
        <v>16624498</v>
      </c>
      <c r="D146" s="256">
        <v>15296540</v>
      </c>
      <c r="E146" s="425">
        <f t="shared" si="44"/>
        <v>108.68142730316789</v>
      </c>
      <c r="F146" s="256">
        <v>4969390</v>
      </c>
      <c r="G146" s="256">
        <v>3011456</v>
      </c>
      <c r="H146" s="425">
        <f t="shared" si="45"/>
        <v>165.0161915033791</v>
      </c>
      <c r="I146" s="256">
        <v>14137915</v>
      </c>
      <c r="J146" s="256">
        <v>13907195</v>
      </c>
      <c r="K146" s="425">
        <f t="shared" si="46"/>
        <v>101.65899737509972</v>
      </c>
      <c r="L146" s="256">
        <v>14137915</v>
      </c>
      <c r="M146" s="256">
        <v>13907195</v>
      </c>
      <c r="N146" s="425">
        <f t="shared" si="47"/>
        <v>101.65899737509972</v>
      </c>
      <c r="O146" s="284">
        <v>1009</v>
      </c>
      <c r="P146" s="256">
        <v>100</v>
      </c>
      <c r="Q146" s="162">
        <f t="shared" si="48"/>
        <v>100900</v>
      </c>
    </row>
    <row r="147" spans="1:17" x14ac:dyDescent="0.25">
      <c r="A147" s="271">
        <v>6</v>
      </c>
      <c r="B147" s="304" t="s">
        <v>471</v>
      </c>
      <c r="C147" s="256">
        <v>16663089</v>
      </c>
      <c r="D147" s="256">
        <v>16950418</v>
      </c>
      <c r="E147" s="425">
        <f t="shared" si="44"/>
        <v>98.304885460641728</v>
      </c>
      <c r="F147" s="256">
        <v>2758660</v>
      </c>
      <c r="G147" s="256">
        <v>2567639</v>
      </c>
      <c r="H147" s="425">
        <f t="shared" si="45"/>
        <v>107.43955828681524</v>
      </c>
      <c r="I147" s="256">
        <v>17883959</v>
      </c>
      <c r="J147" s="256">
        <v>17212396</v>
      </c>
      <c r="K147" s="425">
        <f t="shared" si="46"/>
        <v>103.90162415505661</v>
      </c>
      <c r="L147" s="256">
        <v>17860828</v>
      </c>
      <c r="M147" s="256">
        <v>17190844</v>
      </c>
      <c r="N147" s="425">
        <f t="shared" si="47"/>
        <v>103.89733046265792</v>
      </c>
      <c r="O147" s="284">
        <v>639</v>
      </c>
      <c r="P147" s="256">
        <v>130</v>
      </c>
      <c r="Q147" s="162">
        <f t="shared" si="48"/>
        <v>83070</v>
      </c>
    </row>
    <row r="148" spans="1:17" x14ac:dyDescent="0.25">
      <c r="A148" s="271">
        <v>7</v>
      </c>
      <c r="B148" s="304" t="s">
        <v>472</v>
      </c>
      <c r="C148" s="256">
        <v>1510268</v>
      </c>
      <c r="D148" s="256">
        <v>1741815</v>
      </c>
      <c r="E148" s="425">
        <f t="shared" si="44"/>
        <v>86.706567574627613</v>
      </c>
      <c r="F148" s="256">
        <v>244699</v>
      </c>
      <c r="G148" s="256">
        <v>292302</v>
      </c>
      <c r="H148" s="425">
        <f t="shared" si="45"/>
        <v>83.714446018159308</v>
      </c>
      <c r="I148" s="256">
        <v>1573987</v>
      </c>
      <c r="J148" s="256">
        <v>1358545</v>
      </c>
      <c r="K148" s="425">
        <f t="shared" si="46"/>
        <v>115.85828956714721</v>
      </c>
      <c r="L148" s="256">
        <v>0</v>
      </c>
      <c r="M148" s="256">
        <v>0</v>
      </c>
      <c r="N148" s="425">
        <v>0</v>
      </c>
      <c r="O148" s="284">
        <v>35</v>
      </c>
      <c r="P148" s="256">
        <v>130</v>
      </c>
      <c r="Q148" s="162">
        <f t="shared" si="48"/>
        <v>4550</v>
      </c>
    </row>
    <row r="149" spans="1:17" x14ac:dyDescent="0.25">
      <c r="A149" s="271">
        <v>8</v>
      </c>
      <c r="B149" s="304" t="s">
        <v>473</v>
      </c>
      <c r="C149" s="256">
        <v>0</v>
      </c>
      <c r="D149" s="256">
        <v>0</v>
      </c>
      <c r="E149" s="425">
        <v>0</v>
      </c>
      <c r="F149" s="256">
        <v>0</v>
      </c>
      <c r="G149" s="256">
        <v>0</v>
      </c>
      <c r="H149" s="425">
        <v>0</v>
      </c>
      <c r="I149" s="256">
        <v>0</v>
      </c>
      <c r="J149" s="256">
        <v>0</v>
      </c>
      <c r="K149" s="425">
        <v>0</v>
      </c>
      <c r="L149" s="256">
        <v>0</v>
      </c>
      <c r="M149" s="256">
        <v>0</v>
      </c>
      <c r="N149" s="425">
        <v>0</v>
      </c>
      <c r="O149" s="284">
        <v>0</v>
      </c>
      <c r="P149" s="252">
        <v>0</v>
      </c>
      <c r="Q149" s="162">
        <f t="shared" si="48"/>
        <v>0</v>
      </c>
    </row>
    <row r="151" spans="1:17" s="126" customFormat="1" ht="30" customHeight="1" x14ac:dyDescent="0.25">
      <c r="A151" s="494" t="s">
        <v>529</v>
      </c>
      <c r="B151" s="493" t="s">
        <v>544</v>
      </c>
      <c r="C151" s="469">
        <f>SUM(C152:C154)</f>
        <v>6918969</v>
      </c>
      <c r="D151" s="469">
        <f>SUM(D152:D154)</f>
        <v>7074581</v>
      </c>
      <c r="E151" s="470">
        <f>C151/D151*100</f>
        <v>97.800406836814787</v>
      </c>
      <c r="F151" s="469">
        <f>SUM(F152:F154)</f>
        <v>1022892</v>
      </c>
      <c r="G151" s="469">
        <f>SUM(G152:G154)</f>
        <v>1378017</v>
      </c>
      <c r="H151" s="470">
        <f>F151/G151*100</f>
        <v>74.22927293349791</v>
      </c>
      <c r="I151" s="469">
        <f>SUM(I152:I154)</f>
        <v>6962927</v>
      </c>
      <c r="J151" s="469">
        <f>SUM(J152:J154)</f>
        <v>6094521</v>
      </c>
      <c r="K151" s="470">
        <f>I151/J151*100</f>
        <v>114.24896230565125</v>
      </c>
      <c r="L151" s="469">
        <f>SUM(L152:L154)</f>
        <v>3022789</v>
      </c>
      <c r="M151" s="469">
        <f>SUM(M152:M154)</f>
        <v>2620230</v>
      </c>
      <c r="N151" s="470">
        <f>L151/M151*100</f>
        <v>115.36349862416657</v>
      </c>
      <c r="O151" s="469">
        <f>SUM(O152:O154)</f>
        <v>1055</v>
      </c>
      <c r="P151" s="471">
        <f>Q151/O151</f>
        <v>137.45497630331752</v>
      </c>
      <c r="Q151" s="511">
        <f>SUM(Q152:Q154)</f>
        <v>145015</v>
      </c>
    </row>
    <row r="152" spans="1:17" x14ac:dyDescent="0.25">
      <c r="A152" s="271">
        <v>1</v>
      </c>
      <c r="B152" s="267" t="s">
        <v>475</v>
      </c>
      <c r="C152" s="256">
        <v>1031655</v>
      </c>
      <c r="D152" s="256">
        <v>926890</v>
      </c>
      <c r="E152" s="425">
        <f>C152/D152*100</f>
        <v>111.30285147104834</v>
      </c>
      <c r="F152" s="256">
        <v>201059</v>
      </c>
      <c r="G152" s="256">
        <v>224889</v>
      </c>
      <c r="H152" s="425">
        <f>F152/G152*100</f>
        <v>89.403661361827389</v>
      </c>
      <c r="I152" s="256">
        <v>1017580</v>
      </c>
      <c r="J152" s="256">
        <v>967943</v>
      </c>
      <c r="K152" s="425">
        <f>I152/J152*100</f>
        <v>105.12809122024747</v>
      </c>
      <c r="L152" s="256">
        <v>19787</v>
      </c>
      <c r="M152" s="256">
        <v>9660</v>
      </c>
      <c r="N152" s="425">
        <f>L152/M152*100</f>
        <v>204.8343685300207</v>
      </c>
      <c r="O152" s="284">
        <v>128</v>
      </c>
      <c r="P152" s="434">
        <v>145</v>
      </c>
      <c r="Q152" s="162">
        <f>O152*P152</f>
        <v>18560</v>
      </c>
    </row>
    <row r="153" spans="1:17" x14ac:dyDescent="0.25">
      <c r="A153" s="271">
        <v>2</v>
      </c>
      <c r="B153" s="496" t="s">
        <v>476</v>
      </c>
      <c r="C153" s="256">
        <v>4585349</v>
      </c>
      <c r="D153" s="256">
        <v>4978986</v>
      </c>
      <c r="E153" s="425">
        <f t="shared" ref="E153:E154" si="49">C153/D153*100</f>
        <v>92.094032801056287</v>
      </c>
      <c r="F153" s="256">
        <v>673525</v>
      </c>
      <c r="G153" s="256">
        <v>883830</v>
      </c>
      <c r="H153" s="425">
        <f t="shared" ref="H153:H154" si="50">F153/G153*100</f>
        <v>76.205265718520536</v>
      </c>
      <c r="I153" s="256">
        <v>4717918</v>
      </c>
      <c r="J153" s="256">
        <v>4141611</v>
      </c>
      <c r="K153" s="425">
        <f t="shared" ref="K153:K154" si="51">I153/J153*100</f>
        <v>113.91504417001018</v>
      </c>
      <c r="L153" s="256">
        <v>2028057</v>
      </c>
      <c r="M153" s="256">
        <v>1905755</v>
      </c>
      <c r="N153" s="425">
        <f t="shared" ref="N153:N154" si="52">L153/M153*100</f>
        <v>106.41750907120799</v>
      </c>
      <c r="O153" s="271">
        <v>632</v>
      </c>
      <c r="P153" s="433">
        <v>110</v>
      </c>
      <c r="Q153" s="162">
        <f t="shared" ref="Q153:Q154" si="53">O153*P153</f>
        <v>69520</v>
      </c>
    </row>
    <row r="154" spans="1:17" x14ac:dyDescent="0.25">
      <c r="A154" s="271">
        <v>3</v>
      </c>
      <c r="B154" s="496" t="s">
        <v>477</v>
      </c>
      <c r="C154" s="256">
        <v>1301965</v>
      </c>
      <c r="D154" s="256">
        <v>1168705</v>
      </c>
      <c r="E154" s="425">
        <f t="shared" si="49"/>
        <v>111.40236415519742</v>
      </c>
      <c r="F154" s="256">
        <v>148308</v>
      </c>
      <c r="G154" s="256">
        <v>269298</v>
      </c>
      <c r="H154" s="425">
        <f t="shared" si="50"/>
        <v>55.072076287235703</v>
      </c>
      <c r="I154" s="256">
        <v>1227429</v>
      </c>
      <c r="J154" s="256">
        <v>984967</v>
      </c>
      <c r="K154" s="425">
        <f t="shared" si="51"/>
        <v>124.61625617914103</v>
      </c>
      <c r="L154" s="256">
        <v>974945</v>
      </c>
      <c r="M154" s="256">
        <v>704815</v>
      </c>
      <c r="N154" s="425">
        <f t="shared" si="52"/>
        <v>138.32636933095918</v>
      </c>
      <c r="O154" s="271">
        <v>295</v>
      </c>
      <c r="P154" s="433">
        <v>193</v>
      </c>
      <c r="Q154" s="162">
        <f t="shared" si="53"/>
        <v>56935</v>
      </c>
    </row>
    <row r="155" spans="1:17" ht="60.75" customHeight="1" x14ac:dyDescent="0.25">
      <c r="A155" s="286"/>
      <c r="B155" s="340"/>
      <c r="C155" s="341"/>
      <c r="D155" s="60"/>
      <c r="E155" s="43"/>
      <c r="F155" s="60"/>
      <c r="G155" s="60"/>
      <c r="H155" s="43"/>
      <c r="I155" s="60"/>
      <c r="J155" s="60"/>
      <c r="K155" s="43"/>
      <c r="L155" s="60"/>
      <c r="M155" s="342"/>
      <c r="N155" s="343"/>
      <c r="O155" s="344"/>
      <c r="P155" s="75"/>
      <c r="Q155" s="162"/>
    </row>
    <row r="156" spans="1:17" s="126" customFormat="1" ht="29.25" customHeight="1" x14ac:dyDescent="0.25">
      <c r="A156" s="1043" t="s">
        <v>339</v>
      </c>
      <c r="B156" s="1044"/>
      <c r="C156" s="345">
        <f>C157+C177+C183</f>
        <v>110137478</v>
      </c>
      <c r="D156" s="345">
        <f>D157+D177+D183</f>
        <v>91209971</v>
      </c>
      <c r="E156" s="467">
        <f>C156/D156*100</f>
        <v>120.75157660120294</v>
      </c>
      <c r="F156" s="345">
        <f>F157+F177+F183</f>
        <v>22774177</v>
      </c>
      <c r="G156" s="345">
        <f>G157+G177+G183</f>
        <v>15464654</v>
      </c>
      <c r="H156" s="467">
        <f>F156/G156*100</f>
        <v>147.26599767443875</v>
      </c>
      <c r="I156" s="345">
        <f>I157+I177+I183</f>
        <v>95788111</v>
      </c>
      <c r="J156" s="345">
        <f>J157+J177+J183</f>
        <v>85306369</v>
      </c>
      <c r="K156" s="467">
        <f>I156/J156*100</f>
        <v>112.2871740092466</v>
      </c>
      <c r="L156" s="345">
        <f>L157+L177+L183</f>
        <v>48471029</v>
      </c>
      <c r="M156" s="345">
        <f>M157+M177+M183</f>
        <v>42140538</v>
      </c>
      <c r="N156" s="467">
        <f>L156/M156*100</f>
        <v>115.02233075429649</v>
      </c>
      <c r="O156" s="345">
        <f>O157+O177+O183</f>
        <v>9877</v>
      </c>
      <c r="P156" s="468">
        <f>Q156/O156</f>
        <v>112.61739394553003</v>
      </c>
      <c r="Q156" s="512">
        <f>Q157+Q177+Q183</f>
        <v>1112322</v>
      </c>
    </row>
    <row r="157" spans="1:17" ht="22.5" customHeight="1" x14ac:dyDescent="0.3">
      <c r="A157" s="1035" t="s">
        <v>169</v>
      </c>
      <c r="B157" s="1036" t="s">
        <v>119</v>
      </c>
      <c r="C157" s="254">
        <f>SUM(C158:C175)</f>
        <v>34970410</v>
      </c>
      <c r="D157" s="254">
        <f>SUM(D158:D175)</f>
        <v>32016518</v>
      </c>
      <c r="E157" s="451">
        <f>C157/D157*100</f>
        <v>109.22615007665731</v>
      </c>
      <c r="F157" s="254">
        <f>SUM(F158:F175)</f>
        <v>7617434</v>
      </c>
      <c r="G157" s="254">
        <f>SUM(G158:G175)</f>
        <v>7150806</v>
      </c>
      <c r="H157" s="451">
        <f>F157/G157*100</f>
        <v>106.52553012905119</v>
      </c>
      <c r="I157" s="254">
        <f>SUM(I158:I175)</f>
        <v>26699074</v>
      </c>
      <c r="J157" s="254">
        <f>SUM(J158:J175)</f>
        <v>31145134</v>
      </c>
      <c r="K157" s="451">
        <f>I157/J157*100</f>
        <v>85.724704218642955</v>
      </c>
      <c r="L157" s="254">
        <f>SUM(L158:L175)</f>
        <v>24819656</v>
      </c>
      <c r="M157" s="254">
        <f>SUM(M158:M175)</f>
        <v>24788551</v>
      </c>
      <c r="N157" s="451">
        <f>L157/M157*100</f>
        <v>100.12548131595108</v>
      </c>
      <c r="O157" s="348">
        <f>SUM(O158:O175)</f>
        <v>3451</v>
      </c>
      <c r="P157" s="254">
        <f>Q175/O157</f>
        <v>0</v>
      </c>
      <c r="Q157" s="506">
        <f>SUM(Q158:Q175)</f>
        <v>294267</v>
      </c>
    </row>
    <row r="158" spans="1:17" x14ac:dyDescent="0.25">
      <c r="A158" s="277">
        <v>1</v>
      </c>
      <c r="B158" s="274" t="s">
        <v>158</v>
      </c>
      <c r="C158" s="256">
        <v>9783014</v>
      </c>
      <c r="D158" s="256">
        <v>11433302</v>
      </c>
      <c r="E158" s="425">
        <f t="shared" ref="E158:E175" si="54">C158/D158*100</f>
        <v>85.565954612237121</v>
      </c>
      <c r="F158" s="256">
        <v>1266022</v>
      </c>
      <c r="G158" s="256">
        <v>2765861</v>
      </c>
      <c r="H158" s="425">
        <f t="shared" ref="H158:H175" si="55">F158/G158*100</f>
        <v>45.77316069028776</v>
      </c>
      <c r="I158" s="256">
        <v>966324</v>
      </c>
      <c r="J158" s="256">
        <v>9980231</v>
      </c>
      <c r="K158" s="425">
        <f t="shared" ref="K158:K175" si="56">I158/J158*100</f>
        <v>9.6823810991949983</v>
      </c>
      <c r="L158" s="256">
        <v>8427543</v>
      </c>
      <c r="M158" s="256">
        <v>8743461</v>
      </c>
      <c r="N158" s="425">
        <f t="shared" ref="N158:N175" si="57">L158/M158*100</f>
        <v>96.386808381715213</v>
      </c>
      <c r="O158" s="53">
        <v>272</v>
      </c>
      <c r="P158" s="53">
        <v>190</v>
      </c>
      <c r="Q158" s="12">
        <f t="shared" ref="Q158:Q175" si="58">O158*P158</f>
        <v>51680</v>
      </c>
    </row>
    <row r="159" spans="1:17" x14ac:dyDescent="0.25">
      <c r="A159" s="277">
        <v>2</v>
      </c>
      <c r="B159" s="274" t="s">
        <v>159</v>
      </c>
      <c r="C159" s="256">
        <v>1426500</v>
      </c>
      <c r="D159" s="256">
        <v>1446768</v>
      </c>
      <c r="E159" s="425">
        <f t="shared" si="54"/>
        <v>98.599084303772273</v>
      </c>
      <c r="F159" s="256">
        <v>263167</v>
      </c>
      <c r="G159" s="256">
        <v>863450</v>
      </c>
      <c r="H159" s="425">
        <f t="shared" si="55"/>
        <v>30.478545370316752</v>
      </c>
      <c r="I159" s="256">
        <v>1389427</v>
      </c>
      <c r="J159" s="256">
        <v>1450692</v>
      </c>
      <c r="K159" s="425">
        <f t="shared" si="56"/>
        <v>95.776843051454065</v>
      </c>
      <c r="L159" s="256">
        <v>1101022</v>
      </c>
      <c r="M159" s="256">
        <v>1119618</v>
      </c>
      <c r="N159" s="425">
        <f t="shared" si="57"/>
        <v>98.339076363545416</v>
      </c>
      <c r="O159" s="53">
        <v>131</v>
      </c>
      <c r="P159" s="53">
        <v>108</v>
      </c>
      <c r="Q159" s="12">
        <f t="shared" si="58"/>
        <v>14148</v>
      </c>
    </row>
    <row r="160" spans="1:17" x14ac:dyDescent="0.25">
      <c r="A160" s="277">
        <v>3</v>
      </c>
      <c r="B160" s="274" t="s">
        <v>160</v>
      </c>
      <c r="C160" s="256">
        <v>300293</v>
      </c>
      <c r="D160" s="256">
        <v>510954</v>
      </c>
      <c r="E160" s="425">
        <f t="shared" si="54"/>
        <v>58.771043968732997</v>
      </c>
      <c r="F160" s="256">
        <v>110603</v>
      </c>
      <c r="G160" s="256">
        <v>264487</v>
      </c>
      <c r="H160" s="425">
        <f t="shared" si="55"/>
        <v>41.817934340818262</v>
      </c>
      <c r="I160" s="256">
        <v>371123</v>
      </c>
      <c r="J160" s="256">
        <v>682510</v>
      </c>
      <c r="K160" s="425">
        <f t="shared" si="56"/>
        <v>54.376199616122847</v>
      </c>
      <c r="L160" s="256">
        <v>308972</v>
      </c>
      <c r="M160" s="256">
        <v>644891</v>
      </c>
      <c r="N160" s="425">
        <f t="shared" si="57"/>
        <v>47.910732201255719</v>
      </c>
      <c r="O160" s="53">
        <v>63</v>
      </c>
      <c r="P160" s="53">
        <v>146</v>
      </c>
      <c r="Q160" s="12">
        <f t="shared" si="58"/>
        <v>9198</v>
      </c>
    </row>
    <row r="161" spans="1:19" x14ac:dyDescent="0.25">
      <c r="A161" s="277">
        <v>4</v>
      </c>
      <c r="B161" s="274" t="s">
        <v>161</v>
      </c>
      <c r="C161" s="256">
        <v>718587</v>
      </c>
      <c r="D161" s="256">
        <v>504988</v>
      </c>
      <c r="E161" s="425">
        <f t="shared" si="54"/>
        <v>142.29783678027991</v>
      </c>
      <c r="F161" s="256">
        <v>121411</v>
      </c>
      <c r="G161" s="256">
        <v>90133</v>
      </c>
      <c r="H161" s="425">
        <f t="shared" si="55"/>
        <v>134.70205141291203</v>
      </c>
      <c r="I161" s="256">
        <v>978068</v>
      </c>
      <c r="J161" s="256">
        <v>822173</v>
      </c>
      <c r="K161" s="425">
        <f t="shared" si="56"/>
        <v>118.96133782062898</v>
      </c>
      <c r="L161" s="256">
        <v>369178</v>
      </c>
      <c r="M161" s="256">
        <v>464257</v>
      </c>
      <c r="N161" s="425">
        <f t="shared" si="57"/>
        <v>79.520179555720219</v>
      </c>
      <c r="O161" s="432">
        <v>212</v>
      </c>
      <c r="P161" s="53">
        <v>127</v>
      </c>
      <c r="Q161" s="12">
        <f t="shared" si="58"/>
        <v>26924</v>
      </c>
    </row>
    <row r="162" spans="1:19" ht="26.25" customHeight="1" x14ac:dyDescent="0.25">
      <c r="A162" s="7">
        <v>5</v>
      </c>
      <c r="B162" s="266" t="s">
        <v>162</v>
      </c>
      <c r="C162" s="247">
        <v>2506787</v>
      </c>
      <c r="D162" s="247">
        <v>4834403</v>
      </c>
      <c r="E162" s="425">
        <f t="shared" si="54"/>
        <v>51.853082997011214</v>
      </c>
      <c r="F162" s="247">
        <v>414864</v>
      </c>
      <c r="G162" s="247">
        <v>943888</v>
      </c>
      <c r="H162" s="425">
        <f t="shared" si="55"/>
        <v>43.952672350956895</v>
      </c>
      <c r="I162" s="247">
        <v>2590619</v>
      </c>
      <c r="J162" s="247">
        <v>4588675</v>
      </c>
      <c r="K162" s="425">
        <f t="shared" si="56"/>
        <v>56.456798531166406</v>
      </c>
      <c r="L162" s="247">
        <v>2476014</v>
      </c>
      <c r="M162" s="247">
        <v>4588653</v>
      </c>
      <c r="N162" s="425">
        <f t="shared" si="57"/>
        <v>53.959495302869932</v>
      </c>
      <c r="O162" s="432">
        <v>291</v>
      </c>
      <c r="P162" s="53">
        <v>190</v>
      </c>
      <c r="Q162" s="12">
        <f t="shared" si="58"/>
        <v>55290</v>
      </c>
    </row>
    <row r="163" spans="1:19" s="126" customFormat="1" x14ac:dyDescent="0.2">
      <c r="A163" s="7">
        <v>6</v>
      </c>
      <c r="B163" s="266" t="s">
        <v>163</v>
      </c>
      <c r="C163" s="256">
        <v>3664161</v>
      </c>
      <c r="D163" s="256">
        <v>3092681</v>
      </c>
      <c r="E163" s="425">
        <f t="shared" si="54"/>
        <v>118.47846577128387</v>
      </c>
      <c r="F163" s="256">
        <v>829317</v>
      </c>
      <c r="G163" s="256">
        <v>520094</v>
      </c>
      <c r="H163" s="425">
        <f t="shared" si="55"/>
        <v>159.4552138651859</v>
      </c>
      <c r="I163" s="256">
        <v>3481556</v>
      </c>
      <c r="J163" s="256">
        <v>3092681</v>
      </c>
      <c r="K163" s="425">
        <f t="shared" si="56"/>
        <v>112.57404174565693</v>
      </c>
      <c r="L163" s="256">
        <v>2721549</v>
      </c>
      <c r="M163" s="256">
        <v>2017808</v>
      </c>
      <c r="N163" s="425">
        <f t="shared" si="57"/>
        <v>134.87650955888765</v>
      </c>
      <c r="O163" s="432">
        <v>257</v>
      </c>
      <c r="P163" s="53">
        <v>100</v>
      </c>
      <c r="Q163" s="12">
        <f t="shared" si="58"/>
        <v>25700</v>
      </c>
    </row>
    <row r="164" spans="1:19" s="126" customFormat="1" x14ac:dyDescent="0.25">
      <c r="A164" s="7">
        <v>7</v>
      </c>
      <c r="B164" s="274" t="s">
        <v>233</v>
      </c>
      <c r="C164" s="256">
        <v>1801970</v>
      </c>
      <c r="D164" s="256">
        <v>0</v>
      </c>
      <c r="E164" s="425">
        <v>0</v>
      </c>
      <c r="F164" s="256">
        <v>252440</v>
      </c>
      <c r="G164" s="256">
        <v>0</v>
      </c>
      <c r="H164" s="425" t="e">
        <f t="shared" si="55"/>
        <v>#DIV/0!</v>
      </c>
      <c r="I164" s="256">
        <v>2308265</v>
      </c>
      <c r="J164" s="256">
        <v>0</v>
      </c>
      <c r="K164" s="425" t="e">
        <f t="shared" si="56"/>
        <v>#DIV/0!</v>
      </c>
      <c r="L164" s="256">
        <v>1237317</v>
      </c>
      <c r="M164" s="256">
        <v>0</v>
      </c>
      <c r="N164" s="425" t="e">
        <f t="shared" si="57"/>
        <v>#DIV/0!</v>
      </c>
      <c r="O164" s="432">
        <v>226</v>
      </c>
      <c r="P164" s="53">
        <v>93</v>
      </c>
      <c r="Q164" s="12">
        <f t="shared" si="58"/>
        <v>21018</v>
      </c>
      <c r="S164" s="127"/>
    </row>
    <row r="165" spans="1:19" s="126" customFormat="1" x14ac:dyDescent="0.25">
      <c r="A165" s="7">
        <v>8</v>
      </c>
      <c r="B165" s="274" t="s">
        <v>298</v>
      </c>
      <c r="C165" s="256">
        <v>38715</v>
      </c>
      <c r="D165" s="256">
        <v>66104</v>
      </c>
      <c r="E165" s="425">
        <f t="shared" si="54"/>
        <v>58.566803824276889</v>
      </c>
      <c r="F165" s="256">
        <v>9572</v>
      </c>
      <c r="G165" s="256">
        <v>0</v>
      </c>
      <c r="H165" s="425" t="e">
        <f t="shared" si="55"/>
        <v>#DIV/0!</v>
      </c>
      <c r="I165" s="256">
        <v>38715</v>
      </c>
      <c r="J165" s="256">
        <v>66104</v>
      </c>
      <c r="K165" s="425">
        <f t="shared" si="56"/>
        <v>58.566803824276889</v>
      </c>
      <c r="L165" s="256">
        <v>29143</v>
      </c>
      <c r="M165" s="256">
        <v>59029</v>
      </c>
      <c r="N165" s="425">
        <f t="shared" si="57"/>
        <v>49.37064832539938</v>
      </c>
      <c r="O165" s="432">
        <v>10</v>
      </c>
      <c r="P165" s="53">
        <v>80</v>
      </c>
      <c r="Q165" s="12">
        <f t="shared" si="58"/>
        <v>800</v>
      </c>
      <c r="S165" s="127"/>
    </row>
    <row r="166" spans="1:19" s="130" customFormat="1" x14ac:dyDescent="0.25">
      <c r="A166" s="256">
        <v>9</v>
      </c>
      <c r="B166" s="279" t="s">
        <v>166</v>
      </c>
      <c r="C166" s="256"/>
      <c r="D166" s="256"/>
      <c r="E166" s="425">
        <v>0</v>
      </c>
      <c r="F166" s="256"/>
      <c r="G166" s="256"/>
      <c r="H166" s="425" t="e">
        <f t="shared" si="55"/>
        <v>#DIV/0!</v>
      </c>
      <c r="I166" s="256"/>
      <c r="J166" s="256"/>
      <c r="K166" s="425" t="e">
        <f t="shared" si="56"/>
        <v>#DIV/0!</v>
      </c>
      <c r="L166" s="256"/>
      <c r="M166" s="256"/>
      <c r="N166" s="425" t="e">
        <f t="shared" si="57"/>
        <v>#DIV/0!</v>
      </c>
      <c r="O166" s="247">
        <v>288</v>
      </c>
      <c r="P166" s="247">
        <v>75</v>
      </c>
      <c r="Q166" s="12">
        <f t="shared" si="58"/>
        <v>21600</v>
      </c>
      <c r="S166" s="39"/>
    </row>
    <row r="167" spans="1:19" s="130" customFormat="1" ht="18" customHeight="1" x14ac:dyDescent="0.25">
      <c r="A167" s="247">
        <v>10</v>
      </c>
      <c r="B167" s="280" t="s">
        <v>540</v>
      </c>
      <c r="C167" s="247">
        <v>5731750</v>
      </c>
      <c r="D167" s="247">
        <v>5684366</v>
      </c>
      <c r="E167" s="425">
        <f t="shared" si="54"/>
        <v>100.83358460732472</v>
      </c>
      <c r="F167" s="247">
        <v>2348492</v>
      </c>
      <c r="G167" s="247">
        <v>582851</v>
      </c>
      <c r="H167" s="425">
        <f t="shared" si="55"/>
        <v>402.93179560470855</v>
      </c>
      <c r="I167" s="247">
        <v>5731750</v>
      </c>
      <c r="J167" s="247">
        <v>5684366</v>
      </c>
      <c r="K167" s="425">
        <f t="shared" si="56"/>
        <v>100.83358460732472</v>
      </c>
      <c r="L167" s="247">
        <v>5731750</v>
      </c>
      <c r="M167" s="247">
        <v>5606686</v>
      </c>
      <c r="N167" s="425">
        <f t="shared" si="57"/>
        <v>102.23062251033855</v>
      </c>
      <c r="O167" s="247">
        <v>83</v>
      </c>
      <c r="P167" s="247">
        <v>235</v>
      </c>
      <c r="Q167" s="12">
        <f t="shared" si="58"/>
        <v>19505</v>
      </c>
      <c r="S167" s="39"/>
    </row>
    <row r="168" spans="1:19" s="130" customFormat="1" ht="18" customHeight="1" x14ac:dyDescent="0.25">
      <c r="A168" s="247">
        <v>11</v>
      </c>
      <c r="B168" s="280" t="s">
        <v>539</v>
      </c>
      <c r="C168" s="247">
        <v>412905</v>
      </c>
      <c r="D168" s="247">
        <v>561866</v>
      </c>
      <c r="E168" s="425">
        <f t="shared" si="54"/>
        <v>73.488162658000306</v>
      </c>
      <c r="F168" s="247">
        <v>88496</v>
      </c>
      <c r="G168" s="247">
        <v>90705</v>
      </c>
      <c r="H168" s="425">
        <f t="shared" si="55"/>
        <v>97.564632600187423</v>
      </c>
      <c r="I168" s="247">
        <v>419515</v>
      </c>
      <c r="J168" s="247">
        <v>554363</v>
      </c>
      <c r="K168" s="425">
        <f t="shared" si="56"/>
        <v>75.675144264678565</v>
      </c>
      <c r="L168" s="247">
        <v>236289</v>
      </c>
      <c r="M168" s="247">
        <v>352120</v>
      </c>
      <c r="N168" s="425">
        <f t="shared" si="57"/>
        <v>67.104680222651368</v>
      </c>
      <c r="O168" s="247">
        <v>202</v>
      </c>
      <c r="P168" s="247"/>
      <c r="Q168" s="12">
        <f t="shared" si="58"/>
        <v>0</v>
      </c>
      <c r="S168" s="39"/>
    </row>
    <row r="169" spans="1:19" s="130" customFormat="1" x14ac:dyDescent="0.25">
      <c r="A169" s="256">
        <v>12</v>
      </c>
      <c r="B169" s="279" t="s">
        <v>219</v>
      </c>
      <c r="C169" s="256">
        <v>34551</v>
      </c>
      <c r="D169" s="256">
        <v>43141</v>
      </c>
      <c r="E169" s="425">
        <f t="shared" si="54"/>
        <v>80.08854685797732</v>
      </c>
      <c r="F169" s="256">
        <v>3570</v>
      </c>
      <c r="G169" s="256">
        <v>2308</v>
      </c>
      <c r="H169" s="425">
        <f t="shared" si="55"/>
        <v>154.67937608318891</v>
      </c>
      <c r="I169" s="256">
        <v>34551</v>
      </c>
      <c r="J169" s="256">
        <v>43141</v>
      </c>
      <c r="K169" s="425">
        <f t="shared" si="56"/>
        <v>80.08854685797732</v>
      </c>
      <c r="L169" s="256">
        <v>13668</v>
      </c>
      <c r="M169" s="256">
        <v>25597</v>
      </c>
      <c r="N169" s="425">
        <f t="shared" si="57"/>
        <v>53.396882447161772</v>
      </c>
      <c r="O169" s="247">
        <v>9</v>
      </c>
      <c r="P169" s="247">
        <v>91</v>
      </c>
      <c r="Q169" s="12">
        <f t="shared" si="58"/>
        <v>819</v>
      </c>
      <c r="S169" s="39"/>
    </row>
    <row r="170" spans="1:19" s="130" customFormat="1" x14ac:dyDescent="0.25">
      <c r="A170" s="256">
        <v>13</v>
      </c>
      <c r="B170" s="279" t="s">
        <v>301</v>
      </c>
      <c r="C170" s="256">
        <v>2182797</v>
      </c>
      <c r="D170" s="256">
        <v>1525109</v>
      </c>
      <c r="E170" s="425">
        <f t="shared" si="54"/>
        <v>143.12399966166353</v>
      </c>
      <c r="F170" s="256">
        <v>638407</v>
      </c>
      <c r="G170" s="256">
        <v>408749</v>
      </c>
      <c r="H170" s="425">
        <f t="shared" si="55"/>
        <v>156.18558088215505</v>
      </c>
      <c r="I170" s="256">
        <v>2175750</v>
      </c>
      <c r="J170" s="256">
        <v>1534639</v>
      </c>
      <c r="K170" s="425">
        <f t="shared" si="56"/>
        <v>141.77601377262016</v>
      </c>
      <c r="L170" s="256">
        <v>255868</v>
      </c>
      <c r="M170" s="256">
        <v>382200</v>
      </c>
      <c r="N170" s="425">
        <f t="shared" si="57"/>
        <v>66.946101517530082</v>
      </c>
      <c r="O170" s="247">
        <v>658</v>
      </c>
      <c r="P170" s="247"/>
      <c r="Q170" s="12">
        <f t="shared" si="58"/>
        <v>0</v>
      </c>
      <c r="R170" s="130">
        <f>288494-233162</f>
        <v>55332</v>
      </c>
      <c r="S170" s="39"/>
    </row>
    <row r="171" spans="1:19" s="130" customFormat="1" x14ac:dyDescent="0.25">
      <c r="A171" s="256">
        <v>14</v>
      </c>
      <c r="B171" s="279" t="s">
        <v>236</v>
      </c>
      <c r="C171" s="256">
        <v>68049</v>
      </c>
      <c r="D171" s="256">
        <v>0</v>
      </c>
      <c r="E171" s="425"/>
      <c r="F171" s="256">
        <v>4131</v>
      </c>
      <c r="G171" s="256">
        <v>0</v>
      </c>
      <c r="H171" s="425"/>
      <c r="I171" s="256">
        <v>68049</v>
      </c>
      <c r="J171" s="256">
        <v>0</v>
      </c>
      <c r="K171" s="425"/>
      <c r="L171" s="256">
        <v>56363</v>
      </c>
      <c r="M171" s="256">
        <v>0</v>
      </c>
      <c r="N171" s="425"/>
      <c r="O171" s="247"/>
      <c r="P171" s="247"/>
      <c r="Q171" s="12">
        <f t="shared" si="58"/>
        <v>0</v>
      </c>
      <c r="S171" s="39"/>
    </row>
    <row r="172" spans="1:19" s="130" customFormat="1" x14ac:dyDescent="0.25">
      <c r="A172" s="256">
        <v>15</v>
      </c>
      <c r="B172" s="279" t="s">
        <v>237</v>
      </c>
      <c r="C172" s="256">
        <v>696520</v>
      </c>
      <c r="D172" s="256">
        <v>147311</v>
      </c>
      <c r="E172" s="425">
        <f t="shared" si="54"/>
        <v>472.82280345663253</v>
      </c>
      <c r="F172" s="256">
        <v>28457</v>
      </c>
      <c r="G172" s="256">
        <v>8105</v>
      </c>
      <c r="H172" s="425">
        <f t="shared" si="55"/>
        <v>351.10425663170884</v>
      </c>
      <c r="I172" s="256">
        <v>696520</v>
      </c>
      <c r="J172" s="256">
        <v>147311</v>
      </c>
      <c r="K172" s="425">
        <f t="shared" si="56"/>
        <v>472.82280345663253</v>
      </c>
      <c r="L172" s="256">
        <v>585486</v>
      </c>
      <c r="M172" s="256">
        <v>74954</v>
      </c>
      <c r="N172" s="425">
        <f t="shared" si="57"/>
        <v>781.1270912826534</v>
      </c>
      <c r="O172" s="247">
        <v>33</v>
      </c>
      <c r="P172" s="247">
        <v>110</v>
      </c>
      <c r="Q172" s="12">
        <f t="shared" si="58"/>
        <v>3630</v>
      </c>
      <c r="S172" s="39"/>
    </row>
    <row r="173" spans="1:19" s="130" customFormat="1" x14ac:dyDescent="0.25">
      <c r="A173" s="256">
        <v>16</v>
      </c>
      <c r="B173" s="279" t="s">
        <v>229</v>
      </c>
      <c r="C173" s="256">
        <v>3359363</v>
      </c>
      <c r="D173" s="256">
        <v>1070028</v>
      </c>
      <c r="E173" s="425">
        <f t="shared" si="54"/>
        <v>313.95094333980046</v>
      </c>
      <c r="F173" s="256">
        <v>696605</v>
      </c>
      <c r="G173" s="256">
        <v>281957</v>
      </c>
      <c r="H173" s="425">
        <f t="shared" si="55"/>
        <v>247.06072202498964</v>
      </c>
      <c r="I173" s="256">
        <v>3240267</v>
      </c>
      <c r="J173" s="256">
        <v>1276646</v>
      </c>
      <c r="K173" s="425">
        <f t="shared" si="56"/>
        <v>253.81092330998572</v>
      </c>
      <c r="L173" s="256">
        <v>1124269</v>
      </c>
      <c r="M173" s="256">
        <v>575865</v>
      </c>
      <c r="N173" s="425">
        <f t="shared" si="57"/>
        <v>195.23134762487734</v>
      </c>
      <c r="O173" s="247">
        <v>346</v>
      </c>
      <c r="P173" s="247">
        <v>115</v>
      </c>
      <c r="Q173" s="12">
        <f t="shared" si="58"/>
        <v>39790</v>
      </c>
      <c r="S173" s="39"/>
    </row>
    <row r="174" spans="1:19" ht="27" customHeight="1" x14ac:dyDescent="0.25">
      <c r="A174" s="53">
        <v>17</v>
      </c>
      <c r="B174" s="266" t="s">
        <v>230</v>
      </c>
      <c r="C174" s="247">
        <v>878426</v>
      </c>
      <c r="D174" s="247">
        <v>708459</v>
      </c>
      <c r="E174" s="425">
        <f t="shared" si="54"/>
        <v>123.99108487576558</v>
      </c>
      <c r="F174" s="247">
        <v>252966</v>
      </c>
      <c r="G174" s="247">
        <v>209951</v>
      </c>
      <c r="H174" s="425">
        <f t="shared" si="55"/>
        <v>120.48811389324176</v>
      </c>
      <c r="I174" s="247">
        <v>864552</v>
      </c>
      <c r="J174" s="247">
        <v>687156</v>
      </c>
      <c r="K174" s="425">
        <f t="shared" si="56"/>
        <v>125.81597191904021</v>
      </c>
      <c r="L174" s="247">
        <v>5218</v>
      </c>
      <c r="M174" s="247">
        <v>4610</v>
      </c>
      <c r="N174" s="425">
        <f t="shared" si="57"/>
        <v>113.18872017353578</v>
      </c>
      <c r="O174" s="53">
        <v>49</v>
      </c>
      <c r="P174" s="53">
        <v>85</v>
      </c>
      <c r="Q174" s="12">
        <f t="shared" si="58"/>
        <v>4165</v>
      </c>
      <c r="S174" s="73"/>
    </row>
    <row r="175" spans="1:19" x14ac:dyDescent="0.25">
      <c r="A175" s="53">
        <v>18</v>
      </c>
      <c r="B175" s="266" t="s">
        <v>239</v>
      </c>
      <c r="C175" s="247">
        <v>1366022</v>
      </c>
      <c r="D175" s="247">
        <v>387038</v>
      </c>
      <c r="E175" s="425">
        <f t="shared" si="54"/>
        <v>352.94260511887722</v>
      </c>
      <c r="F175" s="247">
        <v>288914</v>
      </c>
      <c r="G175" s="247">
        <v>118267</v>
      </c>
      <c r="H175" s="425">
        <f t="shared" si="55"/>
        <v>244.28961586917737</v>
      </c>
      <c r="I175" s="247">
        <v>1344023</v>
      </c>
      <c r="J175" s="247">
        <v>534446</v>
      </c>
      <c r="K175" s="425">
        <f t="shared" si="56"/>
        <v>251.4796630529558</v>
      </c>
      <c r="L175" s="247">
        <v>140007</v>
      </c>
      <c r="M175" s="247">
        <v>128802</v>
      </c>
      <c r="N175" s="425">
        <f t="shared" si="57"/>
        <v>108.69939907765406</v>
      </c>
      <c r="O175" s="53">
        <v>321</v>
      </c>
      <c r="P175" s="53"/>
      <c r="Q175" s="12">
        <f t="shared" si="58"/>
        <v>0</v>
      </c>
      <c r="S175" s="131"/>
    </row>
    <row r="177" spans="1:17" s="126" customFormat="1" ht="20.25" customHeight="1" x14ac:dyDescent="0.25">
      <c r="A177" s="1033" t="s">
        <v>364</v>
      </c>
      <c r="B177" s="1034" t="s">
        <v>155</v>
      </c>
      <c r="C177" s="254">
        <f>SUM(C178:C181)</f>
        <v>30024943</v>
      </c>
      <c r="D177" s="254">
        <f>SUM(D178:D181)</f>
        <v>16680101</v>
      </c>
      <c r="E177" s="451">
        <f t="shared" ref="E177:E181" si="59">C177/D177*100</f>
        <v>180.00456352152781</v>
      </c>
      <c r="F177" s="254">
        <f>SUM(F178:F181)</f>
        <v>4728367</v>
      </c>
      <c r="G177" s="254">
        <f>SUM(G178:G181)</f>
        <v>2632648</v>
      </c>
      <c r="H177" s="451">
        <f t="shared" ref="H177:H181" si="60">F177/G177*100</f>
        <v>179.60498327159576</v>
      </c>
      <c r="I177" s="254">
        <f>SUM(I178:I181)</f>
        <v>29750413</v>
      </c>
      <c r="J177" s="254">
        <f>SUM(J178:J181)</f>
        <v>18043593</v>
      </c>
      <c r="K177" s="451">
        <f t="shared" ref="K177:K181" si="61">I177/J177*100</f>
        <v>164.88075850524893</v>
      </c>
      <c r="L177" s="254">
        <f>SUM(L178:L181)</f>
        <v>20750471</v>
      </c>
      <c r="M177" s="254">
        <f>SUM(M178:M181)</f>
        <v>13432859</v>
      </c>
      <c r="N177" s="451">
        <f t="shared" ref="N177:N181" si="62">L177/M177*100</f>
        <v>154.47546199956389</v>
      </c>
      <c r="O177" s="254">
        <f>SUM(O178:O181)</f>
        <v>2008</v>
      </c>
      <c r="P177" s="254">
        <f>Q177/O177</f>
        <v>80.201195219123505</v>
      </c>
      <c r="Q177" s="513">
        <f>SUM(Q178:Q181)</f>
        <v>161044</v>
      </c>
    </row>
    <row r="178" spans="1:17" ht="14.25" customHeight="1" x14ac:dyDescent="0.25">
      <c r="A178" s="271">
        <v>1</v>
      </c>
      <c r="B178" s="283" t="s">
        <v>225</v>
      </c>
      <c r="C178" s="282">
        <v>15108033</v>
      </c>
      <c r="D178" s="282">
        <v>5486558</v>
      </c>
      <c r="E178" s="425">
        <f t="shared" si="59"/>
        <v>275.36449992873492</v>
      </c>
      <c r="F178" s="282">
        <v>2469793</v>
      </c>
      <c r="G178" s="282">
        <v>1224558</v>
      </c>
      <c r="H178" s="425">
        <f t="shared" si="60"/>
        <v>201.68852761567848</v>
      </c>
      <c r="I178" s="282">
        <v>11941015</v>
      </c>
      <c r="J178" s="282">
        <v>5036236</v>
      </c>
      <c r="K178" s="425">
        <f t="shared" si="61"/>
        <v>237.10197456989707</v>
      </c>
      <c r="L178" s="282">
        <v>5989249</v>
      </c>
      <c r="M178" s="282">
        <v>2216349</v>
      </c>
      <c r="N178" s="425">
        <f t="shared" si="62"/>
        <v>270.23041046333407</v>
      </c>
      <c r="O178" s="435">
        <v>801</v>
      </c>
      <c r="P178" s="271"/>
      <c r="Q178" s="157">
        <f>O178*P178</f>
        <v>0</v>
      </c>
    </row>
    <row r="179" spans="1:17" ht="14.25" customHeight="1" x14ac:dyDescent="0.25">
      <c r="A179" s="271">
        <v>2</v>
      </c>
      <c r="B179" s="283" t="s">
        <v>299</v>
      </c>
      <c r="C179" s="282">
        <v>731</v>
      </c>
      <c r="D179" s="282">
        <v>0</v>
      </c>
      <c r="E179" s="425" t="e">
        <f t="shared" si="59"/>
        <v>#DIV/0!</v>
      </c>
      <c r="F179" s="282">
        <v>0</v>
      </c>
      <c r="G179" s="282">
        <v>0</v>
      </c>
      <c r="H179" s="425">
        <v>0</v>
      </c>
      <c r="I179" s="282">
        <v>1059212</v>
      </c>
      <c r="J179" s="282">
        <v>713260</v>
      </c>
      <c r="K179" s="425">
        <f t="shared" si="61"/>
        <v>148.50293020777835</v>
      </c>
      <c r="L179" s="282"/>
      <c r="M179" s="282"/>
      <c r="N179" s="425"/>
      <c r="O179" s="435">
        <v>134</v>
      </c>
      <c r="P179" s="271"/>
      <c r="Q179" s="157">
        <f>O179*P179</f>
        <v>0</v>
      </c>
    </row>
    <row r="180" spans="1:17" ht="14.25" customHeight="1" x14ac:dyDescent="0.25">
      <c r="A180" s="271">
        <v>3</v>
      </c>
      <c r="B180" s="283" t="s">
        <v>244</v>
      </c>
      <c r="C180" s="282">
        <v>123481</v>
      </c>
      <c r="D180" s="282">
        <v>1678</v>
      </c>
      <c r="E180" s="425">
        <f t="shared" si="59"/>
        <v>7358.8200238379013</v>
      </c>
      <c r="F180" s="282">
        <v>24346</v>
      </c>
      <c r="G180" s="282">
        <v>0</v>
      </c>
      <c r="H180" s="425"/>
      <c r="I180" s="282">
        <v>123481</v>
      </c>
      <c r="J180" s="282">
        <v>0</v>
      </c>
      <c r="K180" s="425"/>
      <c r="L180" s="282">
        <v>123481</v>
      </c>
      <c r="M180" s="282">
        <v>0</v>
      </c>
      <c r="N180" s="425"/>
      <c r="O180" s="435">
        <v>85</v>
      </c>
      <c r="P180" s="271"/>
      <c r="Q180" s="157">
        <f>O180*P180</f>
        <v>0</v>
      </c>
    </row>
    <row r="181" spans="1:17" ht="14.25" customHeight="1" x14ac:dyDescent="0.25">
      <c r="A181" s="444"/>
      <c r="B181" s="283" t="s">
        <v>519</v>
      </c>
      <c r="C181" s="282">
        <v>14792698</v>
      </c>
      <c r="D181" s="282">
        <v>11191865</v>
      </c>
      <c r="E181" s="425">
        <f t="shared" si="59"/>
        <v>132.17366363872333</v>
      </c>
      <c r="F181" s="282">
        <v>2234228</v>
      </c>
      <c r="G181" s="282">
        <v>1408090</v>
      </c>
      <c r="H181" s="425">
        <f t="shared" si="60"/>
        <v>158.67082359792343</v>
      </c>
      <c r="I181" s="282">
        <v>16626705</v>
      </c>
      <c r="J181" s="282">
        <v>12294097</v>
      </c>
      <c r="K181" s="425">
        <f t="shared" si="61"/>
        <v>135.24136827617352</v>
      </c>
      <c r="L181" s="282">
        <v>14637741</v>
      </c>
      <c r="M181" s="282">
        <v>11216510</v>
      </c>
      <c r="N181" s="425">
        <f t="shared" si="62"/>
        <v>130.50174252062362</v>
      </c>
      <c r="O181" s="435">
        <v>988</v>
      </c>
      <c r="P181" s="271">
        <v>163</v>
      </c>
      <c r="Q181" s="157">
        <f>O181*P181</f>
        <v>161044</v>
      </c>
    </row>
    <row r="182" spans="1:17" ht="15.75" customHeight="1" x14ac:dyDescent="0.25">
      <c r="A182" s="251"/>
      <c r="B182" s="251"/>
      <c r="C182" s="25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207"/>
      <c r="P182" s="71"/>
      <c r="Q182" s="162"/>
    </row>
    <row r="183" spans="1:17" s="126" customFormat="1" ht="19.5" customHeight="1" x14ac:dyDescent="0.25">
      <c r="A183" s="1033" t="s">
        <v>363</v>
      </c>
      <c r="B183" s="1034" t="s">
        <v>119</v>
      </c>
      <c r="C183" s="254">
        <f>SUM(C184:C199)</f>
        <v>45142125</v>
      </c>
      <c r="D183" s="254">
        <f>SUM(D184:D199)</f>
        <v>42513352</v>
      </c>
      <c r="E183" s="451">
        <f>C183/D183*100</f>
        <v>106.18340562748381</v>
      </c>
      <c r="F183" s="254">
        <f>SUM(F184:F199)</f>
        <v>10428376</v>
      </c>
      <c r="G183" s="254">
        <f>SUM(G184:G199)</f>
        <v>5681200</v>
      </c>
      <c r="H183" s="451">
        <f>F183/G183*100</f>
        <v>183.55938886150813</v>
      </c>
      <c r="I183" s="254">
        <f>SUM(I184:I199)</f>
        <v>39338624</v>
      </c>
      <c r="J183" s="254">
        <f>SUM(J184:J199)</f>
        <v>36117642</v>
      </c>
      <c r="K183" s="451">
        <f>I183/J183*100</f>
        <v>108.91802958786734</v>
      </c>
      <c r="L183" s="254">
        <f>SUM(L184:L199)</f>
        <v>2900902</v>
      </c>
      <c r="M183" s="254">
        <f>SUM(M184:M199)</f>
        <v>3919128</v>
      </c>
      <c r="N183" s="451">
        <f>L183/M183*100</f>
        <v>74.01906750685356</v>
      </c>
      <c r="O183" s="254">
        <f>SUM(O184:O199)</f>
        <v>4418</v>
      </c>
      <c r="P183" s="254">
        <f>Q183/O183</f>
        <v>148.71231326392032</v>
      </c>
      <c r="Q183" s="498">
        <f>SUM(Q184:Q199)</f>
        <v>657011</v>
      </c>
    </row>
    <row r="184" spans="1:17" x14ac:dyDescent="0.25">
      <c r="A184" s="284">
        <v>1</v>
      </c>
      <c r="B184" s="266" t="s">
        <v>478</v>
      </c>
      <c r="C184" s="256">
        <v>24928</v>
      </c>
      <c r="D184" s="256">
        <v>47839</v>
      </c>
      <c r="E184" s="425">
        <f t="shared" ref="E184:E199" si="63">C184/D184*100</f>
        <v>52.108112627772321</v>
      </c>
      <c r="F184" s="256">
        <v>14063</v>
      </c>
      <c r="G184" s="256">
        <v>33623</v>
      </c>
      <c r="H184" s="425">
        <f t="shared" ref="H184:H199" si="64">F184/G184*100</f>
        <v>41.825536091366025</v>
      </c>
      <c r="I184" s="256">
        <v>41000</v>
      </c>
      <c r="J184" s="256">
        <v>22865</v>
      </c>
      <c r="K184" s="425">
        <f t="shared" ref="K184:K199" si="65">I184/J184*100</f>
        <v>179.3133610321452</v>
      </c>
      <c r="L184" s="256">
        <v>39930</v>
      </c>
      <c r="M184" s="256">
        <v>18936</v>
      </c>
      <c r="N184" s="425">
        <f t="shared" ref="N184:N199" si="66">L184/M184*100</f>
        <v>210.86818757921421</v>
      </c>
      <c r="O184" s="284">
        <v>52</v>
      </c>
      <c r="P184" s="284">
        <v>93</v>
      </c>
      <c r="Q184" s="162">
        <f t="shared" ref="Q184:Q199" si="67">O184*P184</f>
        <v>4836</v>
      </c>
    </row>
    <row r="185" spans="1:17" x14ac:dyDescent="0.25">
      <c r="A185" s="284">
        <v>2</v>
      </c>
      <c r="B185" s="266" t="s">
        <v>479</v>
      </c>
      <c r="C185" s="517">
        <v>549968</v>
      </c>
      <c r="D185" s="517">
        <v>526014</v>
      </c>
      <c r="E185" s="518">
        <f t="shared" si="63"/>
        <v>104.55387118974019</v>
      </c>
      <c r="F185" s="517">
        <v>70713</v>
      </c>
      <c r="G185" s="517">
        <v>108590</v>
      </c>
      <c r="H185" s="518">
        <f t="shared" si="64"/>
        <v>65.119255916751086</v>
      </c>
      <c r="I185" s="517">
        <v>593486</v>
      </c>
      <c r="J185" s="517">
        <v>536922</v>
      </c>
      <c r="K185" s="518">
        <f t="shared" si="65"/>
        <v>110.53486353697556</v>
      </c>
      <c r="L185" s="517">
        <f>278175+69723</f>
        <v>347898</v>
      </c>
      <c r="M185" s="517">
        <f>98681+106416</f>
        <v>205097</v>
      </c>
      <c r="N185" s="518">
        <f t="shared" si="66"/>
        <v>169.62607936732374</v>
      </c>
      <c r="O185" s="519">
        <v>113</v>
      </c>
      <c r="P185" s="519">
        <v>71</v>
      </c>
      <c r="Q185" s="162">
        <f t="shared" si="67"/>
        <v>8023</v>
      </c>
    </row>
    <row r="186" spans="1:17" x14ac:dyDescent="0.25">
      <c r="A186" s="284">
        <v>3</v>
      </c>
      <c r="B186" s="266" t="s">
        <v>480</v>
      </c>
      <c r="C186" s="256">
        <v>134591</v>
      </c>
      <c r="D186" s="256">
        <v>92093</v>
      </c>
      <c r="E186" s="425">
        <f t="shared" si="63"/>
        <v>146.14682983505804</v>
      </c>
      <c r="F186" s="256">
        <v>25212</v>
      </c>
      <c r="G186" s="256">
        <v>40240</v>
      </c>
      <c r="H186" s="425">
        <f t="shared" si="64"/>
        <v>62.654075546719682</v>
      </c>
      <c r="I186" s="256">
        <v>382446</v>
      </c>
      <c r="J186" s="256">
        <v>184040</v>
      </c>
      <c r="K186" s="425">
        <f t="shared" si="65"/>
        <v>207.80591175831341</v>
      </c>
      <c r="L186" s="256">
        <v>317021</v>
      </c>
      <c r="M186" s="256">
        <v>133149</v>
      </c>
      <c r="N186" s="425">
        <f t="shared" si="66"/>
        <v>238.09491622167647</v>
      </c>
      <c r="O186" s="284">
        <v>134</v>
      </c>
      <c r="P186" s="284">
        <v>126</v>
      </c>
      <c r="Q186" s="162">
        <f t="shared" si="67"/>
        <v>16884</v>
      </c>
    </row>
    <row r="187" spans="1:17" x14ac:dyDescent="0.25">
      <c r="A187" s="284">
        <v>4</v>
      </c>
      <c r="B187" s="266" t="s">
        <v>481</v>
      </c>
      <c r="C187" s="256">
        <v>1209956</v>
      </c>
      <c r="D187" s="256">
        <v>1750373</v>
      </c>
      <c r="E187" s="425">
        <f t="shared" si="63"/>
        <v>69.125609227290411</v>
      </c>
      <c r="F187" s="256">
        <v>157432</v>
      </c>
      <c r="G187" s="256">
        <v>419975</v>
      </c>
      <c r="H187" s="425">
        <f t="shared" si="64"/>
        <v>37.486040835764037</v>
      </c>
      <c r="I187" s="256">
        <v>1296325</v>
      </c>
      <c r="J187" s="256">
        <v>1453595</v>
      </c>
      <c r="K187" s="425">
        <f t="shared" si="65"/>
        <v>89.1806177098848</v>
      </c>
      <c r="L187" s="256">
        <v>562500</v>
      </c>
      <c r="M187" s="256">
        <v>651085</v>
      </c>
      <c r="N187" s="425">
        <f t="shared" si="66"/>
        <v>86.394249598746711</v>
      </c>
      <c r="O187" s="284">
        <v>235</v>
      </c>
      <c r="P187" s="284">
        <v>215</v>
      </c>
      <c r="Q187" s="162">
        <f t="shared" si="67"/>
        <v>50525</v>
      </c>
    </row>
    <row r="188" spans="1:17" x14ac:dyDescent="0.25">
      <c r="A188" s="284">
        <v>5</v>
      </c>
      <c r="B188" s="266" t="s">
        <v>482</v>
      </c>
      <c r="C188" s="256">
        <v>25098170</v>
      </c>
      <c r="D188" s="256">
        <v>24308001</v>
      </c>
      <c r="E188" s="425">
        <f t="shared" si="63"/>
        <v>103.25065397191648</v>
      </c>
      <c r="F188" s="256">
        <v>6009826</v>
      </c>
      <c r="G188" s="256">
        <v>1992532</v>
      </c>
      <c r="H188" s="425">
        <f t="shared" si="64"/>
        <v>301.61753989396402</v>
      </c>
      <c r="I188" s="256">
        <v>20171650</v>
      </c>
      <c r="J188" s="256">
        <v>19243235</v>
      </c>
      <c r="K188" s="425">
        <f t="shared" si="65"/>
        <v>104.82463057796676</v>
      </c>
      <c r="L188" s="256">
        <v>203356</v>
      </c>
      <c r="M188" s="256">
        <v>1610854</v>
      </c>
      <c r="N188" s="425">
        <f t="shared" si="66"/>
        <v>12.624111185743711</v>
      </c>
      <c r="O188" s="284">
        <v>867</v>
      </c>
      <c r="P188" s="284">
        <v>150</v>
      </c>
      <c r="Q188" s="162">
        <f t="shared" si="67"/>
        <v>130050</v>
      </c>
    </row>
    <row r="189" spans="1:17" x14ac:dyDescent="0.25">
      <c r="A189" s="284">
        <v>6</v>
      </c>
      <c r="B189" s="266" t="s">
        <v>483</v>
      </c>
      <c r="C189" s="256">
        <v>2434859</v>
      </c>
      <c r="D189" s="256">
        <v>2388785</v>
      </c>
      <c r="E189" s="425">
        <f t="shared" si="63"/>
        <v>101.92876294852822</v>
      </c>
      <c r="F189" s="256">
        <v>695246</v>
      </c>
      <c r="G189" s="256">
        <v>606999</v>
      </c>
      <c r="H189" s="425">
        <f t="shared" si="64"/>
        <v>114.53824470880511</v>
      </c>
      <c r="I189" s="256">
        <v>1686679</v>
      </c>
      <c r="J189" s="256">
        <v>1940949</v>
      </c>
      <c r="K189" s="425">
        <f t="shared" si="65"/>
        <v>86.899707308126068</v>
      </c>
      <c r="L189" s="256">
        <v>238270</v>
      </c>
      <c r="M189" s="256">
        <v>86279</v>
      </c>
      <c r="N189" s="425">
        <f t="shared" si="66"/>
        <v>276.16221792093091</v>
      </c>
      <c r="O189" s="284">
        <v>566</v>
      </c>
      <c r="P189" s="284">
        <v>123</v>
      </c>
      <c r="Q189" s="162">
        <f t="shared" si="67"/>
        <v>69618</v>
      </c>
    </row>
    <row r="190" spans="1:17" x14ac:dyDescent="0.25">
      <c r="A190" s="284">
        <v>7</v>
      </c>
      <c r="B190" s="266" t="s">
        <v>484</v>
      </c>
      <c r="C190" s="256">
        <v>766524</v>
      </c>
      <c r="D190" s="256">
        <v>915427</v>
      </c>
      <c r="E190" s="425">
        <f t="shared" si="63"/>
        <v>83.734038869292689</v>
      </c>
      <c r="F190" s="256">
        <v>129245</v>
      </c>
      <c r="G190" s="256">
        <v>189653</v>
      </c>
      <c r="H190" s="425">
        <f t="shared" si="64"/>
        <v>68.148144242379502</v>
      </c>
      <c r="I190" s="256">
        <v>727055</v>
      </c>
      <c r="J190" s="256">
        <v>895331</v>
      </c>
      <c r="K190" s="425">
        <f t="shared" si="65"/>
        <v>81.205163230135</v>
      </c>
      <c r="L190" s="256">
        <v>112487</v>
      </c>
      <c r="M190" s="256">
        <v>43969</v>
      </c>
      <c r="N190" s="425">
        <f t="shared" si="66"/>
        <v>255.83251836521183</v>
      </c>
      <c r="O190" s="284">
        <v>164</v>
      </c>
      <c r="P190" s="284">
        <v>161</v>
      </c>
      <c r="Q190" s="162">
        <f t="shared" si="67"/>
        <v>26404</v>
      </c>
    </row>
    <row r="191" spans="1:17" x14ac:dyDescent="0.25">
      <c r="A191" s="284">
        <v>8</v>
      </c>
      <c r="B191" s="266" t="s">
        <v>485</v>
      </c>
      <c r="C191" s="256">
        <v>119565</v>
      </c>
      <c r="D191" s="256">
        <v>254137</v>
      </c>
      <c r="E191" s="425">
        <f t="shared" si="63"/>
        <v>47.047458654190457</v>
      </c>
      <c r="F191" s="256">
        <v>20602</v>
      </c>
      <c r="G191" s="256">
        <v>9575</v>
      </c>
      <c r="H191" s="425">
        <f t="shared" si="64"/>
        <v>215.16449086161882</v>
      </c>
      <c r="I191" s="256">
        <v>155146</v>
      </c>
      <c r="J191" s="256">
        <v>300260</v>
      </c>
      <c r="K191" s="425">
        <f t="shared" si="65"/>
        <v>51.670552188103649</v>
      </c>
      <c r="L191" s="256">
        <v>117962</v>
      </c>
      <c r="M191" s="256">
        <v>266134</v>
      </c>
      <c r="N191" s="425">
        <f t="shared" si="66"/>
        <v>44.324287764810208</v>
      </c>
      <c r="O191" s="284">
        <v>23</v>
      </c>
      <c r="P191" s="284">
        <v>80</v>
      </c>
      <c r="Q191" s="162">
        <f t="shared" si="67"/>
        <v>1840</v>
      </c>
    </row>
    <row r="192" spans="1:17" x14ac:dyDescent="0.25">
      <c r="A192" s="284">
        <v>9</v>
      </c>
      <c r="B192" s="266" t="s">
        <v>486</v>
      </c>
      <c r="C192" s="256">
        <v>1196895</v>
      </c>
      <c r="D192" s="256">
        <v>796743</v>
      </c>
      <c r="E192" s="425">
        <f t="shared" si="63"/>
        <v>150.22347231164881</v>
      </c>
      <c r="F192" s="256">
        <v>234321</v>
      </c>
      <c r="G192" s="256">
        <v>140529</v>
      </c>
      <c r="H192" s="425">
        <f t="shared" si="64"/>
        <v>166.74209593749333</v>
      </c>
      <c r="I192" s="256">
        <v>1191654</v>
      </c>
      <c r="J192" s="256">
        <v>793840</v>
      </c>
      <c r="K192" s="425">
        <f t="shared" si="65"/>
        <v>150.11261715207092</v>
      </c>
      <c r="L192" s="256">
        <v>13626</v>
      </c>
      <c r="M192" s="256">
        <v>0</v>
      </c>
      <c r="N192" s="425"/>
      <c r="O192" s="284">
        <v>158</v>
      </c>
      <c r="P192" s="284">
        <v>110</v>
      </c>
      <c r="Q192" s="162">
        <f t="shared" si="67"/>
        <v>17380</v>
      </c>
    </row>
    <row r="193" spans="1:17" x14ac:dyDescent="0.25">
      <c r="A193" s="284">
        <v>10</v>
      </c>
      <c r="B193" s="266" t="s">
        <v>487</v>
      </c>
      <c r="C193" s="256">
        <v>463636</v>
      </c>
      <c r="D193" s="256">
        <v>472644</v>
      </c>
      <c r="E193" s="425">
        <f t="shared" si="63"/>
        <v>98.094125811392928</v>
      </c>
      <c r="F193" s="256">
        <v>80903</v>
      </c>
      <c r="G193" s="256">
        <v>102331</v>
      </c>
      <c r="H193" s="425">
        <f t="shared" si="64"/>
        <v>79.060108862417053</v>
      </c>
      <c r="I193" s="256">
        <v>463636</v>
      </c>
      <c r="J193" s="256">
        <v>472644</v>
      </c>
      <c r="K193" s="425">
        <f t="shared" si="65"/>
        <v>98.094125811392928</v>
      </c>
      <c r="L193" s="256">
        <v>297697</v>
      </c>
      <c r="M193" s="256">
        <v>409143</v>
      </c>
      <c r="N193" s="425">
        <f t="shared" si="66"/>
        <v>72.761112862739921</v>
      </c>
      <c r="O193" s="256">
        <v>77</v>
      </c>
      <c r="P193" s="256">
        <v>85</v>
      </c>
      <c r="Q193" s="162">
        <f t="shared" si="67"/>
        <v>6545</v>
      </c>
    </row>
    <row r="194" spans="1:17" x14ac:dyDescent="0.25">
      <c r="A194" s="284">
        <v>11</v>
      </c>
      <c r="B194" s="266" t="s">
        <v>488</v>
      </c>
      <c r="C194" s="256">
        <v>124361</v>
      </c>
      <c r="D194" s="256">
        <v>83370</v>
      </c>
      <c r="E194" s="425">
        <f t="shared" si="63"/>
        <v>149.16756627084084</v>
      </c>
      <c r="F194" s="256">
        <v>23107</v>
      </c>
      <c r="G194" s="256">
        <v>11479</v>
      </c>
      <c r="H194" s="425">
        <f t="shared" si="64"/>
        <v>201.29802247582541</v>
      </c>
      <c r="I194" s="256">
        <v>124361</v>
      </c>
      <c r="J194" s="256">
        <v>83370</v>
      </c>
      <c r="K194" s="425">
        <f t="shared" si="65"/>
        <v>149.16756627084084</v>
      </c>
      <c r="L194" s="256">
        <v>0</v>
      </c>
      <c r="M194" s="256">
        <v>0</v>
      </c>
      <c r="N194" s="425">
        <v>0</v>
      </c>
      <c r="O194" s="256">
        <v>17</v>
      </c>
      <c r="P194" s="256">
        <v>80</v>
      </c>
      <c r="Q194" s="162">
        <f t="shared" si="67"/>
        <v>1360</v>
      </c>
    </row>
    <row r="195" spans="1:17" x14ac:dyDescent="0.25">
      <c r="A195" s="284">
        <v>12</v>
      </c>
      <c r="B195" s="266" t="s">
        <v>223</v>
      </c>
      <c r="C195" s="256">
        <v>1018940</v>
      </c>
      <c r="D195" s="256">
        <v>795075</v>
      </c>
      <c r="E195" s="425">
        <f t="shared" si="63"/>
        <v>128.15646322673962</v>
      </c>
      <c r="F195" s="256">
        <v>216148</v>
      </c>
      <c r="G195" s="256">
        <v>165779</v>
      </c>
      <c r="H195" s="425">
        <f t="shared" si="64"/>
        <v>130.38322103523365</v>
      </c>
      <c r="I195" s="256">
        <v>1018940</v>
      </c>
      <c r="J195" s="256">
        <v>795075</v>
      </c>
      <c r="K195" s="425">
        <f t="shared" si="65"/>
        <v>128.15646322673962</v>
      </c>
      <c r="L195" s="256">
        <v>130272</v>
      </c>
      <c r="M195" s="256">
        <v>136147</v>
      </c>
      <c r="N195" s="425">
        <f t="shared" si="66"/>
        <v>95.68481127017121</v>
      </c>
      <c r="O195" s="256">
        <v>60</v>
      </c>
      <c r="P195" s="256">
        <v>115</v>
      </c>
      <c r="Q195" s="162">
        <f t="shared" si="67"/>
        <v>6900</v>
      </c>
    </row>
    <row r="196" spans="1:17" x14ac:dyDescent="0.25">
      <c r="A196" s="284">
        <v>13</v>
      </c>
      <c r="B196" s="266" t="s">
        <v>489</v>
      </c>
      <c r="C196" s="256">
        <v>284401</v>
      </c>
      <c r="D196" s="256">
        <v>142490</v>
      </c>
      <c r="E196" s="425">
        <f t="shared" si="63"/>
        <v>199.5936556951365</v>
      </c>
      <c r="F196" s="256">
        <v>33566</v>
      </c>
      <c r="G196" s="256">
        <v>22988</v>
      </c>
      <c r="H196" s="425">
        <f t="shared" si="64"/>
        <v>146.0153123368714</v>
      </c>
      <c r="I196" s="256">
        <v>256643</v>
      </c>
      <c r="J196" s="256">
        <v>118400</v>
      </c>
      <c r="K196" s="425">
        <f t="shared" si="65"/>
        <v>216.75929054054052</v>
      </c>
      <c r="L196" s="256">
        <v>0</v>
      </c>
      <c r="M196" s="256">
        <v>0</v>
      </c>
      <c r="N196" s="425">
        <v>0</v>
      </c>
      <c r="O196" s="284">
        <v>130</v>
      </c>
      <c r="P196" s="284">
        <v>115</v>
      </c>
      <c r="Q196" s="162">
        <f t="shared" si="67"/>
        <v>14950</v>
      </c>
    </row>
    <row r="197" spans="1:17" x14ac:dyDescent="0.25">
      <c r="A197" s="284">
        <v>14</v>
      </c>
      <c r="B197" s="266" t="s">
        <v>183</v>
      </c>
      <c r="C197" s="256">
        <v>4318</v>
      </c>
      <c r="D197" s="256">
        <v>11834</v>
      </c>
      <c r="E197" s="425">
        <f t="shared" si="63"/>
        <v>36.488085178299812</v>
      </c>
      <c r="F197" s="256">
        <v>1156</v>
      </c>
      <c r="G197" s="256">
        <v>1774</v>
      </c>
      <c r="H197" s="425">
        <f t="shared" si="64"/>
        <v>65.163472378804968</v>
      </c>
      <c r="I197" s="256">
        <v>4318</v>
      </c>
      <c r="J197" s="256">
        <v>11834</v>
      </c>
      <c r="K197" s="425">
        <f t="shared" si="65"/>
        <v>36.488085178299812</v>
      </c>
      <c r="L197" s="256">
        <v>0</v>
      </c>
      <c r="M197" s="256">
        <v>0</v>
      </c>
      <c r="N197" s="425">
        <v>0</v>
      </c>
      <c r="O197" s="284">
        <v>50</v>
      </c>
      <c r="P197" s="284">
        <v>80</v>
      </c>
      <c r="Q197" s="162">
        <f t="shared" si="67"/>
        <v>4000</v>
      </c>
    </row>
    <row r="198" spans="1:17" x14ac:dyDescent="0.25">
      <c r="A198" s="284">
        <v>15</v>
      </c>
      <c r="B198" s="266" t="s">
        <v>490</v>
      </c>
      <c r="C198" s="256">
        <v>2011138</v>
      </c>
      <c r="D198" s="256">
        <v>1824684</v>
      </c>
      <c r="E198" s="425">
        <f t="shared" si="63"/>
        <v>110.21842686185663</v>
      </c>
      <c r="F198" s="256">
        <v>240342</v>
      </c>
      <c r="G198" s="256">
        <v>287793</v>
      </c>
      <c r="H198" s="425">
        <f t="shared" si="64"/>
        <v>83.512107660714477</v>
      </c>
      <c r="I198" s="256">
        <v>1500993</v>
      </c>
      <c r="J198" s="256">
        <v>1192936</v>
      </c>
      <c r="K198" s="425">
        <f t="shared" si="65"/>
        <v>125.82343059476786</v>
      </c>
      <c r="L198" s="256">
        <v>0</v>
      </c>
      <c r="M198" s="256">
        <v>0</v>
      </c>
      <c r="N198" s="425">
        <v>0</v>
      </c>
      <c r="O198" s="284">
        <v>0</v>
      </c>
      <c r="P198" s="284">
        <v>100</v>
      </c>
      <c r="Q198" s="162">
        <f t="shared" si="67"/>
        <v>0</v>
      </c>
    </row>
    <row r="199" spans="1:17" x14ac:dyDescent="0.25">
      <c r="A199" s="284"/>
      <c r="B199" s="266" t="s">
        <v>523</v>
      </c>
      <c r="C199" s="256">
        <v>9699875</v>
      </c>
      <c r="D199" s="256">
        <v>8103843</v>
      </c>
      <c r="E199" s="425">
        <f t="shared" si="63"/>
        <v>119.69475469848069</v>
      </c>
      <c r="F199" s="256">
        <v>2476494</v>
      </c>
      <c r="G199" s="256">
        <v>1547340</v>
      </c>
      <c r="H199" s="425">
        <f t="shared" si="64"/>
        <v>160.04847027802552</v>
      </c>
      <c r="I199" s="256">
        <v>9724292</v>
      </c>
      <c r="J199" s="256">
        <v>8072346</v>
      </c>
      <c r="K199" s="425">
        <f t="shared" si="65"/>
        <v>120.46426156658796</v>
      </c>
      <c r="L199" s="256">
        <v>519883</v>
      </c>
      <c r="M199" s="256">
        <v>358335</v>
      </c>
      <c r="N199" s="425">
        <f t="shared" si="66"/>
        <v>145.08295310254371</v>
      </c>
      <c r="O199" s="284">
        <v>1772</v>
      </c>
      <c r="P199" s="284">
        <v>168</v>
      </c>
      <c r="Q199" s="162">
        <f t="shared" si="67"/>
        <v>297696</v>
      </c>
    </row>
    <row r="200" spans="1:17" ht="41.25" customHeight="1" x14ac:dyDescent="0.25"/>
    <row r="201" spans="1:17" s="126" customFormat="1" ht="28.5" x14ac:dyDescent="0.25">
      <c r="A201" s="353"/>
      <c r="B201" s="429" t="s">
        <v>342</v>
      </c>
      <c r="C201" s="497">
        <f>C202+C211</f>
        <v>7692859</v>
      </c>
      <c r="D201" s="497">
        <f>D202+D211</f>
        <v>8090582</v>
      </c>
      <c r="E201" s="497">
        <f>C201/D201*100</f>
        <v>95.084123737946172</v>
      </c>
      <c r="F201" s="497">
        <f>F202+F211</f>
        <v>1175684</v>
      </c>
      <c r="G201" s="497">
        <f>G202+G211</f>
        <v>1551416</v>
      </c>
      <c r="H201" s="497">
        <f>F201/G201*100</f>
        <v>75.781350714444102</v>
      </c>
      <c r="I201" s="497">
        <f>I202+I211</f>
        <v>7493441</v>
      </c>
      <c r="J201" s="497">
        <f>J202+J211</f>
        <v>8129825</v>
      </c>
      <c r="K201" s="497">
        <f>I201/J201*100</f>
        <v>92.172230029551685</v>
      </c>
      <c r="L201" s="497">
        <f>L202+L211</f>
        <v>4529395</v>
      </c>
      <c r="M201" s="497">
        <f>M202+M211</f>
        <v>4350629</v>
      </c>
      <c r="N201" s="497">
        <f>L201/M201*100</f>
        <v>104.10896907090905</v>
      </c>
      <c r="O201" s="497">
        <f>O202+O211</f>
        <v>623</v>
      </c>
      <c r="P201" s="497">
        <f>Q201/O201</f>
        <v>161.61316211878011</v>
      </c>
      <c r="Q201" s="509">
        <f>Q202+Q211</f>
        <v>100685</v>
      </c>
    </row>
    <row r="202" spans="1:17" ht="17.25" customHeight="1" x14ac:dyDescent="0.25">
      <c r="A202" s="1001" t="s">
        <v>340</v>
      </c>
      <c r="B202" s="1002" t="s">
        <v>155</v>
      </c>
      <c r="C202" s="497">
        <f>SUM(C203:C209)</f>
        <v>5862570</v>
      </c>
      <c r="D202" s="497">
        <f>SUM(D203:D209)</f>
        <v>6181949</v>
      </c>
      <c r="E202" s="497">
        <f>C202/D202*100</f>
        <v>94.83368432835664</v>
      </c>
      <c r="F202" s="497">
        <f>SUM(F203:F209)</f>
        <v>1084758</v>
      </c>
      <c r="G202" s="497">
        <f>SUM(G203:G209)</f>
        <v>1198906</v>
      </c>
      <c r="H202" s="497">
        <f>F202/G202*100</f>
        <v>90.478986676186452</v>
      </c>
      <c r="I202" s="497">
        <f>SUM(I203:I209)</f>
        <v>5714312</v>
      </c>
      <c r="J202" s="497">
        <f>SUM(J203:J209)</f>
        <v>6304248</v>
      </c>
      <c r="K202" s="497">
        <f>I202/J202*100</f>
        <v>90.642246307569124</v>
      </c>
      <c r="L202" s="497">
        <f>SUM(L203:L209)</f>
        <v>2954565</v>
      </c>
      <c r="M202" s="497">
        <f>SUM(M203:M209)</f>
        <v>3262883</v>
      </c>
      <c r="N202" s="497">
        <f>L202/M202*100</f>
        <v>90.550749138108841</v>
      </c>
      <c r="O202" s="497">
        <f>SUM(O203:O209)</f>
        <v>332</v>
      </c>
      <c r="P202" s="497">
        <f>Q202/O202</f>
        <v>174.28614457831324</v>
      </c>
      <c r="Q202" s="506">
        <f>SUM(Q203:Q209)</f>
        <v>57863</v>
      </c>
    </row>
    <row r="203" spans="1:17" x14ac:dyDescent="0.25">
      <c r="A203" s="286">
        <v>1</v>
      </c>
      <c r="B203" s="266" t="s">
        <v>491</v>
      </c>
      <c r="C203" s="256">
        <v>558162</v>
      </c>
      <c r="D203" s="256">
        <v>609374</v>
      </c>
      <c r="E203" s="425">
        <f t="shared" ref="E203:E207" si="68">C203/D203*100</f>
        <v>91.595965695943704</v>
      </c>
      <c r="F203" s="256">
        <v>102893</v>
      </c>
      <c r="G203" s="256">
        <v>30272</v>
      </c>
      <c r="H203" s="425">
        <f t="shared" ref="H203:H207" si="69">F203/G203*100</f>
        <v>339.8949524312896</v>
      </c>
      <c r="I203" s="256">
        <v>558162</v>
      </c>
      <c r="J203" s="256">
        <v>779554</v>
      </c>
      <c r="K203" s="425">
        <f t="shared" ref="K203:K207" si="70">I203/J203*100</f>
        <v>71.600171380045524</v>
      </c>
      <c r="L203" s="256">
        <v>558162</v>
      </c>
      <c r="M203" s="256">
        <v>779554</v>
      </c>
      <c r="N203" s="425">
        <f t="shared" ref="N203:N207" si="71">L203/M203*100</f>
        <v>71.600171380045524</v>
      </c>
      <c r="O203" s="271">
        <v>130</v>
      </c>
      <c r="P203" s="271">
        <v>178</v>
      </c>
      <c r="Q203" s="162">
        <f t="shared" ref="Q203:Q209" si="72">O203*P203</f>
        <v>23140</v>
      </c>
    </row>
    <row r="204" spans="1:17" x14ac:dyDescent="0.25">
      <c r="A204" s="286">
        <v>2</v>
      </c>
      <c r="B204" s="266" t="s">
        <v>492</v>
      </c>
      <c r="C204" s="256">
        <v>0</v>
      </c>
      <c r="D204" s="256">
        <v>0</v>
      </c>
      <c r="E204" s="425">
        <v>0</v>
      </c>
      <c r="F204" s="256">
        <v>0</v>
      </c>
      <c r="G204" s="256">
        <v>0</v>
      </c>
      <c r="H204" s="425">
        <v>0</v>
      </c>
      <c r="I204" s="256">
        <v>0</v>
      </c>
      <c r="J204" s="256">
        <v>0</v>
      </c>
      <c r="K204" s="425">
        <v>0</v>
      </c>
      <c r="L204" s="256">
        <v>0</v>
      </c>
      <c r="M204" s="256">
        <v>0</v>
      </c>
      <c r="N204" s="425">
        <v>0</v>
      </c>
      <c r="O204" s="284">
        <v>0</v>
      </c>
      <c r="P204" s="252">
        <v>0</v>
      </c>
      <c r="Q204" s="162">
        <f t="shared" si="72"/>
        <v>0</v>
      </c>
    </row>
    <row r="205" spans="1:17" x14ac:dyDescent="0.25">
      <c r="A205" s="286">
        <v>3</v>
      </c>
      <c r="B205" s="266" t="s">
        <v>493</v>
      </c>
      <c r="C205" s="256">
        <v>2759747</v>
      </c>
      <c r="D205" s="256">
        <v>3072926</v>
      </c>
      <c r="E205" s="425">
        <f t="shared" si="68"/>
        <v>89.808443158084501</v>
      </c>
      <c r="F205" s="256">
        <v>650937</v>
      </c>
      <c r="G205" s="256">
        <v>491825</v>
      </c>
      <c r="H205" s="425">
        <f t="shared" si="69"/>
        <v>132.35134448228536</v>
      </c>
      <c r="I205" s="256">
        <v>2759747</v>
      </c>
      <c r="J205" s="256">
        <v>3072926</v>
      </c>
      <c r="K205" s="425">
        <f t="shared" si="70"/>
        <v>89.808443158084501</v>
      </c>
      <c r="L205" s="256">
        <v>0</v>
      </c>
      <c r="M205" s="256">
        <v>0</v>
      </c>
      <c r="N205" s="425">
        <v>0</v>
      </c>
      <c r="O205" s="271">
        <v>102</v>
      </c>
      <c r="P205" s="436">
        <v>225</v>
      </c>
      <c r="Q205" s="162">
        <f t="shared" si="72"/>
        <v>22950</v>
      </c>
    </row>
    <row r="206" spans="1:17" x14ac:dyDescent="0.25">
      <c r="A206" s="286">
        <v>4</v>
      </c>
      <c r="B206" s="266" t="s">
        <v>494</v>
      </c>
      <c r="C206" s="256">
        <v>177971</v>
      </c>
      <c r="D206" s="256">
        <v>610203</v>
      </c>
      <c r="E206" s="425">
        <f t="shared" si="68"/>
        <v>29.165867752207053</v>
      </c>
      <c r="F206" s="256">
        <v>29104</v>
      </c>
      <c r="G206" s="256">
        <v>287223</v>
      </c>
      <c r="H206" s="425">
        <f t="shared" si="69"/>
        <v>10.13289325715559</v>
      </c>
      <c r="I206" s="256">
        <v>229867</v>
      </c>
      <c r="J206" s="256">
        <v>608270</v>
      </c>
      <c r="K206" s="425">
        <f t="shared" si="70"/>
        <v>37.790290495996842</v>
      </c>
      <c r="L206" s="256">
        <v>229867</v>
      </c>
      <c r="M206" s="256">
        <v>639831</v>
      </c>
      <c r="N206" s="425">
        <f t="shared" si="71"/>
        <v>35.926205513643445</v>
      </c>
      <c r="O206" s="271">
        <v>42</v>
      </c>
      <c r="P206" s="271">
        <v>92</v>
      </c>
      <c r="Q206" s="162">
        <f t="shared" si="72"/>
        <v>3864</v>
      </c>
    </row>
    <row r="207" spans="1:17" x14ac:dyDescent="0.25">
      <c r="A207" s="286">
        <v>5</v>
      </c>
      <c r="B207" s="266" t="s">
        <v>495</v>
      </c>
      <c r="C207" s="256">
        <v>2366690</v>
      </c>
      <c r="D207" s="256">
        <v>1889446</v>
      </c>
      <c r="E207" s="425">
        <f t="shared" si="68"/>
        <v>125.25840907863999</v>
      </c>
      <c r="F207" s="256">
        <v>301824</v>
      </c>
      <c r="G207" s="256">
        <v>389586</v>
      </c>
      <c r="H207" s="425">
        <f t="shared" si="69"/>
        <v>77.473009810414126</v>
      </c>
      <c r="I207" s="256">
        <v>2166536</v>
      </c>
      <c r="J207" s="256">
        <v>1843498</v>
      </c>
      <c r="K207" s="425">
        <f t="shared" si="70"/>
        <v>117.5231001064281</v>
      </c>
      <c r="L207" s="256">
        <v>2166536</v>
      </c>
      <c r="M207" s="256">
        <v>1843498</v>
      </c>
      <c r="N207" s="425">
        <f t="shared" si="71"/>
        <v>117.5231001064281</v>
      </c>
      <c r="O207" s="271">
        <v>55</v>
      </c>
      <c r="P207" s="271">
        <v>136</v>
      </c>
      <c r="Q207" s="162">
        <f t="shared" si="72"/>
        <v>7480</v>
      </c>
    </row>
    <row r="208" spans="1:17" x14ac:dyDescent="0.25">
      <c r="A208" s="286">
        <v>6</v>
      </c>
      <c r="B208" s="266" t="s">
        <v>496</v>
      </c>
      <c r="C208" s="256">
        <v>0</v>
      </c>
      <c r="D208" s="256">
        <v>0</v>
      </c>
      <c r="E208" s="425">
        <v>0</v>
      </c>
      <c r="F208" s="256">
        <v>0</v>
      </c>
      <c r="G208" s="256">
        <v>0</v>
      </c>
      <c r="H208" s="425">
        <v>0</v>
      </c>
      <c r="I208" s="256">
        <v>0</v>
      </c>
      <c r="J208" s="256">
        <v>0</v>
      </c>
      <c r="K208" s="425">
        <v>0</v>
      </c>
      <c r="L208" s="256">
        <v>0</v>
      </c>
      <c r="M208" s="256">
        <v>0</v>
      </c>
      <c r="N208" s="425">
        <v>0</v>
      </c>
      <c r="O208" s="271">
        <v>3</v>
      </c>
      <c r="P208" s="271">
        <v>143</v>
      </c>
      <c r="Q208" s="162">
        <f t="shared" si="72"/>
        <v>429</v>
      </c>
    </row>
    <row r="209" spans="1:18" x14ac:dyDescent="0.25">
      <c r="A209" s="286">
        <v>7</v>
      </c>
      <c r="B209" s="266" t="s">
        <v>497</v>
      </c>
      <c r="C209" s="256">
        <v>0</v>
      </c>
      <c r="D209" s="256">
        <v>0</v>
      </c>
      <c r="E209" s="425">
        <v>0</v>
      </c>
      <c r="F209" s="256">
        <v>0</v>
      </c>
      <c r="G209" s="256">
        <v>0</v>
      </c>
      <c r="H209" s="425">
        <v>0</v>
      </c>
      <c r="I209" s="256">
        <v>0</v>
      </c>
      <c r="J209" s="256">
        <v>0</v>
      </c>
      <c r="K209" s="425">
        <v>0</v>
      </c>
      <c r="L209" s="256">
        <v>0</v>
      </c>
      <c r="M209" s="256">
        <v>0</v>
      </c>
      <c r="N209" s="425">
        <v>0</v>
      </c>
      <c r="O209" s="271">
        <v>0</v>
      </c>
      <c r="P209" s="271">
        <v>0</v>
      </c>
      <c r="Q209" s="162">
        <f t="shared" si="72"/>
        <v>0</v>
      </c>
    </row>
    <row r="211" spans="1:18" ht="15.75" customHeight="1" x14ac:dyDescent="0.25">
      <c r="A211" s="1001" t="s">
        <v>541</v>
      </c>
      <c r="B211" s="1002" t="s">
        <v>155</v>
      </c>
      <c r="C211" s="250">
        <f>SUM(C212:C216)</f>
        <v>1830289</v>
      </c>
      <c r="D211" s="250">
        <f>SUM(D212:D216)</f>
        <v>1908633</v>
      </c>
      <c r="E211" s="329">
        <f>C211/D211*100</f>
        <v>95.895282120763909</v>
      </c>
      <c r="F211" s="250">
        <f>SUM(F212:F216)</f>
        <v>90926</v>
      </c>
      <c r="G211" s="250">
        <f>SUM(G212:G216)</f>
        <v>352510</v>
      </c>
      <c r="H211" s="329">
        <f>F211/G211*100</f>
        <v>25.793878187852826</v>
      </c>
      <c r="I211" s="250">
        <f>SUM(I212:I216)</f>
        <v>1779129</v>
      </c>
      <c r="J211" s="250">
        <f>SUM(J212:J216)</f>
        <v>1825577</v>
      </c>
      <c r="K211" s="329">
        <f>I211/J211*100</f>
        <v>97.455708523935172</v>
      </c>
      <c r="L211" s="250">
        <f>SUM(L212:L216)</f>
        <v>1574830</v>
      </c>
      <c r="M211" s="250">
        <f>SUM(M212:M216)</f>
        <v>1087746</v>
      </c>
      <c r="N211" s="329">
        <f>L211/M211*100</f>
        <v>144.77920396857357</v>
      </c>
      <c r="O211" s="250">
        <f>SUM(O212:O216)</f>
        <v>291</v>
      </c>
      <c r="P211" s="58">
        <f>Q211/O211</f>
        <v>147.15463917525773</v>
      </c>
      <c r="Q211" s="499">
        <f>SUM(Q212:Q216)</f>
        <v>42822</v>
      </c>
    </row>
    <row r="212" spans="1:18" x14ac:dyDescent="0.25">
      <c r="A212" s="288">
        <v>1</v>
      </c>
      <c r="B212" s="266" t="s">
        <v>498</v>
      </c>
      <c r="C212" s="256">
        <v>1154449</v>
      </c>
      <c r="D212" s="256">
        <v>942095</v>
      </c>
      <c r="E212" s="425">
        <f t="shared" ref="E212:E216" si="73">C212/D212*100</f>
        <v>122.5406142692616</v>
      </c>
      <c r="F212" s="256">
        <v>51760</v>
      </c>
      <c r="G212" s="256">
        <v>229131</v>
      </c>
      <c r="H212" s="425">
        <f t="shared" ref="H212:H216" si="74">F212/G212*100</f>
        <v>22.589697596571394</v>
      </c>
      <c r="I212" s="256">
        <v>1083784</v>
      </c>
      <c r="J212" s="256">
        <v>834318</v>
      </c>
      <c r="K212" s="425">
        <f t="shared" ref="K212:K216" si="75">I212/J212*100</f>
        <v>129.90058946348995</v>
      </c>
      <c r="L212" s="256">
        <v>900862</v>
      </c>
      <c r="M212" s="256">
        <v>632489</v>
      </c>
      <c r="N212" s="425">
        <f t="shared" ref="N212:N216" si="76">L212/M212*100</f>
        <v>142.43125176880545</v>
      </c>
      <c r="O212" s="271">
        <v>150</v>
      </c>
      <c r="P212" s="271">
        <v>159</v>
      </c>
      <c r="Q212" s="162">
        <f>O212*P212</f>
        <v>23850</v>
      </c>
    </row>
    <row r="213" spans="1:18" x14ac:dyDescent="0.25">
      <c r="A213" s="288">
        <v>2</v>
      </c>
      <c r="B213" s="266" t="s">
        <v>499</v>
      </c>
      <c r="C213" s="256">
        <v>1872</v>
      </c>
      <c r="D213" s="256">
        <v>1981</v>
      </c>
      <c r="E213" s="425">
        <f t="shared" si="73"/>
        <v>94.497728419989897</v>
      </c>
      <c r="F213" s="256">
        <v>0</v>
      </c>
      <c r="G213" s="256">
        <v>348</v>
      </c>
      <c r="H213" s="425">
        <f t="shared" si="74"/>
        <v>0</v>
      </c>
      <c r="I213" s="256">
        <v>21377</v>
      </c>
      <c r="J213" s="256">
        <v>26702</v>
      </c>
      <c r="K213" s="425">
        <f t="shared" si="75"/>
        <v>80.057673582503185</v>
      </c>
      <c r="L213" s="256">
        <v>0</v>
      </c>
      <c r="M213" s="256">
        <v>0</v>
      </c>
      <c r="N213" s="425">
        <v>0</v>
      </c>
      <c r="O213" s="271">
        <v>69</v>
      </c>
      <c r="P213" s="271">
        <v>127</v>
      </c>
      <c r="Q213" s="162">
        <f>O213*P213</f>
        <v>8763</v>
      </c>
    </row>
    <row r="214" spans="1:18" x14ac:dyDescent="0.25">
      <c r="A214" s="289">
        <v>3</v>
      </c>
      <c r="B214" s="266" t="s">
        <v>500</v>
      </c>
      <c r="C214" s="256">
        <v>0</v>
      </c>
      <c r="D214" s="256">
        <v>0</v>
      </c>
      <c r="E214" s="425">
        <v>0</v>
      </c>
      <c r="F214" s="256">
        <v>0</v>
      </c>
      <c r="G214" s="256">
        <v>0</v>
      </c>
      <c r="H214" s="425">
        <v>0</v>
      </c>
      <c r="I214" s="256">
        <v>0</v>
      </c>
      <c r="J214" s="256">
        <v>0</v>
      </c>
      <c r="K214" s="425">
        <v>0</v>
      </c>
      <c r="L214" s="256">
        <v>0</v>
      </c>
      <c r="M214" s="256">
        <v>0</v>
      </c>
      <c r="N214" s="425">
        <v>0</v>
      </c>
      <c r="O214" s="284">
        <v>0</v>
      </c>
      <c r="P214" s="252">
        <v>0</v>
      </c>
      <c r="Q214" s="162">
        <f>O214*P214</f>
        <v>0</v>
      </c>
    </row>
    <row r="215" spans="1:18" x14ac:dyDescent="0.25">
      <c r="A215" s="289">
        <v>4</v>
      </c>
      <c r="B215" s="266" t="s">
        <v>501</v>
      </c>
      <c r="C215" s="256">
        <v>473359</v>
      </c>
      <c r="D215" s="256">
        <v>398667</v>
      </c>
      <c r="E215" s="425">
        <f t="shared" si="73"/>
        <v>118.7354358399366</v>
      </c>
      <c r="F215" s="256">
        <v>0</v>
      </c>
      <c r="G215" s="256">
        <v>119314</v>
      </c>
      <c r="H215" s="425">
        <f t="shared" si="74"/>
        <v>0</v>
      </c>
      <c r="I215" s="256">
        <v>473359</v>
      </c>
      <c r="J215" s="256">
        <v>398667</v>
      </c>
      <c r="K215" s="425">
        <f t="shared" si="75"/>
        <v>118.7354358399366</v>
      </c>
      <c r="L215" s="256">
        <v>473359</v>
      </c>
      <c r="M215" s="256">
        <v>398667</v>
      </c>
      <c r="N215" s="425">
        <f t="shared" si="76"/>
        <v>118.7354358399366</v>
      </c>
      <c r="O215" s="271">
        <v>33</v>
      </c>
      <c r="P215" s="271">
        <v>125</v>
      </c>
      <c r="Q215" s="162">
        <f>O215*P215</f>
        <v>4125</v>
      </c>
    </row>
    <row r="216" spans="1:18" x14ac:dyDescent="0.25">
      <c r="A216" s="446"/>
      <c r="B216" s="446" t="s">
        <v>521</v>
      </c>
      <c r="C216" s="447">
        <v>200609</v>
      </c>
      <c r="D216" s="447">
        <v>565890</v>
      </c>
      <c r="E216" s="448">
        <f t="shared" si="73"/>
        <v>35.450175829224762</v>
      </c>
      <c r="F216" s="447">
        <v>39166</v>
      </c>
      <c r="G216" s="447">
        <v>3717</v>
      </c>
      <c r="H216" s="449">
        <f t="shared" si="74"/>
        <v>1053.6992198009148</v>
      </c>
      <c r="I216" s="447">
        <v>200609</v>
      </c>
      <c r="J216" s="447">
        <v>565890</v>
      </c>
      <c r="K216" s="449">
        <f t="shared" si="75"/>
        <v>35.450175829224762</v>
      </c>
      <c r="L216" s="447">
        <v>200609</v>
      </c>
      <c r="M216" s="447">
        <v>56590</v>
      </c>
      <c r="N216" s="449">
        <f t="shared" si="76"/>
        <v>354.49549390351655</v>
      </c>
      <c r="O216" s="447">
        <v>39</v>
      </c>
      <c r="P216" s="447">
        <v>156</v>
      </c>
      <c r="Q216" s="514">
        <f>O216*P216</f>
        <v>6084</v>
      </c>
    </row>
    <row r="217" spans="1:18" x14ac:dyDescent="0.25">
      <c r="R217" s="197"/>
    </row>
    <row r="218" spans="1:18" s="126" customFormat="1" ht="25.5" customHeight="1" x14ac:dyDescent="0.25">
      <c r="A218" s="348"/>
      <c r="B218" s="413" t="s">
        <v>542</v>
      </c>
      <c r="C218" s="254">
        <f>SUM(C219:C227)</f>
        <v>542338</v>
      </c>
      <c r="D218" s="254">
        <f>SUM(D219:D227)</f>
        <v>478150</v>
      </c>
      <c r="E218" s="452">
        <f>C218/D218*100</f>
        <v>113.42423925546376</v>
      </c>
      <c r="F218" s="254">
        <f>SUM(F219:F227)</f>
        <v>58629</v>
      </c>
      <c r="G218" s="254">
        <f>SUM(G219:G227)</f>
        <v>94174</v>
      </c>
      <c r="H218" s="452">
        <f>F218/G218*100</f>
        <v>62.256036698027053</v>
      </c>
      <c r="I218" s="254">
        <f>SUM(I219:I227)</f>
        <v>371664</v>
      </c>
      <c r="J218" s="254">
        <f>SUM(J219:J227)</f>
        <v>201987</v>
      </c>
      <c r="K218" s="452">
        <f>I218/J218*100</f>
        <v>184.00392104442363</v>
      </c>
      <c r="L218" s="254">
        <f>SUM(L219:L227)</f>
        <v>1756</v>
      </c>
      <c r="M218" s="254">
        <f>SUM(M219:M227)</f>
        <v>2408</v>
      </c>
      <c r="N218" s="452">
        <f>L218/M218*100</f>
        <v>72.923588039867099</v>
      </c>
      <c r="O218" s="254">
        <f>SUM(O219:O227)</f>
        <v>447</v>
      </c>
      <c r="P218" s="254">
        <f>Q218/O218</f>
        <v>133.28411633109619</v>
      </c>
      <c r="Q218" s="513">
        <f>SUM(Q219:Q227)</f>
        <v>59578</v>
      </c>
    </row>
    <row r="219" spans="1:18" x14ac:dyDescent="0.25">
      <c r="A219" s="277">
        <v>1</v>
      </c>
      <c r="B219" s="266" t="s">
        <v>502</v>
      </c>
      <c r="C219" s="256">
        <v>415842</v>
      </c>
      <c r="D219" s="256">
        <v>338697</v>
      </c>
      <c r="E219" s="425">
        <f t="shared" ref="E219:E227" si="77">C219/D219*100</f>
        <v>122.77699536754089</v>
      </c>
      <c r="F219" s="256">
        <v>48469</v>
      </c>
      <c r="G219" s="256">
        <v>58573</v>
      </c>
      <c r="H219" s="425">
        <f t="shared" ref="H219:H227" si="78">F219/G219*100</f>
        <v>82.749731104775236</v>
      </c>
      <c r="I219" s="256">
        <v>328640</v>
      </c>
      <c r="J219" s="256">
        <v>133591</v>
      </c>
      <c r="K219" s="425">
        <f t="shared" ref="K219:K227" si="79">I219/J219*100</f>
        <v>246.00459611800196</v>
      </c>
      <c r="L219" s="256">
        <v>0</v>
      </c>
      <c r="M219" s="256">
        <v>0</v>
      </c>
      <c r="N219" s="425">
        <v>0</v>
      </c>
      <c r="O219" s="271">
        <v>267</v>
      </c>
      <c r="P219" s="433">
        <v>209</v>
      </c>
      <c r="Q219" s="157">
        <f>O219*P219</f>
        <v>55803</v>
      </c>
    </row>
    <row r="220" spans="1:18" ht="25.5" customHeight="1" x14ac:dyDescent="0.25">
      <c r="A220" s="291">
        <v>2</v>
      </c>
      <c r="B220" s="266" t="s">
        <v>503</v>
      </c>
      <c r="C220" s="247">
        <v>48667</v>
      </c>
      <c r="D220" s="247">
        <v>63546</v>
      </c>
      <c r="E220" s="425">
        <f t="shared" si="77"/>
        <v>76.585465646932931</v>
      </c>
      <c r="F220" s="247">
        <v>597</v>
      </c>
      <c r="G220" s="247">
        <v>11676</v>
      </c>
      <c r="H220" s="425">
        <f t="shared" si="78"/>
        <v>5.1130524152106887</v>
      </c>
      <c r="I220" s="247">
        <v>0</v>
      </c>
      <c r="J220" s="247">
        <v>0</v>
      </c>
      <c r="K220" s="425">
        <v>0</v>
      </c>
      <c r="L220" s="247">
        <v>0</v>
      </c>
      <c r="M220" s="247">
        <v>0</v>
      </c>
      <c r="N220" s="425">
        <v>0</v>
      </c>
      <c r="O220" s="272">
        <v>89</v>
      </c>
      <c r="P220" s="282">
        <v>100</v>
      </c>
      <c r="Q220" s="157"/>
    </row>
    <row r="221" spans="1:18" x14ac:dyDescent="0.25">
      <c r="A221" s="277">
        <v>3</v>
      </c>
      <c r="B221" s="266" t="s">
        <v>504</v>
      </c>
      <c r="C221" s="256">
        <v>0</v>
      </c>
      <c r="D221" s="256">
        <v>656</v>
      </c>
      <c r="E221" s="425">
        <f t="shared" si="77"/>
        <v>0</v>
      </c>
      <c r="F221" s="256">
        <v>0</v>
      </c>
      <c r="G221" s="256">
        <v>120</v>
      </c>
      <c r="H221" s="425">
        <f t="shared" si="78"/>
        <v>0</v>
      </c>
      <c r="I221" s="256">
        <v>0</v>
      </c>
      <c r="J221" s="256">
        <v>656</v>
      </c>
      <c r="K221" s="425">
        <f t="shared" si="79"/>
        <v>0</v>
      </c>
      <c r="L221" s="256">
        <v>0</v>
      </c>
      <c r="M221" s="256">
        <v>0</v>
      </c>
      <c r="N221" s="425">
        <v>0</v>
      </c>
      <c r="O221" s="271">
        <v>3</v>
      </c>
      <c r="P221" s="433">
        <v>56.7</v>
      </c>
      <c r="Q221" s="157"/>
    </row>
    <row r="222" spans="1:18" x14ac:dyDescent="0.25">
      <c r="A222" s="277">
        <v>4</v>
      </c>
      <c r="B222" s="266" t="s">
        <v>505</v>
      </c>
      <c r="C222" s="256">
        <v>14435</v>
      </c>
      <c r="D222" s="256">
        <v>17608</v>
      </c>
      <c r="E222" s="425">
        <f t="shared" si="77"/>
        <v>81.979781917310319</v>
      </c>
      <c r="F222" s="256">
        <v>1932</v>
      </c>
      <c r="G222" s="256">
        <v>5799</v>
      </c>
      <c r="H222" s="425">
        <f t="shared" si="78"/>
        <v>33.316088980858773</v>
      </c>
      <c r="I222" s="256">
        <v>14435</v>
      </c>
      <c r="J222" s="256">
        <v>17608</v>
      </c>
      <c r="K222" s="425">
        <f t="shared" si="79"/>
        <v>81.979781917310319</v>
      </c>
      <c r="L222" s="256">
        <v>0</v>
      </c>
      <c r="M222" s="256">
        <v>0</v>
      </c>
      <c r="N222" s="425">
        <v>0</v>
      </c>
      <c r="O222" s="271">
        <v>13</v>
      </c>
      <c r="P222" s="433">
        <v>61</v>
      </c>
      <c r="Q222" s="162">
        <f>O222*P222</f>
        <v>793</v>
      </c>
    </row>
    <row r="223" spans="1:18" x14ac:dyDescent="0.25">
      <c r="A223" s="277">
        <v>5</v>
      </c>
      <c r="B223" s="266" t="s">
        <v>506</v>
      </c>
      <c r="C223" s="256">
        <v>5867</v>
      </c>
      <c r="D223" s="256">
        <v>5990</v>
      </c>
      <c r="E223" s="425">
        <f t="shared" si="77"/>
        <v>97.946577629382304</v>
      </c>
      <c r="F223" s="256">
        <v>950</v>
      </c>
      <c r="G223" s="256">
        <v>1050</v>
      </c>
      <c r="H223" s="425">
        <f t="shared" si="78"/>
        <v>90.476190476190482</v>
      </c>
      <c r="I223" s="256">
        <v>0</v>
      </c>
      <c r="J223" s="256">
        <v>0</v>
      </c>
      <c r="K223" s="425">
        <v>0</v>
      </c>
      <c r="L223" s="256">
        <v>0</v>
      </c>
      <c r="M223" s="256">
        <v>0</v>
      </c>
      <c r="N223" s="425">
        <v>0</v>
      </c>
      <c r="O223" s="271">
        <v>11</v>
      </c>
      <c r="P223" s="433">
        <v>78</v>
      </c>
      <c r="Q223" s="162">
        <f>O223*P223</f>
        <v>858</v>
      </c>
    </row>
    <row r="224" spans="1:18" x14ac:dyDescent="0.25">
      <c r="A224" s="277">
        <v>6</v>
      </c>
      <c r="B224" s="266" t="s">
        <v>507</v>
      </c>
      <c r="C224" s="256">
        <v>31200</v>
      </c>
      <c r="D224" s="256">
        <v>39080</v>
      </c>
      <c r="E224" s="425">
        <f t="shared" si="77"/>
        <v>79.836233367451385</v>
      </c>
      <c r="F224" s="256">
        <v>5000</v>
      </c>
      <c r="G224" s="256">
        <v>14975</v>
      </c>
      <c r="H224" s="425">
        <f t="shared" si="78"/>
        <v>33.388981636060102</v>
      </c>
      <c r="I224" s="256">
        <v>991</v>
      </c>
      <c r="J224" s="256">
        <v>37196</v>
      </c>
      <c r="K224" s="425">
        <f t="shared" si="79"/>
        <v>2.6642649747284657</v>
      </c>
      <c r="L224" s="256">
        <v>0</v>
      </c>
      <c r="M224" s="256">
        <v>0</v>
      </c>
      <c r="N224" s="425">
        <v>0</v>
      </c>
      <c r="O224" s="271">
        <v>21</v>
      </c>
      <c r="P224" s="433">
        <v>60</v>
      </c>
      <c r="Q224" s="162">
        <f>O224*P224</f>
        <v>1260</v>
      </c>
    </row>
    <row r="225" spans="1:17" x14ac:dyDescent="0.25">
      <c r="A225" s="277">
        <v>7</v>
      </c>
      <c r="B225" s="266" t="s">
        <v>508</v>
      </c>
      <c r="C225" s="256">
        <v>17566</v>
      </c>
      <c r="D225" s="256">
        <v>2408</v>
      </c>
      <c r="E225" s="425">
        <f t="shared" si="77"/>
        <v>729.48504983388705</v>
      </c>
      <c r="F225" s="256">
        <v>0</v>
      </c>
      <c r="G225" s="256">
        <v>0</v>
      </c>
      <c r="H225" s="425">
        <v>0</v>
      </c>
      <c r="I225" s="256">
        <v>17566</v>
      </c>
      <c r="J225" s="256">
        <v>2408</v>
      </c>
      <c r="K225" s="425">
        <f t="shared" si="79"/>
        <v>729.48504983388705</v>
      </c>
      <c r="L225" s="256">
        <v>1756</v>
      </c>
      <c r="M225" s="256">
        <v>2408</v>
      </c>
      <c r="N225" s="425">
        <f t="shared" ref="N225" si="80">L225/M225*100</f>
        <v>72.923588039867099</v>
      </c>
      <c r="O225" s="271">
        <v>8</v>
      </c>
      <c r="P225" s="433">
        <v>71.2</v>
      </c>
      <c r="Q225" s="162"/>
    </row>
    <row r="226" spans="1:17" x14ac:dyDescent="0.25">
      <c r="A226" s="277">
        <v>8</v>
      </c>
      <c r="B226" s="266" t="s">
        <v>509</v>
      </c>
      <c r="C226" s="256">
        <v>1095</v>
      </c>
      <c r="D226" s="256">
        <v>1765</v>
      </c>
      <c r="E226" s="425">
        <f t="shared" si="77"/>
        <v>62.039660056657219</v>
      </c>
      <c r="F226" s="256">
        <v>250</v>
      </c>
      <c r="G226" s="256">
        <v>670</v>
      </c>
      <c r="H226" s="425">
        <f t="shared" si="78"/>
        <v>37.313432835820898</v>
      </c>
      <c r="I226" s="256">
        <v>2366</v>
      </c>
      <c r="J226" s="256">
        <v>2128</v>
      </c>
      <c r="K226" s="425">
        <f t="shared" si="79"/>
        <v>111.18421052631579</v>
      </c>
      <c r="L226" s="256">
        <v>0</v>
      </c>
      <c r="M226" s="256">
        <v>0</v>
      </c>
      <c r="N226" s="425">
        <v>0</v>
      </c>
      <c r="O226" s="271">
        <v>23</v>
      </c>
      <c r="P226" s="433">
        <v>60</v>
      </c>
      <c r="Q226" s="157">
        <f>O227*P227</f>
        <v>864</v>
      </c>
    </row>
    <row r="227" spans="1:17" x14ac:dyDescent="0.25">
      <c r="A227" s="277">
        <v>9</v>
      </c>
      <c r="B227" s="266" t="s">
        <v>510</v>
      </c>
      <c r="C227" s="256">
        <v>7666</v>
      </c>
      <c r="D227" s="256">
        <v>8400</v>
      </c>
      <c r="E227" s="425">
        <f t="shared" si="77"/>
        <v>91.261904761904759</v>
      </c>
      <c r="F227" s="256">
        <v>1431</v>
      </c>
      <c r="G227" s="256">
        <v>1311</v>
      </c>
      <c r="H227" s="425">
        <f t="shared" si="78"/>
        <v>109.15331807780319</v>
      </c>
      <c r="I227" s="256">
        <v>7666</v>
      </c>
      <c r="J227" s="256">
        <v>8400</v>
      </c>
      <c r="K227" s="425">
        <f t="shared" si="79"/>
        <v>91.261904761904759</v>
      </c>
      <c r="L227" s="256">
        <v>0</v>
      </c>
      <c r="M227" s="256">
        <v>0</v>
      </c>
      <c r="N227" s="425">
        <v>0</v>
      </c>
      <c r="O227" s="271">
        <v>12</v>
      </c>
      <c r="P227" s="433">
        <v>72</v>
      </c>
      <c r="Q227" s="157"/>
    </row>
    <row r="229" spans="1:17" s="339" customFormat="1" ht="16.5" x14ac:dyDescent="0.25">
      <c r="A229" s="339">
        <v>2</v>
      </c>
      <c r="B229" s="418" t="s">
        <v>345</v>
      </c>
      <c r="C229" s="366"/>
      <c r="Q229" s="515"/>
    </row>
    <row r="230" spans="1:17" x14ac:dyDescent="0.25">
      <c r="A230" s="1018" t="s">
        <v>368</v>
      </c>
      <c r="B230" s="1018" t="s">
        <v>155</v>
      </c>
      <c r="C230" s="250">
        <f>SUM(C231:C245)</f>
        <v>77361474</v>
      </c>
      <c r="D230" s="250">
        <f>SUM(D231:D245)</f>
        <v>56591388</v>
      </c>
      <c r="E230" s="57">
        <f t="shared" ref="E230:E244" si="81">C230/D230*100</f>
        <v>136.70184940507201</v>
      </c>
      <c r="F230" s="250">
        <f>SUM(F231:F245)</f>
        <v>9017383</v>
      </c>
      <c r="G230" s="250">
        <f>SUM(G231:G245)</f>
        <v>11282050</v>
      </c>
      <c r="H230" s="57">
        <f t="shared" ref="H230:H245" si="82">F230/G230*100</f>
        <v>79.926812946228736</v>
      </c>
      <c r="I230" s="250">
        <f>SUM(I231:I245)</f>
        <v>92194767</v>
      </c>
      <c r="J230" s="250">
        <f>SUM(J231:J245)</f>
        <v>65611706</v>
      </c>
      <c r="K230" s="57">
        <f t="shared" ref="K230:K245" si="83">I230/J230*100</f>
        <v>140.51572900725978</v>
      </c>
      <c r="L230" s="250">
        <f>SUM(L231:L245)</f>
        <v>8166506</v>
      </c>
      <c r="M230" s="250">
        <f>SUM(M231:M245)</f>
        <v>9028255</v>
      </c>
      <c r="N230" s="57">
        <f t="shared" ref="N230" si="84">L230/M230*100</f>
        <v>90.454977179975543</v>
      </c>
      <c r="O230" s="250">
        <f>SUM(O231:O245)</f>
        <v>18815</v>
      </c>
      <c r="P230" s="87">
        <f>Q230/O230</f>
        <v>220.74079192133937</v>
      </c>
      <c r="Q230" s="499">
        <f>SUM(Q231:Q245)</f>
        <v>4153238</v>
      </c>
    </row>
    <row r="231" spans="1:17" ht="36" customHeight="1" x14ac:dyDescent="0.25">
      <c r="A231" s="272">
        <v>1</v>
      </c>
      <c r="B231" s="305" t="s">
        <v>319</v>
      </c>
      <c r="C231" s="472">
        <v>27822996</v>
      </c>
      <c r="D231" s="473">
        <v>19858382</v>
      </c>
      <c r="E231" s="474">
        <f t="shared" si="81"/>
        <v>140.10706411025834</v>
      </c>
      <c r="F231" s="473">
        <v>1698919</v>
      </c>
      <c r="G231" s="473">
        <v>2879272</v>
      </c>
      <c r="H231" s="474">
        <f t="shared" si="82"/>
        <v>59.005158248335</v>
      </c>
      <c r="I231" s="473">
        <v>27822996</v>
      </c>
      <c r="J231" s="473">
        <v>19858382</v>
      </c>
      <c r="K231" s="474">
        <f t="shared" si="83"/>
        <v>140.10706411025834</v>
      </c>
      <c r="L231" s="474">
        <v>0</v>
      </c>
      <c r="M231" s="474">
        <v>0</v>
      </c>
      <c r="N231" s="425">
        <v>0</v>
      </c>
      <c r="O231" s="424">
        <v>5248</v>
      </c>
      <c r="P231" s="424">
        <v>240</v>
      </c>
      <c r="Q231" s="157">
        <f t="shared" ref="Q231:Q245" si="85">O231*P231</f>
        <v>1259520</v>
      </c>
    </row>
    <row r="232" spans="1:17" x14ac:dyDescent="0.25">
      <c r="A232" s="272">
        <v>2</v>
      </c>
      <c r="B232" s="305" t="s">
        <v>306</v>
      </c>
      <c r="C232" s="473">
        <v>13113372</v>
      </c>
      <c r="D232" s="473">
        <v>12119421</v>
      </c>
      <c r="E232" s="474">
        <f t="shared" si="81"/>
        <v>108.20130763672621</v>
      </c>
      <c r="F232" s="473">
        <v>2569902</v>
      </c>
      <c r="G232" s="473">
        <v>1664534</v>
      </c>
      <c r="H232" s="474">
        <f t="shared" si="82"/>
        <v>154.39167959320747</v>
      </c>
      <c r="I232" s="473">
        <v>13113372</v>
      </c>
      <c r="J232" s="473">
        <v>12119421</v>
      </c>
      <c r="K232" s="474">
        <f t="shared" si="83"/>
        <v>108.20130763672621</v>
      </c>
      <c r="L232" s="474">
        <v>0</v>
      </c>
      <c r="M232" s="474">
        <v>0</v>
      </c>
      <c r="N232" s="425">
        <v>0</v>
      </c>
      <c r="O232" s="423">
        <v>1793</v>
      </c>
      <c r="P232" s="272">
        <v>296</v>
      </c>
      <c r="Q232" s="157">
        <f t="shared" si="85"/>
        <v>530728</v>
      </c>
    </row>
    <row r="233" spans="1:17" x14ac:dyDescent="0.25">
      <c r="A233" s="272">
        <v>3</v>
      </c>
      <c r="B233" s="305" t="s">
        <v>307</v>
      </c>
      <c r="C233" s="472">
        <v>14875937</v>
      </c>
      <c r="D233" s="473">
        <v>11167085</v>
      </c>
      <c r="E233" s="474">
        <f t="shared" si="81"/>
        <v>133.2123557759254</v>
      </c>
      <c r="F233" s="473">
        <v>2606532</v>
      </c>
      <c r="G233" s="473">
        <v>5058460</v>
      </c>
      <c r="H233" s="474">
        <f t="shared" si="82"/>
        <v>51.528172605891911</v>
      </c>
      <c r="I233" s="473">
        <v>6743477</v>
      </c>
      <c r="J233" s="473">
        <v>3335244</v>
      </c>
      <c r="K233" s="474">
        <f t="shared" si="83"/>
        <v>202.18841560017799</v>
      </c>
      <c r="L233" s="473">
        <v>8166506</v>
      </c>
      <c r="M233" s="473">
        <v>9028255</v>
      </c>
      <c r="N233" s="425">
        <v>0</v>
      </c>
      <c r="O233" s="424">
        <v>468</v>
      </c>
      <c r="P233" s="424">
        <v>192</v>
      </c>
      <c r="Q233" s="157">
        <f t="shared" si="85"/>
        <v>89856</v>
      </c>
    </row>
    <row r="234" spans="1:17" x14ac:dyDescent="0.25">
      <c r="A234" s="272">
        <v>4</v>
      </c>
      <c r="B234" s="305" t="s">
        <v>308</v>
      </c>
      <c r="C234" s="472">
        <v>3240765</v>
      </c>
      <c r="D234" s="473">
        <v>2212623</v>
      </c>
      <c r="E234" s="474">
        <f t="shared" si="81"/>
        <v>146.46711165887726</v>
      </c>
      <c r="F234" s="473">
        <v>336148</v>
      </c>
      <c r="G234" s="473">
        <v>459593</v>
      </c>
      <c r="H234" s="474">
        <f t="shared" si="82"/>
        <v>73.140365497298703</v>
      </c>
      <c r="I234" s="473">
        <v>3361838</v>
      </c>
      <c r="J234" s="473">
        <v>2096788</v>
      </c>
      <c r="K234" s="474">
        <f t="shared" si="83"/>
        <v>160.33275657815668</v>
      </c>
      <c r="L234" s="474">
        <v>0</v>
      </c>
      <c r="M234" s="474">
        <v>0</v>
      </c>
      <c r="N234" s="425">
        <v>0</v>
      </c>
      <c r="O234" s="424">
        <v>210</v>
      </c>
      <c r="P234" s="424">
        <v>185</v>
      </c>
      <c r="Q234" s="157">
        <f t="shared" si="85"/>
        <v>38850</v>
      </c>
    </row>
    <row r="235" spans="1:17" x14ac:dyDescent="0.25">
      <c r="A235" s="272">
        <v>5</v>
      </c>
      <c r="B235" s="305" t="s">
        <v>309</v>
      </c>
      <c r="C235" s="472">
        <v>3597969</v>
      </c>
      <c r="D235" s="473">
        <v>1169919</v>
      </c>
      <c r="E235" s="474">
        <f t="shared" si="81"/>
        <v>307.54000918012269</v>
      </c>
      <c r="F235" s="473">
        <v>466911</v>
      </c>
      <c r="G235" s="473">
        <v>175528</v>
      </c>
      <c r="H235" s="474">
        <f t="shared" si="82"/>
        <v>266.00371450708718</v>
      </c>
      <c r="I235" s="473">
        <v>3597969</v>
      </c>
      <c r="J235" s="473">
        <v>1169919</v>
      </c>
      <c r="K235" s="474">
        <f t="shared" si="83"/>
        <v>307.54000918012269</v>
      </c>
      <c r="L235" s="474">
        <v>0</v>
      </c>
      <c r="M235" s="474">
        <v>0</v>
      </c>
      <c r="N235" s="425">
        <v>0</v>
      </c>
      <c r="O235" s="424">
        <v>831</v>
      </c>
      <c r="P235" s="424">
        <v>193</v>
      </c>
      <c r="Q235" s="157">
        <f t="shared" si="85"/>
        <v>160383</v>
      </c>
    </row>
    <row r="236" spans="1:17" ht="27" x14ac:dyDescent="0.25">
      <c r="A236" s="272">
        <v>9</v>
      </c>
      <c r="B236" s="306" t="s">
        <v>310</v>
      </c>
      <c r="C236" s="474">
        <v>0</v>
      </c>
      <c r="D236" s="474">
        <v>0</v>
      </c>
      <c r="E236" s="474">
        <v>0</v>
      </c>
      <c r="F236" s="474">
        <v>0</v>
      </c>
      <c r="G236" s="474">
        <v>0</v>
      </c>
      <c r="H236" s="474">
        <v>0</v>
      </c>
      <c r="I236" s="473">
        <v>704898</v>
      </c>
      <c r="J236" s="473">
        <v>670997</v>
      </c>
      <c r="K236" s="474">
        <f t="shared" si="83"/>
        <v>105.05233257376709</v>
      </c>
      <c r="L236" s="474">
        <v>0</v>
      </c>
      <c r="M236" s="474">
        <v>0</v>
      </c>
      <c r="N236" s="425">
        <v>0</v>
      </c>
      <c r="O236" s="423">
        <v>204</v>
      </c>
      <c r="P236" s="272">
        <v>254</v>
      </c>
      <c r="Q236" s="157">
        <f t="shared" si="85"/>
        <v>51816</v>
      </c>
    </row>
    <row r="237" spans="1:17" x14ac:dyDescent="0.25">
      <c r="A237" s="272">
        <v>7</v>
      </c>
      <c r="B237" s="305" t="s">
        <v>311</v>
      </c>
      <c r="C237" s="474">
        <v>0</v>
      </c>
      <c r="D237" s="474">
        <v>0</v>
      </c>
      <c r="E237" s="474">
        <v>0</v>
      </c>
      <c r="F237" s="474">
        <v>0</v>
      </c>
      <c r="G237" s="474">
        <v>0</v>
      </c>
      <c r="H237" s="474">
        <v>0</v>
      </c>
      <c r="I237" s="473">
        <v>94498</v>
      </c>
      <c r="J237" s="473">
        <v>64645</v>
      </c>
      <c r="K237" s="474">
        <f t="shared" si="83"/>
        <v>146.17990563848713</v>
      </c>
      <c r="L237" s="474">
        <v>0</v>
      </c>
      <c r="M237" s="474">
        <v>0</v>
      </c>
      <c r="N237" s="425">
        <v>0</v>
      </c>
      <c r="O237" s="424">
        <v>42</v>
      </c>
      <c r="P237" s="424">
        <v>175</v>
      </c>
      <c r="Q237" s="157">
        <f t="shared" si="85"/>
        <v>7350</v>
      </c>
    </row>
    <row r="238" spans="1:17" x14ac:dyDescent="0.25">
      <c r="A238" s="272">
        <v>8</v>
      </c>
      <c r="B238" s="305" t="s">
        <v>312</v>
      </c>
      <c r="C238" s="474">
        <v>0</v>
      </c>
      <c r="D238" s="474">
        <v>0</v>
      </c>
      <c r="E238" s="474">
        <v>0</v>
      </c>
      <c r="F238" s="474">
        <v>0</v>
      </c>
      <c r="G238" s="474">
        <v>0</v>
      </c>
      <c r="H238" s="474">
        <v>0</v>
      </c>
      <c r="I238" s="473">
        <v>99153</v>
      </c>
      <c r="J238" s="473">
        <v>103141</v>
      </c>
      <c r="K238" s="474">
        <f t="shared" si="83"/>
        <v>96.133448386189784</v>
      </c>
      <c r="L238" s="474">
        <v>0</v>
      </c>
      <c r="M238" s="474">
        <v>0</v>
      </c>
      <c r="N238" s="425">
        <v>0</v>
      </c>
      <c r="O238" s="424">
        <v>64</v>
      </c>
      <c r="P238" s="424">
        <v>250</v>
      </c>
      <c r="Q238" s="157">
        <f t="shared" si="85"/>
        <v>16000</v>
      </c>
    </row>
    <row r="239" spans="1:17" ht="27" x14ac:dyDescent="0.25">
      <c r="A239" s="272">
        <v>9</v>
      </c>
      <c r="B239" s="306" t="s">
        <v>313</v>
      </c>
      <c r="C239" s="474">
        <v>0</v>
      </c>
      <c r="D239" s="474">
        <v>0</v>
      </c>
      <c r="E239" s="474">
        <v>0</v>
      </c>
      <c r="F239" s="474">
        <v>0</v>
      </c>
      <c r="G239" s="474">
        <v>0</v>
      </c>
      <c r="H239" s="474">
        <v>0</v>
      </c>
      <c r="I239" s="473">
        <v>124176</v>
      </c>
      <c r="J239" s="473">
        <v>9629</v>
      </c>
      <c r="K239" s="474">
        <f t="shared" si="83"/>
        <v>1289.6043202824799</v>
      </c>
      <c r="L239" s="474">
        <v>0</v>
      </c>
      <c r="M239" s="474">
        <v>0</v>
      </c>
      <c r="N239" s="425">
        <v>0</v>
      </c>
      <c r="O239" s="424">
        <v>87</v>
      </c>
      <c r="P239" s="424">
        <v>187</v>
      </c>
      <c r="Q239" s="157">
        <f t="shared" si="85"/>
        <v>16269</v>
      </c>
    </row>
    <row r="240" spans="1:17" ht="25.5" customHeight="1" x14ac:dyDescent="0.25">
      <c r="A240" s="272">
        <v>10</v>
      </c>
      <c r="B240" s="305" t="s">
        <v>314</v>
      </c>
      <c r="C240" s="474">
        <v>0</v>
      </c>
      <c r="D240" s="474">
        <v>0</v>
      </c>
      <c r="E240" s="474">
        <v>0</v>
      </c>
      <c r="F240" s="474">
        <v>0</v>
      </c>
      <c r="G240" s="474">
        <v>0</v>
      </c>
      <c r="H240" s="474">
        <v>0</v>
      </c>
      <c r="I240" s="473">
        <v>106942</v>
      </c>
      <c r="J240" s="473">
        <v>126422</v>
      </c>
      <c r="K240" s="474">
        <f t="shared" si="83"/>
        <v>84.591289490753198</v>
      </c>
      <c r="L240" s="474">
        <v>0</v>
      </c>
      <c r="M240" s="474">
        <v>0</v>
      </c>
      <c r="N240" s="425">
        <v>0</v>
      </c>
      <c r="O240" s="424">
        <v>80</v>
      </c>
      <c r="P240" s="424">
        <v>161.4</v>
      </c>
      <c r="Q240" s="157">
        <f t="shared" si="85"/>
        <v>12912</v>
      </c>
    </row>
    <row r="241" spans="1:17" ht="24" customHeight="1" x14ac:dyDescent="0.25">
      <c r="A241" s="272">
        <v>11</v>
      </c>
      <c r="B241" s="305" t="s">
        <v>315</v>
      </c>
      <c r="C241" s="474">
        <v>0</v>
      </c>
      <c r="D241" s="474">
        <v>0</v>
      </c>
      <c r="E241" s="474">
        <v>0</v>
      </c>
      <c r="F241" s="474">
        <v>0</v>
      </c>
      <c r="G241" s="474">
        <v>0</v>
      </c>
      <c r="H241" s="474">
        <v>0</v>
      </c>
      <c r="I241" s="473">
        <v>52264</v>
      </c>
      <c r="J241" s="473">
        <v>57051</v>
      </c>
      <c r="K241" s="474">
        <f t="shared" si="83"/>
        <v>91.609261888485733</v>
      </c>
      <c r="L241" s="474">
        <v>0</v>
      </c>
      <c r="M241" s="474">
        <v>0</v>
      </c>
      <c r="N241" s="425">
        <v>0</v>
      </c>
      <c r="O241" s="423">
        <v>20</v>
      </c>
      <c r="P241" s="272">
        <v>289</v>
      </c>
      <c r="Q241" s="157">
        <f t="shared" si="85"/>
        <v>5780</v>
      </c>
    </row>
    <row r="242" spans="1:17" ht="21" customHeight="1" x14ac:dyDescent="0.25">
      <c r="A242" s="272">
        <v>12</v>
      </c>
      <c r="B242" s="306" t="s">
        <v>316</v>
      </c>
      <c r="C242" s="474">
        <v>0</v>
      </c>
      <c r="D242" s="474">
        <v>0</v>
      </c>
      <c r="E242" s="474">
        <v>0</v>
      </c>
      <c r="F242" s="474">
        <v>0</v>
      </c>
      <c r="G242" s="474">
        <v>0</v>
      </c>
      <c r="H242" s="474">
        <v>0</v>
      </c>
      <c r="I242" s="473">
        <v>19885820</v>
      </c>
      <c r="J242" s="473">
        <v>14549928</v>
      </c>
      <c r="K242" s="474">
        <f t="shared" si="83"/>
        <v>136.67297872539302</v>
      </c>
      <c r="L242" s="474">
        <v>0</v>
      </c>
      <c r="M242" s="474">
        <v>0</v>
      </c>
      <c r="N242" s="425">
        <v>0</v>
      </c>
      <c r="O242" s="424">
        <v>7817</v>
      </c>
      <c r="P242" s="424">
        <v>207</v>
      </c>
      <c r="Q242" s="157">
        <f t="shared" si="85"/>
        <v>1618119</v>
      </c>
    </row>
    <row r="243" spans="1:17" ht="27" x14ac:dyDescent="0.25">
      <c r="A243" s="272">
        <v>13</v>
      </c>
      <c r="B243" s="306" t="s">
        <v>317</v>
      </c>
      <c r="C243" s="472">
        <v>1705031</v>
      </c>
      <c r="D243" s="473">
        <v>1239757</v>
      </c>
      <c r="E243" s="474">
        <f t="shared" si="81"/>
        <v>137.52945133602793</v>
      </c>
      <c r="F243" s="473">
        <v>340500</v>
      </c>
      <c r="G243" s="473">
        <v>236928</v>
      </c>
      <c r="H243" s="474">
        <f t="shared" si="82"/>
        <v>143.71454619124796</v>
      </c>
      <c r="I243" s="473">
        <v>1705031</v>
      </c>
      <c r="J243" s="473">
        <v>1239757</v>
      </c>
      <c r="K243" s="474">
        <f t="shared" si="83"/>
        <v>137.52945133602793</v>
      </c>
      <c r="L243" s="474">
        <v>0</v>
      </c>
      <c r="M243" s="474">
        <v>0</v>
      </c>
      <c r="N243" s="425">
        <v>0</v>
      </c>
      <c r="O243" s="424">
        <v>473</v>
      </c>
      <c r="P243" s="424">
        <v>198</v>
      </c>
      <c r="Q243" s="157">
        <f t="shared" si="85"/>
        <v>93654</v>
      </c>
    </row>
    <row r="244" spans="1:17" ht="21.75" customHeight="1" x14ac:dyDescent="0.25">
      <c r="A244" s="272">
        <v>14</v>
      </c>
      <c r="B244" s="305" t="s">
        <v>318</v>
      </c>
      <c r="C244" s="472">
        <v>13005404</v>
      </c>
      <c r="D244" s="473">
        <v>8824201</v>
      </c>
      <c r="E244" s="474">
        <f t="shared" si="81"/>
        <v>147.3833608277962</v>
      </c>
      <c r="F244" s="473">
        <v>998471</v>
      </c>
      <c r="G244" s="473">
        <v>807735</v>
      </c>
      <c r="H244" s="474">
        <f t="shared" si="82"/>
        <v>123.61368518140232</v>
      </c>
      <c r="I244" s="473">
        <v>13005404</v>
      </c>
      <c r="J244" s="473">
        <v>8824201</v>
      </c>
      <c r="K244" s="474">
        <f t="shared" si="83"/>
        <v>147.3833608277962</v>
      </c>
      <c r="L244" s="474">
        <v>0</v>
      </c>
      <c r="M244" s="474">
        <v>0</v>
      </c>
      <c r="N244" s="425">
        <v>0</v>
      </c>
      <c r="O244" s="424">
        <v>681</v>
      </c>
      <c r="P244" s="424">
        <v>143</v>
      </c>
      <c r="Q244" s="157">
        <f t="shared" si="85"/>
        <v>97383</v>
      </c>
    </row>
    <row r="245" spans="1:17" ht="25.5" customHeight="1" x14ac:dyDescent="0.25">
      <c r="A245" s="272">
        <v>15</v>
      </c>
      <c r="B245" s="305" t="s">
        <v>320</v>
      </c>
      <c r="C245" s="474">
        <v>0</v>
      </c>
      <c r="D245" s="474">
        <v>0</v>
      </c>
      <c r="E245" s="474">
        <v>0</v>
      </c>
      <c r="F245" s="474">
        <v>0</v>
      </c>
      <c r="G245" s="474">
        <v>0</v>
      </c>
      <c r="H245" s="474" t="e">
        <f t="shared" si="82"/>
        <v>#DIV/0!</v>
      </c>
      <c r="I245" s="473">
        <v>1776929</v>
      </c>
      <c r="J245" s="473">
        <v>1386181</v>
      </c>
      <c r="K245" s="474">
        <f t="shared" si="83"/>
        <v>128.188815169159</v>
      </c>
      <c r="L245" s="474">
        <v>0</v>
      </c>
      <c r="M245" s="474">
        <v>0</v>
      </c>
      <c r="N245" s="425">
        <v>0</v>
      </c>
      <c r="O245" s="424">
        <v>797</v>
      </c>
      <c r="P245" s="424">
        <v>194</v>
      </c>
      <c r="Q245" s="157">
        <f t="shared" si="85"/>
        <v>154618</v>
      </c>
    </row>
    <row r="246" spans="1:17" x14ac:dyDescent="0.25">
      <c r="C246" s="422"/>
      <c r="D246" s="422"/>
    </row>
    <row r="247" spans="1:17" s="308" customFormat="1" ht="16.5" x14ac:dyDescent="0.3">
      <c r="A247" s="479">
        <v>3</v>
      </c>
      <c r="B247" s="478" t="s">
        <v>346</v>
      </c>
      <c r="C247" s="311"/>
      <c r="F247" s="311"/>
      <c r="G247" s="311"/>
      <c r="H247" s="311"/>
      <c r="I247" s="311"/>
      <c r="J247" s="311"/>
      <c r="K247" s="311"/>
      <c r="L247" s="311"/>
      <c r="M247" s="311"/>
      <c r="N247" s="311"/>
      <c r="O247" s="311"/>
      <c r="P247" s="311"/>
      <c r="Q247" s="516"/>
    </row>
    <row r="248" spans="1:17" ht="16.5" x14ac:dyDescent="0.3">
      <c r="A248" s="998" t="s">
        <v>344</v>
      </c>
      <c r="B248" s="999"/>
      <c r="C248" s="312">
        <f>SUM(C249:C253)</f>
        <v>1125542</v>
      </c>
      <c r="D248" s="312">
        <f>SUM(D249:D253)</f>
        <v>1068217</v>
      </c>
      <c r="E248" s="364">
        <f>C248/D248*100</f>
        <v>105.36641899539138</v>
      </c>
      <c r="F248" s="312">
        <f>SUM(F249:F253)</f>
        <v>170121</v>
      </c>
      <c r="G248" s="312">
        <f>SUM(G249:G253)</f>
        <v>175861</v>
      </c>
      <c r="H248" s="364">
        <f>F248/G248*100</f>
        <v>96.736058591728693</v>
      </c>
      <c r="I248" s="312">
        <f>SUM(I249:I253)</f>
        <v>1125542</v>
      </c>
      <c r="J248" s="312">
        <f>SUM(J249:J253)</f>
        <v>1068217</v>
      </c>
      <c r="K248" s="364">
        <f>I248/J248*100</f>
        <v>105.36641899539138</v>
      </c>
      <c r="L248" s="312">
        <f>SUM(L249:L253)</f>
        <v>190878</v>
      </c>
      <c r="M248" s="312">
        <f>SUM(M249:M253)</f>
        <v>214317</v>
      </c>
      <c r="N248" s="364">
        <f>L248/M248*100</f>
        <v>89.063396744075362</v>
      </c>
      <c r="O248" s="312">
        <f>SUM(O249:O253)</f>
        <v>1056</v>
      </c>
      <c r="P248" s="364">
        <f>Q248/O248</f>
        <v>106.39772727272727</v>
      </c>
      <c r="Q248" s="500">
        <f>SUM(Q249:Q253)</f>
        <v>112356</v>
      </c>
    </row>
    <row r="249" spans="1:17" x14ac:dyDescent="0.25">
      <c r="A249" s="307">
        <v>1</v>
      </c>
      <c r="B249" s="481" t="s">
        <v>331</v>
      </c>
      <c r="C249" s="426">
        <v>49803</v>
      </c>
      <c r="D249" s="426">
        <v>50395</v>
      </c>
      <c r="E249" s="425">
        <f t="shared" ref="E249:E252" si="86">C249/D249*100</f>
        <v>98.825280285742636</v>
      </c>
      <c r="F249" s="426">
        <v>8303</v>
      </c>
      <c r="G249" s="426">
        <v>8595</v>
      </c>
      <c r="H249" s="323">
        <f>F249/G249*100</f>
        <v>96.602675974403724</v>
      </c>
      <c r="I249" s="426">
        <v>49803</v>
      </c>
      <c r="J249" s="426">
        <v>50395</v>
      </c>
      <c r="K249" s="323">
        <f>I249/J249*100</f>
        <v>98.825280285742636</v>
      </c>
      <c r="L249" s="426">
        <v>0</v>
      </c>
      <c r="M249" s="426">
        <v>0</v>
      </c>
      <c r="N249" s="323">
        <v>0</v>
      </c>
      <c r="O249" s="324">
        <v>34</v>
      </c>
      <c r="P249" s="426">
        <v>84.9</v>
      </c>
      <c r="Q249" s="157">
        <f>O249*P249</f>
        <v>2886.6000000000004</v>
      </c>
    </row>
    <row r="250" spans="1:17" x14ac:dyDescent="0.25">
      <c r="A250" s="307">
        <v>2</v>
      </c>
      <c r="B250" s="481" t="s">
        <v>332</v>
      </c>
      <c r="C250" s="426">
        <v>124185</v>
      </c>
      <c r="D250" s="426">
        <v>127596</v>
      </c>
      <c r="E250" s="323">
        <f t="shared" si="86"/>
        <v>97.326718705915553</v>
      </c>
      <c r="F250" s="426">
        <v>20225</v>
      </c>
      <c r="G250" s="426">
        <v>20812</v>
      </c>
      <c r="H250" s="323">
        <f t="shared" ref="H250:H252" si="87">F250/G250*100</f>
        <v>97.179511820103784</v>
      </c>
      <c r="I250" s="426">
        <v>124185</v>
      </c>
      <c r="J250" s="426">
        <v>127596</v>
      </c>
      <c r="K250" s="323">
        <f t="shared" ref="K250:K252" si="88">I250/J250*100</f>
        <v>97.326718705915553</v>
      </c>
      <c r="L250" s="426">
        <v>0</v>
      </c>
      <c r="M250" s="426">
        <v>0</v>
      </c>
      <c r="N250" s="323">
        <v>0</v>
      </c>
      <c r="O250" s="324">
        <v>204</v>
      </c>
      <c r="P250" s="325">
        <v>92</v>
      </c>
      <c r="Q250" s="157">
        <f>O250*P250</f>
        <v>18768</v>
      </c>
    </row>
    <row r="251" spans="1:17" ht="27" x14ac:dyDescent="0.25">
      <c r="A251" s="307">
        <v>3</v>
      </c>
      <c r="B251" s="481" t="s">
        <v>333</v>
      </c>
      <c r="C251" s="426">
        <v>797785</v>
      </c>
      <c r="D251" s="426">
        <v>850222</v>
      </c>
      <c r="E251" s="323">
        <f t="shared" si="86"/>
        <v>93.832551968779924</v>
      </c>
      <c r="F251" s="426">
        <v>133529</v>
      </c>
      <c r="G251" s="426">
        <v>138966</v>
      </c>
      <c r="H251" s="323">
        <f t="shared" si="87"/>
        <v>96.08753220212138</v>
      </c>
      <c r="I251" s="437">
        <v>797785</v>
      </c>
      <c r="J251" s="426">
        <v>850222</v>
      </c>
      <c r="K251" s="323">
        <f t="shared" si="88"/>
        <v>93.832551968779924</v>
      </c>
      <c r="L251" s="426">
        <v>190878</v>
      </c>
      <c r="M251" s="426">
        <v>214317</v>
      </c>
      <c r="N251" s="323">
        <f t="shared" ref="N251" si="89">L251/M251*100</f>
        <v>89.063396744075362</v>
      </c>
      <c r="O251" s="324">
        <v>759</v>
      </c>
      <c r="P251" s="325">
        <v>108</v>
      </c>
      <c r="Q251" s="157">
        <f>O251*P251</f>
        <v>81972</v>
      </c>
    </row>
    <row r="252" spans="1:17" x14ac:dyDescent="0.25">
      <c r="A252" s="307">
        <v>4</v>
      </c>
      <c r="B252" s="482" t="s">
        <v>334</v>
      </c>
      <c r="C252" s="426">
        <v>153769</v>
      </c>
      <c r="D252" s="426">
        <v>40004</v>
      </c>
      <c r="E252" s="323">
        <f t="shared" si="86"/>
        <v>384.38406159384061</v>
      </c>
      <c r="F252" s="426">
        <v>8064</v>
      </c>
      <c r="G252" s="426">
        <v>7488</v>
      </c>
      <c r="H252" s="323">
        <f t="shared" si="87"/>
        <v>107.69230769230769</v>
      </c>
      <c r="I252" s="426">
        <v>153769</v>
      </c>
      <c r="J252" s="426">
        <v>40004</v>
      </c>
      <c r="K252" s="323">
        <f t="shared" si="88"/>
        <v>384.38406159384061</v>
      </c>
      <c r="L252" s="426">
        <v>0</v>
      </c>
      <c r="M252" s="426">
        <v>0</v>
      </c>
      <c r="N252" s="323">
        <v>0</v>
      </c>
      <c r="O252" s="324">
        <v>46</v>
      </c>
      <c r="P252" s="325">
        <v>135</v>
      </c>
      <c r="Q252" s="157">
        <f>O252*P252</f>
        <v>6210</v>
      </c>
    </row>
    <row r="253" spans="1:17" ht="27" x14ac:dyDescent="0.25">
      <c r="A253" s="307">
        <v>5</v>
      </c>
      <c r="B253" s="481" t="s">
        <v>335</v>
      </c>
      <c r="C253" s="322"/>
      <c r="D253" s="322"/>
      <c r="E253" s="323">
        <v>0</v>
      </c>
      <c r="F253" s="322"/>
      <c r="G253" s="322"/>
      <c r="H253" s="323">
        <v>0</v>
      </c>
      <c r="I253" s="322"/>
      <c r="J253" s="322"/>
      <c r="K253" s="323">
        <v>0</v>
      </c>
      <c r="L253" s="322"/>
      <c r="M253" s="322"/>
      <c r="N253" s="323">
        <v>0</v>
      </c>
      <c r="O253" s="326">
        <v>13</v>
      </c>
      <c r="P253" s="427">
        <v>193.8</v>
      </c>
      <c r="Q253" s="157">
        <f>O253*P253</f>
        <v>2519.4</v>
      </c>
    </row>
    <row r="255" spans="1:17" ht="16.5" x14ac:dyDescent="0.3">
      <c r="A255" s="480">
        <v>4</v>
      </c>
      <c r="B255" s="480" t="s">
        <v>543</v>
      </c>
      <c r="C255" s="311"/>
      <c r="D255" s="311"/>
      <c r="E255" s="311"/>
      <c r="F255" s="311"/>
      <c r="G255" s="311"/>
      <c r="H255" s="311"/>
      <c r="I255" s="311"/>
      <c r="J255" s="311"/>
      <c r="K255" s="311"/>
      <c r="L255" s="311"/>
      <c r="M255" s="311"/>
      <c r="N255" s="311"/>
      <c r="O255" s="311"/>
      <c r="P255" s="311"/>
      <c r="Q255" s="516"/>
    </row>
    <row r="256" spans="1:17" ht="16.5" customHeight="1" x14ac:dyDescent="0.3">
      <c r="A256" s="312"/>
      <c r="B256" s="457" t="s">
        <v>344</v>
      </c>
      <c r="C256" s="312"/>
      <c r="D256" s="312"/>
      <c r="E256" s="364"/>
      <c r="F256" s="312"/>
      <c r="G256" s="312"/>
      <c r="H256" s="364"/>
      <c r="I256" s="312">
        <f>SUM(I257:I257)</f>
        <v>1339947</v>
      </c>
      <c r="J256" s="312">
        <f>SUM(J257:J257)</f>
        <v>1314239</v>
      </c>
      <c r="K256" s="364">
        <f>I256/J256*100</f>
        <v>101.95611300532094</v>
      </c>
      <c r="L256" s="312">
        <f>SUM(L257:L257)</f>
        <v>0</v>
      </c>
      <c r="M256" s="312">
        <f>SUM(M257:M257)</f>
        <v>0</v>
      </c>
      <c r="N256" s="364">
        <v>0</v>
      </c>
      <c r="O256" s="312">
        <f>SUM(O257:O257)</f>
        <v>98</v>
      </c>
      <c r="P256" s="364">
        <f>Q256/O256</f>
        <v>109</v>
      </c>
      <c r="Q256" s="500">
        <f>SUM(Q257:Q257)</f>
        <v>10682</v>
      </c>
    </row>
    <row r="257" spans="1:17" x14ac:dyDescent="0.25">
      <c r="A257" s="307">
        <v>1</v>
      </c>
      <c r="B257" s="481" t="s">
        <v>518</v>
      </c>
      <c r="C257" s="426"/>
      <c r="D257" s="426"/>
      <c r="E257" s="425"/>
      <c r="F257" s="426"/>
      <c r="G257" s="426"/>
      <c r="H257" s="323"/>
      <c r="I257" s="426">
        <v>1339947</v>
      </c>
      <c r="J257" s="426">
        <v>1314239</v>
      </c>
      <c r="K257" s="323">
        <f>I257/J257*100</f>
        <v>101.95611300532094</v>
      </c>
      <c r="L257" s="426">
        <v>0</v>
      </c>
      <c r="M257" s="426">
        <v>0</v>
      </c>
      <c r="N257" s="323">
        <v>0</v>
      </c>
      <c r="O257" s="324">
        <v>98</v>
      </c>
      <c r="P257" s="322">
        <v>109</v>
      </c>
      <c r="Q257" s="157">
        <f>O257*P257</f>
        <v>10682</v>
      </c>
    </row>
    <row r="259" spans="1:17" x14ac:dyDescent="0.25">
      <c r="B259" t="s">
        <v>546</v>
      </c>
    </row>
    <row r="260" spans="1:17" x14ac:dyDescent="0.25">
      <c r="A260" s="307">
        <v>1</v>
      </c>
      <c r="B260" s="482" t="s">
        <v>547</v>
      </c>
      <c r="C260" s="426">
        <v>39860</v>
      </c>
      <c r="D260" s="426">
        <v>30315</v>
      </c>
      <c r="E260" s="323">
        <f t="shared" ref="E260" si="90">C260/D260*100</f>
        <v>131.48606300511298</v>
      </c>
      <c r="F260" s="426">
        <v>12500</v>
      </c>
      <c r="G260" s="426">
        <v>11800</v>
      </c>
      <c r="H260" s="323">
        <f>F260/G260*100</f>
        <v>105.93220338983052</v>
      </c>
      <c r="I260" s="426">
        <v>28755</v>
      </c>
      <c r="J260" s="426">
        <v>23916</v>
      </c>
      <c r="K260" s="323">
        <f t="shared" ref="K260" si="91">I260/J260*100</f>
        <v>120.23331660812846</v>
      </c>
      <c r="L260" s="426">
        <v>0</v>
      </c>
      <c r="M260" s="426">
        <v>0</v>
      </c>
      <c r="N260" s="323">
        <v>0</v>
      </c>
      <c r="O260" s="324">
        <v>20</v>
      </c>
      <c r="P260" s="325">
        <v>70</v>
      </c>
      <c r="Q260" s="157">
        <f t="shared" ref="Q260:Q287" si="92">O260*P260</f>
        <v>1400</v>
      </c>
    </row>
    <row r="261" spans="1:17" x14ac:dyDescent="0.25">
      <c r="A261" s="307">
        <v>2</v>
      </c>
      <c r="B261" s="482" t="s">
        <v>548</v>
      </c>
      <c r="C261" s="426">
        <v>0</v>
      </c>
      <c r="D261" s="426">
        <v>11394</v>
      </c>
      <c r="E261" s="323">
        <f t="shared" ref="E261:E271" si="93">C261/D261*100</f>
        <v>0</v>
      </c>
      <c r="F261" s="426">
        <v>0</v>
      </c>
      <c r="G261" s="426">
        <v>0</v>
      </c>
      <c r="H261" s="323" t="e">
        <f t="shared" ref="H261:H271" si="94">F261/G261*100</f>
        <v>#DIV/0!</v>
      </c>
      <c r="I261" s="426">
        <v>0</v>
      </c>
      <c r="J261" s="426">
        <v>0</v>
      </c>
      <c r="K261" s="323" t="e">
        <f t="shared" ref="K261:K271" si="95">I261/J261*100</f>
        <v>#DIV/0!</v>
      </c>
      <c r="L261" s="426">
        <v>0</v>
      </c>
      <c r="M261" s="426">
        <v>0</v>
      </c>
      <c r="N261" s="323">
        <v>0</v>
      </c>
      <c r="O261" s="324">
        <v>0</v>
      </c>
      <c r="P261" s="325">
        <v>76</v>
      </c>
      <c r="Q261" s="157">
        <f t="shared" si="92"/>
        <v>0</v>
      </c>
    </row>
    <row r="262" spans="1:17" x14ac:dyDescent="0.25">
      <c r="A262" s="307">
        <v>3</v>
      </c>
      <c r="B262" s="482" t="s">
        <v>549</v>
      </c>
      <c r="C262" s="426">
        <v>15795</v>
      </c>
      <c r="D262" s="426">
        <v>27148</v>
      </c>
      <c r="E262" s="323">
        <f t="shared" si="93"/>
        <v>58.181081479298655</v>
      </c>
      <c r="F262" s="426">
        <v>11971</v>
      </c>
      <c r="G262" s="426">
        <v>15233</v>
      </c>
      <c r="H262" s="323">
        <f t="shared" si="94"/>
        <v>78.585964681940524</v>
      </c>
      <c r="I262" s="426">
        <v>72752</v>
      </c>
      <c r="J262" s="426">
        <v>212041</v>
      </c>
      <c r="K262" s="323">
        <f t="shared" si="95"/>
        <v>34.310345640701563</v>
      </c>
      <c r="L262" s="426">
        <v>29680</v>
      </c>
      <c r="M262" s="426">
        <v>137980</v>
      </c>
      <c r="N262" s="323">
        <v>0</v>
      </c>
      <c r="O262" s="324">
        <v>120</v>
      </c>
      <c r="P262" s="325">
        <v>98</v>
      </c>
      <c r="Q262" s="157">
        <f t="shared" si="92"/>
        <v>11760</v>
      </c>
    </row>
    <row r="263" spans="1:17" x14ac:dyDescent="0.25">
      <c r="A263" s="307">
        <v>4</v>
      </c>
      <c r="B263" s="482" t="s">
        <v>550</v>
      </c>
      <c r="C263" s="426">
        <v>6727</v>
      </c>
      <c r="D263" s="426">
        <v>7703</v>
      </c>
      <c r="E263" s="323">
        <f t="shared" si="93"/>
        <v>87.329611839543034</v>
      </c>
      <c r="F263" s="426">
        <v>1128</v>
      </c>
      <c r="G263" s="426">
        <v>2026</v>
      </c>
      <c r="H263" s="323">
        <f t="shared" si="94"/>
        <v>55.676209279368216</v>
      </c>
      <c r="I263" s="426">
        <v>8806</v>
      </c>
      <c r="J263" s="426">
        <v>8888</v>
      </c>
      <c r="K263" s="323">
        <f t="shared" si="95"/>
        <v>99.077407740774078</v>
      </c>
      <c r="L263" s="426">
        <v>0</v>
      </c>
      <c r="M263" s="426">
        <v>0</v>
      </c>
      <c r="N263" s="323">
        <v>0</v>
      </c>
      <c r="O263" s="324">
        <v>6</v>
      </c>
      <c r="P263" s="325">
        <v>79696</v>
      </c>
      <c r="Q263" s="157">
        <f t="shared" si="92"/>
        <v>478176</v>
      </c>
    </row>
    <row r="264" spans="1:17" x14ac:dyDescent="0.25">
      <c r="A264" s="307">
        <v>5</v>
      </c>
      <c r="B264" s="482" t="s">
        <v>551</v>
      </c>
      <c r="C264" s="426">
        <v>600862</v>
      </c>
      <c r="D264" s="426">
        <v>386244</v>
      </c>
      <c r="E264" s="323">
        <f t="shared" si="93"/>
        <v>155.56539389608642</v>
      </c>
      <c r="F264" s="426">
        <v>106382</v>
      </c>
      <c r="G264" s="426">
        <v>59675</v>
      </c>
      <c r="H264" s="323">
        <f t="shared" si="94"/>
        <v>178.26895684960201</v>
      </c>
      <c r="I264" s="426">
        <v>607608</v>
      </c>
      <c r="J264" s="426">
        <v>369589</v>
      </c>
      <c r="K264" s="323">
        <f t="shared" si="95"/>
        <v>164.4009967829129</v>
      </c>
      <c r="L264" s="426">
        <v>14005</v>
      </c>
      <c r="M264" s="426">
        <v>5404</v>
      </c>
      <c r="N264" s="323">
        <v>0</v>
      </c>
      <c r="O264" s="324">
        <v>287</v>
      </c>
      <c r="P264" s="325">
        <v>98.4</v>
      </c>
      <c r="Q264" s="157">
        <f t="shared" si="92"/>
        <v>28240.800000000003</v>
      </c>
    </row>
    <row r="265" spans="1:17" ht="27" x14ac:dyDescent="0.25">
      <c r="A265" s="307">
        <v>6</v>
      </c>
      <c r="B265" s="482" t="s">
        <v>552</v>
      </c>
      <c r="C265" s="426">
        <v>230410</v>
      </c>
      <c r="D265" s="426">
        <v>156751</v>
      </c>
      <c r="E265" s="323">
        <f t="shared" si="93"/>
        <v>146.99108777615453</v>
      </c>
      <c r="F265" s="426">
        <v>69251</v>
      </c>
      <c r="G265" s="426">
        <v>0</v>
      </c>
      <c r="H265" s="323" t="e">
        <f t="shared" si="94"/>
        <v>#DIV/0!</v>
      </c>
      <c r="I265" s="426">
        <v>230410</v>
      </c>
      <c r="J265" s="426">
        <v>156751</v>
      </c>
      <c r="K265" s="323">
        <f t="shared" si="95"/>
        <v>146.99108777615453</v>
      </c>
      <c r="L265" s="426">
        <v>0</v>
      </c>
      <c r="M265" s="426">
        <v>0</v>
      </c>
      <c r="N265" s="323">
        <v>0</v>
      </c>
      <c r="O265" s="324">
        <v>0</v>
      </c>
      <c r="P265" s="325">
        <v>0</v>
      </c>
      <c r="Q265" s="157">
        <f t="shared" si="92"/>
        <v>0</v>
      </c>
    </row>
    <row r="266" spans="1:17" x14ac:dyDescent="0.25">
      <c r="A266" s="307">
        <v>7</v>
      </c>
      <c r="B266" s="482" t="s">
        <v>553</v>
      </c>
      <c r="C266" s="426">
        <v>95210</v>
      </c>
      <c r="D266" s="426">
        <v>57271</v>
      </c>
      <c r="E266" s="323">
        <f t="shared" si="93"/>
        <v>166.24469626861762</v>
      </c>
      <c r="F266" s="426">
        <v>43194</v>
      </c>
      <c r="G266" s="426">
        <v>17306</v>
      </c>
      <c r="H266" s="323">
        <f t="shared" si="94"/>
        <v>249.5897376632382</v>
      </c>
      <c r="I266" s="426">
        <v>67670</v>
      </c>
      <c r="J266" s="426">
        <v>45080</v>
      </c>
      <c r="K266" s="323">
        <f t="shared" si="95"/>
        <v>150.11091393078971</v>
      </c>
      <c r="L266" s="426">
        <v>0</v>
      </c>
      <c r="M266" s="426">
        <v>0</v>
      </c>
      <c r="N266" s="323">
        <v>0</v>
      </c>
      <c r="O266" s="324">
        <v>37</v>
      </c>
      <c r="P266" s="325">
        <v>115</v>
      </c>
      <c r="Q266" s="157">
        <f t="shared" si="92"/>
        <v>4255</v>
      </c>
    </row>
    <row r="267" spans="1:17" x14ac:dyDescent="0.25">
      <c r="A267" s="307">
        <v>8</v>
      </c>
      <c r="B267" s="482" t="s">
        <v>554</v>
      </c>
      <c r="C267" s="426">
        <v>1305024</v>
      </c>
      <c r="D267" s="426">
        <v>1168378</v>
      </c>
      <c r="E267" s="323">
        <f t="shared" si="93"/>
        <v>111.69535886502484</v>
      </c>
      <c r="F267" s="426">
        <v>336104</v>
      </c>
      <c r="G267" s="426">
        <v>203096</v>
      </c>
      <c r="H267" s="323">
        <f t="shared" si="94"/>
        <v>165.49021152558396</v>
      </c>
      <c r="I267" s="426">
        <v>1305024</v>
      </c>
      <c r="J267" s="426">
        <v>1168378</v>
      </c>
      <c r="K267" s="323">
        <f t="shared" si="95"/>
        <v>111.69535886502484</v>
      </c>
      <c r="L267" s="426">
        <v>135259</v>
      </c>
      <c r="M267" s="426">
        <v>0</v>
      </c>
      <c r="N267" s="323">
        <v>0</v>
      </c>
      <c r="O267" s="324">
        <v>180</v>
      </c>
      <c r="P267" s="325">
        <v>112</v>
      </c>
      <c r="Q267" s="157">
        <f t="shared" si="92"/>
        <v>20160</v>
      </c>
    </row>
    <row r="268" spans="1:17" x14ac:dyDescent="0.25">
      <c r="A268" s="307">
        <v>9</v>
      </c>
      <c r="B268" s="482" t="s">
        <v>555</v>
      </c>
      <c r="C268" s="426">
        <v>63687</v>
      </c>
      <c r="D268" s="426">
        <v>7652</v>
      </c>
      <c r="E268" s="323">
        <f t="shared" si="93"/>
        <v>832.29221118661792</v>
      </c>
      <c r="F268" s="426">
        <v>11680</v>
      </c>
      <c r="G268" s="426">
        <v>542</v>
      </c>
      <c r="H268" s="323">
        <f t="shared" si="94"/>
        <v>2154.9815498154981</v>
      </c>
      <c r="I268" s="426">
        <v>24854</v>
      </c>
      <c r="J268" s="426">
        <v>17099</v>
      </c>
      <c r="K268" s="323">
        <f t="shared" si="95"/>
        <v>145.35352944616645</v>
      </c>
      <c r="L268" s="426">
        <v>6022</v>
      </c>
      <c r="M268" s="426">
        <v>4779</v>
      </c>
      <c r="N268" s="323">
        <v>0</v>
      </c>
      <c r="O268" s="324">
        <v>32</v>
      </c>
      <c r="P268" s="325">
        <v>52</v>
      </c>
      <c r="Q268" s="157">
        <f t="shared" si="92"/>
        <v>1664</v>
      </c>
    </row>
    <row r="269" spans="1:17" x14ac:dyDescent="0.25">
      <c r="A269" s="307">
        <v>10</v>
      </c>
      <c r="B269" s="482" t="s">
        <v>556</v>
      </c>
      <c r="C269" s="426">
        <v>98802</v>
      </c>
      <c r="D269" s="426">
        <v>1865</v>
      </c>
      <c r="E269" s="323">
        <f t="shared" si="93"/>
        <v>5297.6943699731901</v>
      </c>
      <c r="F269" s="426">
        <v>360</v>
      </c>
      <c r="G269" s="426">
        <v>208</v>
      </c>
      <c r="H269" s="323">
        <f t="shared" si="94"/>
        <v>173.07692307692309</v>
      </c>
      <c r="I269" s="426">
        <v>2141</v>
      </c>
      <c r="J269" s="426">
        <v>1865</v>
      </c>
      <c r="K269" s="323">
        <f t="shared" si="95"/>
        <v>114.79892761394102</v>
      </c>
      <c r="L269" s="426">
        <v>96661</v>
      </c>
      <c r="M269" s="426">
        <v>0</v>
      </c>
      <c r="N269" s="323">
        <v>0</v>
      </c>
      <c r="O269" s="324">
        <v>8</v>
      </c>
      <c r="P269" s="325">
        <v>75</v>
      </c>
      <c r="Q269" s="157">
        <f t="shared" si="92"/>
        <v>600</v>
      </c>
    </row>
    <row r="270" spans="1:17" x14ac:dyDescent="0.25">
      <c r="A270" s="307">
        <v>11</v>
      </c>
      <c r="B270" s="482" t="s">
        <v>557</v>
      </c>
      <c r="C270" s="426">
        <v>423147</v>
      </c>
      <c r="D270" s="426">
        <v>590975</v>
      </c>
      <c r="E270" s="323">
        <f t="shared" si="93"/>
        <v>71.601505985870801</v>
      </c>
      <c r="F270" s="426">
        <v>90452</v>
      </c>
      <c r="G270" s="426">
        <v>58737</v>
      </c>
      <c r="H270" s="323">
        <f t="shared" si="94"/>
        <v>153.99492653693582</v>
      </c>
      <c r="I270" s="426">
        <v>392332</v>
      </c>
      <c r="J270" s="426">
        <v>393748</v>
      </c>
      <c r="K270" s="323">
        <f t="shared" si="95"/>
        <v>99.640379125735251</v>
      </c>
      <c r="L270" s="426">
        <v>117355</v>
      </c>
      <c r="M270" s="426">
        <v>263939</v>
      </c>
      <c r="N270" s="323">
        <v>0</v>
      </c>
      <c r="O270" s="324">
        <v>80</v>
      </c>
      <c r="P270" s="325">
        <v>110</v>
      </c>
      <c r="Q270" s="157">
        <f t="shared" si="92"/>
        <v>8800</v>
      </c>
    </row>
    <row r="271" spans="1:17" x14ac:dyDescent="0.25">
      <c r="A271" s="307">
        <v>12</v>
      </c>
      <c r="B271" s="482" t="s">
        <v>558</v>
      </c>
      <c r="C271" s="426">
        <v>1081413</v>
      </c>
      <c r="D271" s="426">
        <v>917503</v>
      </c>
      <c r="E271" s="323">
        <f t="shared" si="93"/>
        <v>117.86479172275186</v>
      </c>
      <c r="F271" s="426">
        <v>178465</v>
      </c>
      <c r="G271" s="426">
        <v>55334</v>
      </c>
      <c r="H271" s="323">
        <f t="shared" si="94"/>
        <v>322.52322261177574</v>
      </c>
      <c r="I271" s="426">
        <v>1081413</v>
      </c>
      <c r="J271" s="426">
        <v>917503</v>
      </c>
      <c r="K271" s="323">
        <f t="shared" si="95"/>
        <v>117.86479172275186</v>
      </c>
      <c r="L271" s="426">
        <v>1081232</v>
      </c>
      <c r="M271" s="426">
        <v>917503</v>
      </c>
      <c r="N271" s="323">
        <v>0</v>
      </c>
      <c r="O271" s="324">
        <v>45</v>
      </c>
      <c r="P271" s="325">
        <v>130</v>
      </c>
      <c r="Q271" s="157">
        <f t="shared" si="92"/>
        <v>5850</v>
      </c>
    </row>
    <row r="272" spans="1:17" x14ac:dyDescent="0.25">
      <c r="A272" s="307">
        <v>13</v>
      </c>
      <c r="B272" s="482" t="s">
        <v>559</v>
      </c>
      <c r="C272" s="426">
        <v>503011</v>
      </c>
      <c r="D272" s="426">
        <v>395266</v>
      </c>
      <c r="E272" s="323">
        <f t="shared" ref="E272:E281" si="96">C272/D272*100</f>
        <v>127.25885859142959</v>
      </c>
      <c r="F272" s="426">
        <v>158115</v>
      </c>
      <c r="G272" s="426">
        <v>121094</v>
      </c>
      <c r="H272" s="323">
        <f t="shared" ref="H272:H281" si="97">F272/G272*100</f>
        <v>130.57211752853155</v>
      </c>
      <c r="I272" s="426">
        <v>460530</v>
      </c>
      <c r="J272" s="426">
        <v>335481</v>
      </c>
      <c r="K272" s="323">
        <f t="shared" ref="K272:K281" si="98">I272/J272*100</f>
        <v>137.27454013789156</v>
      </c>
      <c r="L272" s="426">
        <v>58552</v>
      </c>
      <c r="M272" s="426">
        <v>81603</v>
      </c>
      <c r="N272" s="323">
        <v>0</v>
      </c>
      <c r="O272" s="324">
        <v>223</v>
      </c>
      <c r="P272" s="325">
        <v>105</v>
      </c>
      <c r="Q272" s="157">
        <f t="shared" si="92"/>
        <v>23415</v>
      </c>
    </row>
    <row r="273" spans="1:17" x14ac:dyDescent="0.25">
      <c r="A273" s="307">
        <v>14</v>
      </c>
      <c r="B273" s="482" t="s">
        <v>560</v>
      </c>
      <c r="C273" s="426">
        <v>0</v>
      </c>
      <c r="D273" s="426">
        <v>362947</v>
      </c>
      <c r="E273" s="323">
        <f t="shared" si="96"/>
        <v>0</v>
      </c>
      <c r="F273" s="426">
        <v>0</v>
      </c>
      <c r="G273" s="426">
        <v>39208</v>
      </c>
      <c r="H273" s="323">
        <f t="shared" si="97"/>
        <v>0</v>
      </c>
      <c r="I273" s="426">
        <v>319121</v>
      </c>
      <c r="J273" s="426">
        <v>445327</v>
      </c>
      <c r="K273" s="323">
        <f t="shared" si="98"/>
        <v>71.659926301347099</v>
      </c>
      <c r="L273" s="426">
        <v>0</v>
      </c>
      <c r="M273" s="426">
        <v>0</v>
      </c>
      <c r="N273" s="323">
        <v>0</v>
      </c>
      <c r="O273" s="324">
        <v>51</v>
      </c>
      <c r="P273" s="325">
        <v>99</v>
      </c>
      <c r="Q273" s="157">
        <f t="shared" si="92"/>
        <v>5049</v>
      </c>
    </row>
    <row r="274" spans="1:17" x14ac:dyDescent="0.25">
      <c r="A274" s="307">
        <v>15</v>
      </c>
      <c r="B274" s="482" t="s">
        <v>561</v>
      </c>
      <c r="C274" s="426">
        <v>1018431</v>
      </c>
      <c r="D274" s="426">
        <v>910793</v>
      </c>
      <c r="E274" s="323">
        <f t="shared" si="96"/>
        <v>111.81805305925717</v>
      </c>
      <c r="F274" s="426">
        <v>181538</v>
      </c>
      <c r="G274" s="426">
        <v>248025</v>
      </c>
      <c r="H274" s="323">
        <f t="shared" si="97"/>
        <v>73.193428081846591</v>
      </c>
      <c r="I274" s="426">
        <v>1011180</v>
      </c>
      <c r="J274" s="426">
        <v>907669</v>
      </c>
      <c r="K274" s="323">
        <f t="shared" si="98"/>
        <v>111.40404707002223</v>
      </c>
      <c r="L274" s="426">
        <v>11290</v>
      </c>
      <c r="M274" s="426">
        <v>17623</v>
      </c>
      <c r="N274" s="323">
        <v>0</v>
      </c>
      <c r="O274" s="324">
        <v>316</v>
      </c>
      <c r="P274" s="325">
        <v>164</v>
      </c>
      <c r="Q274" s="157">
        <f t="shared" si="92"/>
        <v>51824</v>
      </c>
    </row>
    <row r="275" spans="1:17" ht="15.75" customHeight="1" x14ac:dyDescent="0.25">
      <c r="A275" s="307">
        <v>16</v>
      </c>
      <c r="B275" s="482" t="s">
        <v>562</v>
      </c>
      <c r="C275" s="426">
        <v>75609</v>
      </c>
      <c r="D275" s="426">
        <v>115719</v>
      </c>
      <c r="E275" s="323">
        <f t="shared" si="96"/>
        <v>65.338449174292904</v>
      </c>
      <c r="F275" s="426">
        <v>7020</v>
      </c>
      <c r="G275" s="426">
        <v>13900</v>
      </c>
      <c r="H275" s="323">
        <f t="shared" si="97"/>
        <v>50.50359712230216</v>
      </c>
      <c r="I275" s="426">
        <v>75609</v>
      </c>
      <c r="J275" s="426">
        <v>115720</v>
      </c>
      <c r="K275" s="323">
        <f t="shared" si="98"/>
        <v>65.337884548911163</v>
      </c>
      <c r="L275" s="426">
        <v>56345</v>
      </c>
      <c r="M275" s="426">
        <v>97840</v>
      </c>
      <c r="N275" s="323">
        <v>0</v>
      </c>
      <c r="O275" s="324">
        <v>13</v>
      </c>
      <c r="P275" s="325">
        <v>86</v>
      </c>
      <c r="Q275" s="157">
        <f t="shared" si="92"/>
        <v>1118</v>
      </c>
    </row>
    <row r="276" spans="1:17" x14ac:dyDescent="0.25">
      <c r="A276" s="307">
        <v>17</v>
      </c>
      <c r="B276" s="482" t="s">
        <v>563</v>
      </c>
      <c r="C276" s="426">
        <v>61324</v>
      </c>
      <c r="D276" s="426">
        <v>45144</v>
      </c>
      <c r="E276" s="323">
        <f t="shared" si="96"/>
        <v>135.8408647882332</v>
      </c>
      <c r="F276" s="426">
        <v>18457</v>
      </c>
      <c r="G276" s="426">
        <v>18848</v>
      </c>
      <c r="H276" s="323">
        <f t="shared" si="97"/>
        <v>97.925509337860788</v>
      </c>
      <c r="I276" s="426">
        <v>47742</v>
      </c>
      <c r="J276" s="426">
        <v>41733</v>
      </c>
      <c r="K276" s="323">
        <f t="shared" si="98"/>
        <v>114.39867730572928</v>
      </c>
      <c r="L276" s="426">
        <v>0</v>
      </c>
      <c r="M276" s="426">
        <v>0</v>
      </c>
      <c r="N276" s="323">
        <v>0</v>
      </c>
      <c r="O276" s="324">
        <v>25</v>
      </c>
      <c r="P276" s="325">
        <v>300</v>
      </c>
      <c r="Q276" s="157">
        <f t="shared" si="92"/>
        <v>7500</v>
      </c>
    </row>
    <row r="277" spans="1:17" x14ac:dyDescent="0.25">
      <c r="A277" s="307">
        <v>18</v>
      </c>
      <c r="B277" s="482" t="s">
        <v>564</v>
      </c>
      <c r="C277" s="426">
        <v>887056</v>
      </c>
      <c r="D277" s="426">
        <v>825356</v>
      </c>
      <c r="E277" s="323">
        <f t="shared" si="96"/>
        <v>107.47556206049269</v>
      </c>
      <c r="F277" s="426">
        <v>326953</v>
      </c>
      <c r="G277" s="426">
        <v>100501</v>
      </c>
      <c r="H277" s="323">
        <f t="shared" si="97"/>
        <v>325.32313111312322</v>
      </c>
      <c r="I277" s="426">
        <v>880729</v>
      </c>
      <c r="J277" s="426">
        <v>820516</v>
      </c>
      <c r="K277" s="323">
        <f t="shared" si="98"/>
        <v>107.3384309385801</v>
      </c>
      <c r="L277" s="426">
        <v>862843</v>
      </c>
      <c r="M277" s="426">
        <v>786814</v>
      </c>
      <c r="N277" s="323">
        <v>0</v>
      </c>
      <c r="O277" s="324">
        <v>54</v>
      </c>
      <c r="P277" s="325">
        <v>116</v>
      </c>
      <c r="Q277" s="157">
        <f t="shared" si="92"/>
        <v>6264</v>
      </c>
    </row>
    <row r="278" spans="1:17" x14ac:dyDescent="0.25">
      <c r="A278" s="307">
        <v>19</v>
      </c>
      <c r="B278" s="482" t="s">
        <v>565</v>
      </c>
      <c r="C278" s="426">
        <v>24493</v>
      </c>
      <c r="D278" s="426">
        <v>32465</v>
      </c>
      <c r="E278" s="323">
        <f t="shared" si="96"/>
        <v>75.444324657323264</v>
      </c>
      <c r="F278" s="426">
        <v>2383</v>
      </c>
      <c r="G278" s="426">
        <v>5805</v>
      </c>
      <c r="H278" s="323">
        <f t="shared" si="97"/>
        <v>41.050818260120586</v>
      </c>
      <c r="I278" s="426">
        <v>24493</v>
      </c>
      <c r="J278" s="426">
        <v>32465</v>
      </c>
      <c r="K278" s="323">
        <f t="shared" si="98"/>
        <v>75.444324657323264</v>
      </c>
      <c r="L278" s="426">
        <v>0</v>
      </c>
      <c r="M278" s="426">
        <v>0</v>
      </c>
      <c r="N278" s="323">
        <v>0</v>
      </c>
      <c r="O278" s="324">
        <v>14</v>
      </c>
      <c r="P278" s="325">
        <v>52</v>
      </c>
      <c r="Q278" s="157">
        <f t="shared" si="92"/>
        <v>728</v>
      </c>
    </row>
    <row r="279" spans="1:17" x14ac:dyDescent="0.25">
      <c r="A279" s="307">
        <v>20</v>
      </c>
      <c r="B279" s="482" t="s">
        <v>566</v>
      </c>
      <c r="C279" s="426">
        <v>129937</v>
      </c>
      <c r="D279" s="426">
        <v>125894</v>
      </c>
      <c r="E279" s="323">
        <f t="shared" si="96"/>
        <v>103.21143183948401</v>
      </c>
      <c r="F279" s="426">
        <v>20797</v>
      </c>
      <c r="G279" s="426">
        <v>20761</v>
      </c>
      <c r="H279" s="323">
        <f t="shared" si="97"/>
        <v>100.17340205192428</v>
      </c>
      <c r="I279" s="426">
        <v>129937</v>
      </c>
      <c r="J279" s="426">
        <v>125894</v>
      </c>
      <c r="K279" s="323">
        <f t="shared" si="98"/>
        <v>103.21143183948401</v>
      </c>
      <c r="L279" s="426">
        <v>0</v>
      </c>
      <c r="M279" s="426">
        <v>0</v>
      </c>
      <c r="N279" s="323">
        <v>0</v>
      </c>
      <c r="O279" s="324">
        <v>25</v>
      </c>
      <c r="P279" s="325">
        <v>115</v>
      </c>
      <c r="Q279" s="157">
        <f t="shared" si="92"/>
        <v>2875</v>
      </c>
    </row>
    <row r="280" spans="1:17" x14ac:dyDescent="0.25">
      <c r="A280" s="307">
        <v>21</v>
      </c>
      <c r="B280" s="482" t="s">
        <v>567</v>
      </c>
      <c r="C280" s="426">
        <v>15732</v>
      </c>
      <c r="D280" s="426">
        <v>16736</v>
      </c>
      <c r="E280" s="323">
        <f t="shared" si="96"/>
        <v>94.00095602294455</v>
      </c>
      <c r="F280" s="426">
        <v>4441</v>
      </c>
      <c r="G280" s="426">
        <v>4573</v>
      </c>
      <c r="H280" s="323">
        <f t="shared" si="97"/>
        <v>97.113492237043516</v>
      </c>
      <c r="I280" s="426">
        <v>21869</v>
      </c>
      <c r="J280" s="426">
        <v>21542</v>
      </c>
      <c r="K280" s="323">
        <f t="shared" si="98"/>
        <v>101.51796490576548</v>
      </c>
      <c r="L280" s="426">
        <v>0</v>
      </c>
      <c r="M280" s="426">
        <v>0</v>
      </c>
      <c r="N280" s="323">
        <v>0</v>
      </c>
      <c r="O280" s="324">
        <v>12</v>
      </c>
      <c r="P280" s="325">
        <v>63</v>
      </c>
      <c r="Q280" s="157">
        <f t="shared" si="92"/>
        <v>756</v>
      </c>
    </row>
    <row r="281" spans="1:17" x14ac:dyDescent="0.25">
      <c r="A281" s="307">
        <v>22</v>
      </c>
      <c r="B281" s="482" t="s">
        <v>568</v>
      </c>
      <c r="C281" s="426">
        <v>166575</v>
      </c>
      <c r="D281" s="426">
        <v>130936</v>
      </c>
      <c r="E281" s="323">
        <f t="shared" si="96"/>
        <v>127.21864116820431</v>
      </c>
      <c r="F281" s="426">
        <v>42312</v>
      </c>
      <c r="G281" s="426">
        <v>32180</v>
      </c>
      <c r="H281" s="323">
        <f t="shared" si="97"/>
        <v>131.48539465506525</v>
      </c>
      <c r="I281" s="426">
        <v>140098</v>
      </c>
      <c r="J281" s="426">
        <v>136443</v>
      </c>
      <c r="K281" s="323">
        <f t="shared" si="98"/>
        <v>102.67877428669847</v>
      </c>
      <c r="L281" s="426">
        <v>0</v>
      </c>
      <c r="M281" s="426">
        <v>4114</v>
      </c>
      <c r="N281" s="323">
        <v>0</v>
      </c>
      <c r="O281" s="324">
        <v>81</v>
      </c>
      <c r="P281" s="325">
        <v>99</v>
      </c>
      <c r="Q281" s="157">
        <f t="shared" si="92"/>
        <v>8019</v>
      </c>
    </row>
    <row r="282" spans="1:17" x14ac:dyDescent="0.25">
      <c r="A282" s="307">
        <v>23</v>
      </c>
      <c r="B282" s="482" t="s">
        <v>569</v>
      </c>
      <c r="C282" s="426">
        <v>2586</v>
      </c>
      <c r="D282" s="426">
        <v>7884</v>
      </c>
      <c r="E282" s="323">
        <f t="shared" ref="E282:E287" si="99">C282/D282*100</f>
        <v>32.800608828006091</v>
      </c>
      <c r="F282" s="426">
        <v>0</v>
      </c>
      <c r="G282" s="426">
        <v>1075</v>
      </c>
      <c r="H282" s="323">
        <f t="shared" ref="H282:H287" si="100">F282/G282*100</f>
        <v>0</v>
      </c>
      <c r="I282" s="426">
        <v>42467</v>
      </c>
      <c r="J282" s="426">
        <v>50095</v>
      </c>
      <c r="K282" s="323">
        <f t="shared" ref="K282:K287" si="101">I282/J282*100</f>
        <v>84.772931430282455</v>
      </c>
      <c r="L282" s="426">
        <v>0</v>
      </c>
      <c r="M282" s="426">
        <v>0</v>
      </c>
      <c r="N282" s="323">
        <v>0</v>
      </c>
      <c r="O282" s="324">
        <v>1</v>
      </c>
      <c r="P282" s="325">
        <v>60</v>
      </c>
      <c r="Q282" s="157">
        <f t="shared" si="92"/>
        <v>60</v>
      </c>
    </row>
    <row r="283" spans="1:17" x14ac:dyDescent="0.25">
      <c r="A283" s="307"/>
      <c r="B283" s="482"/>
      <c r="C283" s="426"/>
      <c r="D283" s="426"/>
      <c r="E283" s="323" t="e">
        <f t="shared" si="99"/>
        <v>#DIV/0!</v>
      </c>
      <c r="F283" s="426"/>
      <c r="G283" s="426"/>
      <c r="H283" s="323" t="e">
        <f t="shared" si="100"/>
        <v>#DIV/0!</v>
      </c>
      <c r="I283" s="426"/>
      <c r="J283" s="426"/>
      <c r="K283" s="323" t="e">
        <f t="shared" si="101"/>
        <v>#DIV/0!</v>
      </c>
      <c r="L283" s="426">
        <v>0</v>
      </c>
      <c r="M283" s="426">
        <v>0</v>
      </c>
      <c r="N283" s="323">
        <v>0</v>
      </c>
      <c r="O283" s="324"/>
      <c r="P283" s="325"/>
      <c r="Q283" s="157">
        <f t="shared" si="92"/>
        <v>0</v>
      </c>
    </row>
    <row r="284" spans="1:17" x14ac:dyDescent="0.25">
      <c r="A284" s="307"/>
      <c r="B284" s="482"/>
      <c r="C284" s="426"/>
      <c r="D284" s="426"/>
      <c r="E284" s="323" t="e">
        <f t="shared" si="99"/>
        <v>#DIV/0!</v>
      </c>
      <c r="F284" s="426"/>
      <c r="G284" s="426"/>
      <c r="H284" s="323" t="e">
        <f t="shared" si="100"/>
        <v>#DIV/0!</v>
      </c>
      <c r="I284" s="426"/>
      <c r="J284" s="426"/>
      <c r="K284" s="323" t="e">
        <f t="shared" si="101"/>
        <v>#DIV/0!</v>
      </c>
      <c r="L284" s="426">
        <v>0</v>
      </c>
      <c r="M284" s="426">
        <v>0</v>
      </c>
      <c r="N284" s="323">
        <v>0</v>
      </c>
      <c r="O284" s="324"/>
      <c r="P284" s="325"/>
      <c r="Q284" s="157">
        <f t="shared" si="92"/>
        <v>0</v>
      </c>
    </row>
    <row r="285" spans="1:17" x14ac:dyDescent="0.25">
      <c r="A285" s="307"/>
      <c r="B285" s="482"/>
      <c r="C285" s="426"/>
      <c r="D285" s="426"/>
      <c r="E285" s="323" t="e">
        <f t="shared" si="99"/>
        <v>#DIV/0!</v>
      </c>
      <c r="F285" s="426"/>
      <c r="G285" s="426"/>
      <c r="H285" s="323" t="e">
        <f t="shared" si="100"/>
        <v>#DIV/0!</v>
      </c>
      <c r="I285" s="426"/>
      <c r="J285" s="426"/>
      <c r="K285" s="323" t="e">
        <f t="shared" si="101"/>
        <v>#DIV/0!</v>
      </c>
      <c r="L285" s="426">
        <v>0</v>
      </c>
      <c r="M285" s="426">
        <v>0</v>
      </c>
      <c r="N285" s="323">
        <v>0</v>
      </c>
      <c r="O285" s="324"/>
      <c r="P285" s="325"/>
      <c r="Q285" s="157">
        <f t="shared" si="92"/>
        <v>0</v>
      </c>
    </row>
    <row r="286" spans="1:17" x14ac:dyDescent="0.25">
      <c r="A286" s="307"/>
      <c r="B286" s="482"/>
      <c r="C286" s="426"/>
      <c r="D286" s="426"/>
      <c r="E286" s="323" t="e">
        <f t="shared" si="99"/>
        <v>#DIV/0!</v>
      </c>
      <c r="F286" s="426"/>
      <c r="G286" s="426"/>
      <c r="H286" s="323" t="e">
        <f t="shared" si="100"/>
        <v>#DIV/0!</v>
      </c>
      <c r="I286" s="426"/>
      <c r="J286" s="426"/>
      <c r="K286" s="323" t="e">
        <f t="shared" si="101"/>
        <v>#DIV/0!</v>
      </c>
      <c r="L286" s="426">
        <v>0</v>
      </c>
      <c r="M286" s="426">
        <v>0</v>
      </c>
      <c r="N286" s="323">
        <v>0</v>
      </c>
      <c r="O286" s="324"/>
      <c r="P286" s="325"/>
      <c r="Q286" s="157">
        <f t="shared" si="92"/>
        <v>0</v>
      </c>
    </row>
    <row r="287" spans="1:17" x14ac:dyDescent="0.25">
      <c r="A287" s="307"/>
      <c r="B287" s="482"/>
      <c r="C287" s="426"/>
      <c r="D287" s="426"/>
      <c r="E287" s="323" t="e">
        <f t="shared" si="99"/>
        <v>#DIV/0!</v>
      </c>
      <c r="F287" s="426"/>
      <c r="G287" s="426"/>
      <c r="H287" s="323" t="e">
        <f t="shared" si="100"/>
        <v>#DIV/0!</v>
      </c>
      <c r="I287" s="426"/>
      <c r="J287" s="426"/>
      <c r="K287" s="323" t="e">
        <f t="shared" si="101"/>
        <v>#DIV/0!</v>
      </c>
      <c r="L287" s="426">
        <v>0</v>
      </c>
      <c r="M287" s="426">
        <v>0</v>
      </c>
      <c r="N287" s="323">
        <v>0</v>
      </c>
      <c r="O287" s="324"/>
      <c r="P287" s="325"/>
      <c r="Q287" s="157">
        <f t="shared" si="92"/>
        <v>0</v>
      </c>
    </row>
  </sheetData>
  <mergeCells count="40">
    <mergeCell ref="A1:P2"/>
    <mergeCell ref="A3:A8"/>
    <mergeCell ref="B3:B8"/>
    <mergeCell ref="C3:H3"/>
    <mergeCell ref="I3:K3"/>
    <mergeCell ref="L3:N3"/>
    <mergeCell ref="O3:O8"/>
    <mergeCell ref="P3:P8"/>
    <mergeCell ref="C4:C8"/>
    <mergeCell ref="D4:D8"/>
    <mergeCell ref="K4:K8"/>
    <mergeCell ref="L4:L8"/>
    <mergeCell ref="M4:M8"/>
    <mergeCell ref="N4:N8"/>
    <mergeCell ref="E4:E8"/>
    <mergeCell ref="F4:F8"/>
    <mergeCell ref="G4:G8"/>
    <mergeCell ref="H4:H8"/>
    <mergeCell ref="I4:I8"/>
    <mergeCell ref="J4:J8"/>
    <mergeCell ref="A156:B156"/>
    <mergeCell ref="A157:B157"/>
    <mergeCell ref="A29:P30"/>
    <mergeCell ref="A131:B131"/>
    <mergeCell ref="A31:A32"/>
    <mergeCell ref="B31:B32"/>
    <mergeCell ref="C31:G31"/>
    <mergeCell ref="H31:K31"/>
    <mergeCell ref="P31:P32"/>
    <mergeCell ref="A34:B34"/>
    <mergeCell ref="A35:B35"/>
    <mergeCell ref="A55:B55"/>
    <mergeCell ref="A130:B130"/>
    <mergeCell ref="O31:O32"/>
    <mergeCell ref="A248:B248"/>
    <mergeCell ref="A177:B177"/>
    <mergeCell ref="A202:B202"/>
    <mergeCell ref="A211:B211"/>
    <mergeCell ref="A230:B230"/>
    <mergeCell ref="A183:B183"/>
  </mergeCells>
  <pageMargins left="0" right="0" top="0" bottom="0" header="0" footer="0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opLeftCell="A234" workbookViewId="0">
      <selection activeCell="B216" sqref="B216"/>
    </sheetView>
  </sheetViews>
  <sheetFormatPr defaultColWidth="11.28515625" defaultRowHeight="15" x14ac:dyDescent="0.25"/>
  <cols>
    <col min="1" max="1" width="6.85546875" style="126" customWidth="1"/>
    <col min="2" max="2" width="41.140625" style="126" customWidth="1"/>
    <col min="3" max="3" width="11.7109375" style="126" customWidth="1"/>
    <col min="4" max="4" width="12.140625" style="126" customWidth="1"/>
    <col min="5" max="5" width="8.5703125" style="126" customWidth="1"/>
    <col min="6" max="6" width="10.28515625" style="126" customWidth="1"/>
    <col min="7" max="7" width="10.140625" style="126" customWidth="1"/>
    <col min="8" max="8" width="8" style="126" customWidth="1"/>
    <col min="9" max="10" width="11.140625" style="126" customWidth="1"/>
    <col min="11" max="11" width="8" style="126" customWidth="1"/>
    <col min="12" max="12" width="11.7109375" style="126" customWidth="1"/>
    <col min="13" max="13" width="11.28515625" style="126" customWidth="1"/>
    <col min="14" max="14" width="9.28515625" style="126" customWidth="1"/>
    <col min="15" max="16384" width="11.28515625" style="126"/>
  </cols>
  <sheetData>
    <row r="1" spans="1:14" s="556" customFormat="1" ht="16.5" x14ac:dyDescent="0.25">
      <c r="A1" s="1051" t="s">
        <v>764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</row>
    <row r="2" spans="1:14" s="556" customFormat="1" ht="17.25" thickBot="1" x14ac:dyDescent="0.3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16.5" customHeight="1" x14ac:dyDescent="0.25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</row>
    <row r="4" spans="1:14" s="556" customFormat="1" ht="16.5" x14ac:dyDescent="0.25">
      <c r="A4" s="1021"/>
      <c r="B4" s="1013"/>
      <c r="C4" s="1045" t="s">
        <v>742</v>
      </c>
      <c r="D4" s="1045" t="s">
        <v>743</v>
      </c>
      <c r="E4" s="1048" t="s">
        <v>545</v>
      </c>
      <c r="F4" s="1045" t="s">
        <v>744</v>
      </c>
      <c r="G4" s="1045" t="s">
        <v>745</v>
      </c>
      <c r="H4" s="1048" t="s">
        <v>545</v>
      </c>
      <c r="I4" s="1045" t="s">
        <v>742</v>
      </c>
      <c r="J4" s="1045" t="s">
        <v>743</v>
      </c>
      <c r="K4" s="1048" t="s">
        <v>545</v>
      </c>
      <c r="L4" s="1045" t="s">
        <v>742</v>
      </c>
      <c r="M4" s="1045" t="s">
        <v>743</v>
      </c>
      <c r="N4" s="1048" t="s">
        <v>545</v>
      </c>
    </row>
    <row r="5" spans="1:14" s="556" customFormat="1" ht="16.5" x14ac:dyDescent="0.25">
      <c r="A5" s="1021"/>
      <c r="B5" s="1013"/>
      <c r="C5" s="1046"/>
      <c r="D5" s="1046"/>
      <c r="E5" s="1049"/>
      <c r="F5" s="1046"/>
      <c r="G5" s="1046"/>
      <c r="H5" s="1049"/>
      <c r="I5" s="1046"/>
      <c r="J5" s="1046"/>
      <c r="K5" s="1049"/>
      <c r="L5" s="1046"/>
      <c r="M5" s="1046"/>
      <c r="N5" s="1049"/>
    </row>
    <row r="6" spans="1:14" s="556" customFormat="1" ht="16.5" x14ac:dyDescent="0.25">
      <c r="A6" s="1021"/>
      <c r="B6" s="1013"/>
      <c r="C6" s="1046"/>
      <c r="D6" s="1046"/>
      <c r="E6" s="1049"/>
      <c r="F6" s="1046"/>
      <c r="G6" s="1046"/>
      <c r="H6" s="1049"/>
      <c r="I6" s="1046"/>
      <c r="J6" s="1046"/>
      <c r="K6" s="1049"/>
      <c r="L6" s="1046"/>
      <c r="M6" s="1046"/>
      <c r="N6" s="1049"/>
    </row>
    <row r="7" spans="1:14" s="556" customFormat="1" ht="16.5" x14ac:dyDescent="0.25">
      <c r="A7" s="1021"/>
      <c r="B7" s="1013"/>
      <c r="C7" s="1046"/>
      <c r="D7" s="1046"/>
      <c r="E7" s="1049"/>
      <c r="F7" s="1046"/>
      <c r="G7" s="1046"/>
      <c r="H7" s="1049"/>
      <c r="I7" s="1046"/>
      <c r="J7" s="1046"/>
      <c r="K7" s="1049"/>
      <c r="L7" s="1046"/>
      <c r="M7" s="1046"/>
      <c r="N7" s="1049"/>
    </row>
    <row r="8" spans="1:14" s="556" customFormat="1" ht="17.25" thickBot="1" x14ac:dyDescent="0.3">
      <c r="A8" s="1022"/>
      <c r="B8" s="1014"/>
      <c r="C8" s="1047"/>
      <c r="D8" s="1047"/>
      <c r="E8" s="1050"/>
      <c r="F8" s="1047"/>
      <c r="G8" s="1047"/>
      <c r="H8" s="1050"/>
      <c r="I8" s="1047"/>
      <c r="J8" s="1047"/>
      <c r="K8" s="1050"/>
      <c r="L8" s="1047"/>
      <c r="M8" s="1047"/>
      <c r="N8" s="1050"/>
    </row>
    <row r="9" spans="1:14" s="556" customFormat="1" ht="17.25" thickBot="1" x14ac:dyDescent="0.3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</row>
    <row r="10" spans="1:14" s="557" customFormat="1" ht="34.5" x14ac:dyDescent="0.25">
      <c r="A10" s="456"/>
      <c r="B10" s="395" t="s">
        <v>348</v>
      </c>
      <c r="C10" s="396">
        <f>C11+C25</f>
        <v>491.43815500000005</v>
      </c>
      <c r="D10" s="396">
        <f>D11+D25</f>
        <v>434.89223870000001</v>
      </c>
      <c r="E10" s="397">
        <f>C10/D10*100</f>
        <v>113.00228223640636</v>
      </c>
      <c r="F10" s="396">
        <f>F11+F25</f>
        <v>81.758227299999987</v>
      </c>
      <c r="G10" s="396">
        <f>G11+G25</f>
        <v>65.983719199999996</v>
      </c>
      <c r="H10" s="397">
        <f>F10/G10*100</f>
        <v>123.90666711615128</v>
      </c>
      <c r="I10" s="396">
        <f>I11+I25</f>
        <v>481.33998950000006</v>
      </c>
      <c r="J10" s="396">
        <f>J11+J25</f>
        <v>421.99393270000007</v>
      </c>
      <c r="K10" s="397">
        <f>I10/J10*100</f>
        <v>114.06324882926451</v>
      </c>
      <c r="L10" s="396">
        <f>L11+L25</f>
        <v>251.94479800000002</v>
      </c>
      <c r="M10" s="396">
        <f>M11+M25</f>
        <v>234.290479</v>
      </c>
      <c r="N10" s="397">
        <f>L10/M10*100</f>
        <v>107.53522681559757</v>
      </c>
    </row>
    <row r="11" spans="1:14" ht="17.25" x14ac:dyDescent="0.25">
      <c r="A11" s="222">
        <v>1</v>
      </c>
      <c r="B11" s="373" t="s">
        <v>730</v>
      </c>
      <c r="C11" s="374">
        <f>C12+C13</f>
        <v>366.49796400000002</v>
      </c>
      <c r="D11" s="374">
        <f>D12+D13</f>
        <v>334.11063769999998</v>
      </c>
      <c r="E11" s="374">
        <f>C11/D11*100</f>
        <v>109.69359327286095</v>
      </c>
      <c r="F11" s="374">
        <f>F12+F13</f>
        <v>65.126306299999996</v>
      </c>
      <c r="G11" s="374">
        <f>G12+G13</f>
        <v>49.125144200000001</v>
      </c>
      <c r="H11" s="374">
        <f>F11/G11*100</f>
        <v>132.57224454111628</v>
      </c>
      <c r="I11" s="374">
        <f>I12+I13</f>
        <v>356.19979850000004</v>
      </c>
      <c r="J11" s="374">
        <f>J12+J13</f>
        <v>321.21233170000005</v>
      </c>
      <c r="K11" s="374">
        <f>I11/J11*100</f>
        <v>110.89231743215791</v>
      </c>
      <c r="L11" s="374">
        <f>L12+L13</f>
        <v>238.60959600000001</v>
      </c>
      <c r="M11" s="374">
        <f>M12+M13</f>
        <v>218.798946</v>
      </c>
      <c r="N11" s="374">
        <f>L11/M11*100</f>
        <v>109.05427122121512</v>
      </c>
    </row>
    <row r="12" spans="1:14" ht="33.75" thickBot="1" x14ac:dyDescent="0.3">
      <c r="A12" s="476">
        <v>1.1000000000000001</v>
      </c>
      <c r="B12" s="400" t="s">
        <v>527</v>
      </c>
      <c r="C12" s="390">
        <f>C132/1000000</f>
        <v>101.88198300000001</v>
      </c>
      <c r="D12" s="390">
        <f>D132/1000000</f>
        <v>102.682529</v>
      </c>
      <c r="E12" s="390">
        <f>E132</f>
        <v>99.220367858294566</v>
      </c>
      <c r="F12" s="390">
        <f>F132/1000000</f>
        <v>14.816848</v>
      </c>
      <c r="G12" s="390">
        <f>G132/1000000</f>
        <v>15.349539</v>
      </c>
      <c r="H12" s="391">
        <f>H132</f>
        <v>96.529596100573443</v>
      </c>
      <c r="I12" s="390">
        <f>I132/1000000</f>
        <v>97.993976000000004</v>
      </c>
      <c r="J12" s="390">
        <f>J132/1000000</f>
        <v>94.904201999999998</v>
      </c>
      <c r="K12" s="391">
        <f>K132</f>
        <v>103.25567670860347</v>
      </c>
      <c r="L12" s="390">
        <f>L132/1000000</f>
        <v>66.488219000000001</v>
      </c>
      <c r="M12" s="390">
        <f>M132/1000000</f>
        <v>59.339365999999998</v>
      </c>
      <c r="N12" s="392">
        <f>N132</f>
        <v>112.04740374206223</v>
      </c>
    </row>
    <row r="13" spans="1:14" ht="33.75" customHeight="1" x14ac:dyDescent="0.25">
      <c r="A13" s="353">
        <v>1.2</v>
      </c>
      <c r="B13" s="401" t="s">
        <v>350</v>
      </c>
      <c r="C13" s="379">
        <f>SUM(C14:C24)</f>
        <v>264.61598100000003</v>
      </c>
      <c r="D13" s="379">
        <f>SUM(D14:D24)</f>
        <v>231.4281087</v>
      </c>
      <c r="E13" s="380">
        <f t="shared" ref="E13" si="0">C13/D13*100</f>
        <v>114.3404673211159</v>
      </c>
      <c r="F13" s="379">
        <f>SUM(F14:F24)</f>
        <v>50.309458299999996</v>
      </c>
      <c r="G13" s="379">
        <f>SUM(G14:G24)</f>
        <v>33.775605200000001</v>
      </c>
      <c r="H13" s="380">
        <f t="shared" ref="H13" si="1">F13/G13*100</f>
        <v>148.95205578729346</v>
      </c>
      <c r="I13" s="379">
        <f>SUM(I14:I24)</f>
        <v>258.20582250000001</v>
      </c>
      <c r="J13" s="379">
        <f>SUM(J14:J24)</f>
        <v>226.30812970000002</v>
      </c>
      <c r="K13" s="380">
        <f t="shared" ref="K13" si="2">I13/J13*100</f>
        <v>114.09480642267884</v>
      </c>
      <c r="L13" s="379">
        <f>SUM(L14:L24)</f>
        <v>172.121377</v>
      </c>
      <c r="M13" s="379">
        <f>SUM(M14:M24)</f>
        <v>159.45957999999999</v>
      </c>
      <c r="N13" s="380">
        <f t="shared" ref="N13" si="3">L13/M13*100</f>
        <v>107.94044296366516</v>
      </c>
    </row>
    <row r="14" spans="1:14" ht="17.25" x14ac:dyDescent="0.25">
      <c r="A14" s="483" t="s">
        <v>528</v>
      </c>
      <c r="B14" s="535" t="s">
        <v>351</v>
      </c>
      <c r="C14" s="520">
        <f>C142/1000000</f>
        <v>95.696641</v>
      </c>
      <c r="D14" s="520">
        <f>D142/1000000</f>
        <v>95.761138000000003</v>
      </c>
      <c r="E14" s="521">
        <f>E142</f>
        <v>99.932648043510099</v>
      </c>
      <c r="F14" s="520">
        <f>F142/1000000</f>
        <v>14.764939999999999</v>
      </c>
      <c r="G14" s="520">
        <f>G142/1000000</f>
        <v>11.816852000000001</v>
      </c>
      <c r="H14" s="521">
        <f>H142</f>
        <v>124.94816724454193</v>
      </c>
      <c r="I14" s="520">
        <f>I142/1000000</f>
        <v>98.029036000000005</v>
      </c>
      <c r="J14" s="520">
        <f>J142/1000000</f>
        <v>93.675811999999993</v>
      </c>
      <c r="K14" s="521">
        <f>K142</f>
        <v>104.64711637621033</v>
      </c>
      <c r="L14" s="520">
        <f>L142/1000000</f>
        <v>91.018595000000005</v>
      </c>
      <c r="M14" s="520">
        <f>M142/1000000</f>
        <v>88.904420000000002</v>
      </c>
      <c r="N14" s="521">
        <f>N142</f>
        <v>102.37803137346827</v>
      </c>
    </row>
    <row r="15" spans="1:14" ht="17.25" x14ac:dyDescent="0.25">
      <c r="A15" s="7" t="s">
        <v>529</v>
      </c>
      <c r="B15" s="535" t="s">
        <v>352</v>
      </c>
      <c r="C15" s="520">
        <f>C152/1000000</f>
        <v>7.9638770000000001</v>
      </c>
      <c r="D15" s="520">
        <f>D152/1000000</f>
        <v>8.4092979999999997</v>
      </c>
      <c r="E15" s="521">
        <f>E152</f>
        <v>94.703232065268708</v>
      </c>
      <c r="F15" s="520">
        <f>F152/1000000</f>
        <v>1.0449079999999999</v>
      </c>
      <c r="G15" s="520">
        <f>G152/1000000</f>
        <v>1.3347169999999999</v>
      </c>
      <c r="H15" s="521">
        <f>H152</f>
        <v>78.286857813304238</v>
      </c>
      <c r="I15" s="520">
        <f>I152/1000000</f>
        <v>8.1113649999999993</v>
      </c>
      <c r="J15" s="520">
        <f>J152/1000000</f>
        <v>7.6564870000000003</v>
      </c>
      <c r="K15" s="521">
        <f>K152</f>
        <v>105.94107976673897</v>
      </c>
      <c r="L15" s="520">
        <f>L152/1000000</f>
        <v>3.4396360000000001</v>
      </c>
      <c r="M15" s="520">
        <f>M152/1000000</f>
        <v>3.4657300000000002</v>
      </c>
      <c r="N15" s="521">
        <f>N152</f>
        <v>99.247085029705147</v>
      </c>
    </row>
    <row r="16" spans="1:14" ht="17.25" x14ac:dyDescent="0.25">
      <c r="A16" s="483" t="s">
        <v>530</v>
      </c>
      <c r="B16" s="535" t="s">
        <v>353</v>
      </c>
      <c r="C16" s="520">
        <f>C230/1000000</f>
        <v>7.0037469999999997</v>
      </c>
      <c r="D16" s="520">
        <f>D230/1000000</f>
        <v>6.9998139999999998</v>
      </c>
      <c r="E16" s="521">
        <f>E230</f>
        <v>100.05618720726008</v>
      </c>
      <c r="F16" s="520">
        <f>F230/1000000</f>
        <v>4.0492679999999996</v>
      </c>
      <c r="G16" s="520">
        <f>G230/1000000</f>
        <v>3.1974239999999998</v>
      </c>
      <c r="H16" s="521">
        <f>H230</f>
        <v>126.64157146502934</v>
      </c>
      <c r="I16" s="520">
        <f>I230/1000000</f>
        <v>7.0156000000000001</v>
      </c>
      <c r="J16" s="520">
        <f>J230/1000000</f>
        <v>10.909599999999999</v>
      </c>
      <c r="K16" s="521">
        <f>K230</f>
        <v>64.306665688934515</v>
      </c>
      <c r="L16" s="520">
        <f>L230/1000000</f>
        <v>8.9446060000000003</v>
      </c>
      <c r="M16" s="520">
        <f>M230/1000000</f>
        <v>10.876334</v>
      </c>
      <c r="N16" s="521">
        <f>N230</f>
        <v>82.239162570770631</v>
      </c>
    </row>
    <row r="17" spans="1:14" ht="17.25" x14ac:dyDescent="0.25">
      <c r="A17" s="7" t="s">
        <v>531</v>
      </c>
      <c r="B17" s="535" t="s">
        <v>354</v>
      </c>
      <c r="C17" s="520">
        <f>C35/1000000</f>
        <v>1.154847</v>
      </c>
      <c r="D17" s="520">
        <f>D35/1000000</f>
        <v>1.818052</v>
      </c>
      <c r="E17" s="521">
        <f>E35</f>
        <v>63.521120407997131</v>
      </c>
      <c r="F17" s="520">
        <f>F35/1000000</f>
        <v>0.18210399999999999</v>
      </c>
      <c r="G17" s="520">
        <f>G35/1000000</f>
        <v>0.212232</v>
      </c>
      <c r="H17" s="521">
        <f>H35</f>
        <v>85.804214256097097</v>
      </c>
      <c r="I17" s="520">
        <f>I35/1000000</f>
        <v>1.166919</v>
      </c>
      <c r="J17" s="520">
        <f>J35/1000000</f>
        <v>1.8330759999999999</v>
      </c>
      <c r="K17" s="521">
        <f>K35</f>
        <v>63.659062690253975</v>
      </c>
      <c r="L17" s="520">
        <f>L35/1000000</f>
        <v>0.58020799999999995</v>
      </c>
      <c r="M17" s="520">
        <f>M35/1000000</f>
        <v>1.028308</v>
      </c>
      <c r="N17" s="521">
        <f>N35</f>
        <v>56.423561812219681</v>
      </c>
    </row>
    <row r="18" spans="1:14" ht="17.25" x14ac:dyDescent="0.25">
      <c r="A18" s="483" t="s">
        <v>532</v>
      </c>
      <c r="B18" s="535" t="s">
        <v>355</v>
      </c>
      <c r="C18" s="520">
        <f>C55/1000000</f>
        <v>0.99756400000000001</v>
      </c>
      <c r="D18" s="520">
        <f>D55/1000000</f>
        <v>0.92924499999999999</v>
      </c>
      <c r="E18" s="521">
        <f>E55</f>
        <v>107.35209767068964</v>
      </c>
      <c r="F18" s="520">
        <f>F55/1000000</f>
        <v>0.19383700000000001</v>
      </c>
      <c r="G18" s="520">
        <f>G55/1000000</f>
        <v>0.145866</v>
      </c>
      <c r="H18" s="521">
        <f>H55</f>
        <v>132.88703330453978</v>
      </c>
      <c r="I18" s="520">
        <f>I55/1000000</f>
        <v>0.93100899999999998</v>
      </c>
      <c r="J18" s="520">
        <f>J55/1000000</f>
        <v>1.0499860000000001</v>
      </c>
      <c r="K18" s="521">
        <f>K55</f>
        <v>88.668706058937929</v>
      </c>
      <c r="L18" s="520">
        <f>L55/1000000</f>
        <v>0.58928599999999998</v>
      </c>
      <c r="M18" s="520">
        <f>M55/1000000</f>
        <v>0.68687500000000001</v>
      </c>
      <c r="N18" s="521">
        <f>N55</f>
        <v>85.792320291173795</v>
      </c>
    </row>
    <row r="19" spans="1:14" ht="17.25" x14ac:dyDescent="0.25">
      <c r="A19" s="7" t="s">
        <v>533</v>
      </c>
      <c r="B19" s="535" t="s">
        <v>356</v>
      </c>
      <c r="C19" s="520">
        <f>C69/1000000</f>
        <v>0.79171199999999997</v>
      </c>
      <c r="D19" s="520">
        <f>D69/1000000</f>
        <v>0.91532999999999998</v>
      </c>
      <c r="E19" s="521">
        <f>E69</f>
        <v>86.494706827045988</v>
      </c>
      <c r="F19" s="520">
        <f>F69/1000000</f>
        <v>0.20002400000000001</v>
      </c>
      <c r="G19" s="520">
        <f>G69/1000000</f>
        <v>0.118297</v>
      </c>
      <c r="H19" s="521">
        <f>H69</f>
        <v>169.08628283050288</v>
      </c>
      <c r="I19" s="520">
        <f>I69/1000000</f>
        <v>0.75524400000000003</v>
      </c>
      <c r="J19" s="520">
        <f>J69/1000000</f>
        <v>0.97696400000000005</v>
      </c>
      <c r="K19" s="521">
        <f>K69</f>
        <v>77.30520264820403</v>
      </c>
      <c r="L19" s="520">
        <f>L69/1000000</f>
        <v>0.41872199999999998</v>
      </c>
      <c r="M19" s="520">
        <f>M69/1000000</f>
        <v>0.55685799999999996</v>
      </c>
      <c r="N19" s="521">
        <f>N69</f>
        <v>75.193675946111938</v>
      </c>
    </row>
    <row r="20" spans="1:14" ht="17.25" x14ac:dyDescent="0.25">
      <c r="A20" s="483" t="s">
        <v>534</v>
      </c>
      <c r="B20" s="535" t="s">
        <v>357</v>
      </c>
      <c r="C20" s="520">
        <f>C79/1000000</f>
        <v>4.3338469999999996</v>
      </c>
      <c r="D20" s="520">
        <f>D79/1000000</f>
        <v>4.1664919999999999</v>
      </c>
      <c r="E20" s="521">
        <f>E79</f>
        <v>104.01668837957688</v>
      </c>
      <c r="F20" s="520">
        <f>F79/1000000</f>
        <v>0.82574899999999996</v>
      </c>
      <c r="G20" s="520">
        <f>G79/1000000</f>
        <v>0.83977400000000002</v>
      </c>
      <c r="H20" s="521">
        <f>H79</f>
        <v>98.329907808529441</v>
      </c>
      <c r="I20" s="520">
        <f>I79/1000000</f>
        <v>4.3308400000000002</v>
      </c>
      <c r="J20" s="520">
        <f>J79/1000000</f>
        <v>4.4794919999999996</v>
      </c>
      <c r="K20" s="521">
        <f>K79</f>
        <v>96.681498705656793</v>
      </c>
      <c r="L20" s="520">
        <f>L79/1000000</f>
        <v>1.892072</v>
      </c>
      <c r="M20" s="520">
        <f>M79/1000000</f>
        <v>1.917997</v>
      </c>
      <c r="N20" s="521">
        <f>N79</f>
        <v>98.648329481224422</v>
      </c>
    </row>
    <row r="21" spans="1:14" ht="17.25" x14ac:dyDescent="0.25">
      <c r="A21" s="7" t="s">
        <v>535</v>
      </c>
      <c r="B21" s="535" t="s">
        <v>358</v>
      </c>
      <c r="C21" s="520">
        <f>C157/1000000</f>
        <v>143.3241625</v>
      </c>
      <c r="D21" s="520">
        <f>D157/1000000</f>
        <v>109.96577070000001</v>
      </c>
      <c r="E21" s="521">
        <f>E157</f>
        <v>130.3352503125775</v>
      </c>
      <c r="F21" s="520">
        <f>F157/1000000</f>
        <v>28.535583800000001</v>
      </c>
      <c r="G21" s="520">
        <f>G157/1000000</f>
        <v>15.714755199999999</v>
      </c>
      <c r="H21" s="521">
        <f>H157</f>
        <v>181.58465363812985</v>
      </c>
      <c r="I21" s="520">
        <f>I157/1000000</f>
        <v>134.5773495</v>
      </c>
      <c r="J21" s="520">
        <f>J157/1000000</f>
        <v>103.6339547</v>
      </c>
      <c r="K21" s="521">
        <f>K157</f>
        <v>129.85835568040903</v>
      </c>
      <c r="L21" s="520">
        <f>L157/1000000</f>
        <v>63.368428000000002</v>
      </c>
      <c r="M21" s="520">
        <f>M157/1000000</f>
        <v>51.201397</v>
      </c>
      <c r="N21" s="521">
        <f>N157</f>
        <v>123.76308404241392</v>
      </c>
    </row>
    <row r="22" spans="1:14" ht="17.25" x14ac:dyDescent="0.25">
      <c r="A22" s="483" t="s">
        <v>536</v>
      </c>
      <c r="B22" s="535" t="s">
        <v>359</v>
      </c>
      <c r="C22" s="520">
        <f>C94/1000000</f>
        <v>2.6209880000000001</v>
      </c>
      <c r="D22" s="520">
        <f>D94/1000000</f>
        <v>1.7894730000000001</v>
      </c>
      <c r="E22" s="521">
        <f>E94</f>
        <v>146.46703247268889</v>
      </c>
      <c r="F22" s="520">
        <f>F94/1000000</f>
        <v>0.39999000000000001</v>
      </c>
      <c r="G22" s="520">
        <f>G94/1000000</f>
        <v>0.29175499999999999</v>
      </c>
      <c r="H22" s="521">
        <f>H94</f>
        <v>137.09790749087418</v>
      </c>
      <c r="I22" s="520">
        <f>I94/1000000</f>
        <v>2.7785530000000001</v>
      </c>
      <c r="J22" s="520">
        <f>J94/1000000</f>
        <v>1.7477780000000001</v>
      </c>
      <c r="K22" s="521">
        <f>K94</f>
        <v>158.97631163683258</v>
      </c>
      <c r="L22" s="520">
        <f>L94/1000000</f>
        <v>1.8063769999999999</v>
      </c>
      <c r="M22" s="520">
        <f>M94/1000000</f>
        <v>0.81806599999999996</v>
      </c>
      <c r="N22" s="521">
        <f>N94</f>
        <v>220.8106680879049</v>
      </c>
    </row>
    <row r="23" spans="1:14" ht="17.25" x14ac:dyDescent="0.25">
      <c r="A23" s="7" t="s">
        <v>537</v>
      </c>
      <c r="B23" s="535" t="s">
        <v>360</v>
      </c>
      <c r="C23" s="520">
        <f>C123/1000000</f>
        <v>8.4722000000000006E-2</v>
      </c>
      <c r="D23" s="520">
        <f>D123/1000000</f>
        <v>0.108727</v>
      </c>
      <c r="E23" s="521">
        <f>E123</f>
        <v>77.921767362292712</v>
      </c>
      <c r="F23" s="520">
        <f>F123/1000000</f>
        <v>1.1519E-2</v>
      </c>
      <c r="G23" s="520">
        <f>G123/1000000</f>
        <v>1.7315000000000001E-2</v>
      </c>
      <c r="H23" s="521">
        <f>H123</f>
        <v>66.526133410337863</v>
      </c>
      <c r="I23" s="520">
        <f>I123/1000000</f>
        <v>8.8860999999999996E-2</v>
      </c>
      <c r="J23" s="520">
        <f>J123/1000000</f>
        <v>6.9002999999999995E-2</v>
      </c>
      <c r="K23" s="521">
        <f>K123</f>
        <v>128.77845890758374</v>
      </c>
      <c r="L23" s="520">
        <f>L123/1000000</f>
        <v>4.5880999999999998E-2</v>
      </c>
      <c r="M23" s="521">
        <f>M123/1000000</f>
        <v>0</v>
      </c>
      <c r="N23" s="521" t="e">
        <f>N123</f>
        <v>#DIV/0!</v>
      </c>
    </row>
    <row r="24" spans="1:14" ht="18" thickBot="1" x14ac:dyDescent="0.3">
      <c r="A24" s="483" t="s">
        <v>538</v>
      </c>
      <c r="B24" s="535" t="s">
        <v>361</v>
      </c>
      <c r="C24" s="520">
        <f>C247/1000000</f>
        <v>0.64387349999999999</v>
      </c>
      <c r="D24" s="520">
        <f>D247/1000000</f>
        <v>0.56476899999999997</v>
      </c>
      <c r="E24" s="521">
        <f>E247</f>
        <v>114.00652302091652</v>
      </c>
      <c r="F24" s="520">
        <f>F247/1000000</f>
        <v>0.1015355</v>
      </c>
      <c r="G24" s="520">
        <f>G247/1000000</f>
        <v>8.6618000000000001E-2</v>
      </c>
      <c r="H24" s="521">
        <f>H247</f>
        <v>117.22217091135792</v>
      </c>
      <c r="I24" s="520">
        <f>I247/1000000</f>
        <v>0.42104599999999998</v>
      </c>
      <c r="J24" s="520">
        <f>J247/1000000</f>
        <v>0.27597699999999997</v>
      </c>
      <c r="K24" s="521">
        <f>K247</f>
        <v>152.56561235175394</v>
      </c>
      <c r="L24" s="520">
        <f>L247/1000000</f>
        <v>1.7565999999999998E-2</v>
      </c>
      <c r="M24" s="540">
        <f>M247/1000000</f>
        <v>3.5950000000000001E-3</v>
      </c>
      <c r="N24" s="521">
        <f>N247</f>
        <v>488.62308762169675</v>
      </c>
    </row>
    <row r="25" spans="1:14" s="556" customFormat="1" ht="18" thickBot="1" x14ac:dyDescent="0.3">
      <c r="A25" s="458">
        <v>2</v>
      </c>
      <c r="B25" s="458" t="s">
        <v>322</v>
      </c>
      <c r="C25" s="526">
        <f>C259/1000000</f>
        <v>124.940191</v>
      </c>
      <c r="D25" s="526">
        <f>D259/1000000</f>
        <v>100.78160099999999</v>
      </c>
      <c r="E25" s="526">
        <f t="shared" ref="E25" si="4">C25/D25*100</f>
        <v>123.97123062174811</v>
      </c>
      <c r="F25" s="526">
        <f>F259/1000000</f>
        <v>16.631920999999998</v>
      </c>
      <c r="G25" s="526">
        <f>G259/1000000</f>
        <v>16.858574999999998</v>
      </c>
      <c r="H25" s="526">
        <f t="shared" ref="H25" si="5">F25/G25*100</f>
        <v>98.655556593602952</v>
      </c>
      <c r="I25" s="526">
        <f>I259/1000000</f>
        <v>125.140191</v>
      </c>
      <c r="J25" s="526">
        <f>J259/1000000</f>
        <v>100.78160099999999</v>
      </c>
      <c r="K25" s="526">
        <f t="shared" ref="K25" si="6">I25/J25*100</f>
        <v>124.16967954299515</v>
      </c>
      <c r="L25" s="526">
        <f>L259/1000000</f>
        <v>13.335202000000001</v>
      </c>
      <c r="M25" s="526">
        <f>M259/1000000</f>
        <v>15.491533</v>
      </c>
      <c r="N25" s="526">
        <f t="shared" ref="N25" si="7">L25/M25*100</f>
        <v>86.08058350325949</v>
      </c>
    </row>
    <row r="26" spans="1:14" s="556" customFormat="1" ht="18" thickBot="1" x14ac:dyDescent="0.3">
      <c r="A26" s="458">
        <v>3</v>
      </c>
      <c r="B26" s="462" t="s">
        <v>321</v>
      </c>
      <c r="C26" s="558">
        <f>C280/1000000</f>
        <v>1.295423</v>
      </c>
      <c r="D26" s="558">
        <f>D280/1000000</f>
        <v>1.242815</v>
      </c>
      <c r="E26" s="529">
        <f>C26/D26*100</f>
        <v>104.23297111798617</v>
      </c>
      <c r="F26" s="559">
        <f>F280/1000000</f>
        <v>0.169158</v>
      </c>
      <c r="G26" s="559">
        <f>G280/1000000</f>
        <v>0.17452899999999999</v>
      </c>
      <c r="H26" s="529">
        <f>F26/G26*100</f>
        <v>96.92257447186428</v>
      </c>
      <c r="I26" s="558">
        <f>I280/1000000</f>
        <v>1.295423</v>
      </c>
      <c r="J26" s="558">
        <f>J280/1000000</f>
        <v>1.242815</v>
      </c>
      <c r="K26" s="529">
        <f>I26/J26*100</f>
        <v>104.23297111798617</v>
      </c>
      <c r="L26" s="558">
        <f>L280/1000000</f>
        <v>0.221219</v>
      </c>
      <c r="M26" s="558">
        <f>M280/1000000</f>
        <v>0.24734700000000001</v>
      </c>
      <c r="N26" s="529">
        <f>L26/M26*100</f>
        <v>89.436702284644639</v>
      </c>
    </row>
    <row r="27" spans="1:14" ht="18" thickBot="1" x14ac:dyDescent="0.3">
      <c r="A27" s="460">
        <v>4</v>
      </c>
      <c r="B27" s="461" t="s">
        <v>517</v>
      </c>
      <c r="C27" s="477">
        <f>C288/1000000</f>
        <v>1.339947</v>
      </c>
      <c r="D27" s="477">
        <f>D288/1000000</f>
        <v>1.3142389999999999</v>
      </c>
      <c r="E27" s="533">
        <f>C27/D27*100</f>
        <v>101.95611300532094</v>
      </c>
      <c r="F27" s="477">
        <f>F288/1000000</f>
        <v>1.339947</v>
      </c>
      <c r="G27" s="477">
        <f>G288/1000000</f>
        <v>1.3142389999999999</v>
      </c>
      <c r="H27" s="533">
        <f>F27/G27*100</f>
        <v>101.95611300532094</v>
      </c>
      <c r="I27" s="477">
        <f>I288/1000000</f>
        <v>1.339947</v>
      </c>
      <c r="J27" s="477">
        <f>J288/1000000</f>
        <v>1.3142389999999999</v>
      </c>
      <c r="K27" s="533">
        <f>I27/J27*100</f>
        <v>101.95611300532094</v>
      </c>
      <c r="L27" s="459">
        <f>L288</f>
        <v>0</v>
      </c>
      <c r="M27" s="459">
        <f>M288</f>
        <v>0</v>
      </c>
      <c r="N27" s="410">
        <v>0</v>
      </c>
    </row>
    <row r="29" spans="1:14" x14ac:dyDescent="0.25">
      <c r="A29" s="941" t="s">
        <v>729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</row>
    <row r="30" spans="1:14" s="560" customFormat="1" ht="13.5" thickBot="1" x14ac:dyDescent="0.3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ht="15" customHeight="1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4"/>
    </row>
    <row r="32" spans="1:14" ht="43.5" thickBot="1" x14ac:dyDescent="0.3">
      <c r="A32" s="1038"/>
      <c r="B32" s="1039"/>
      <c r="C32" s="486" t="s">
        <v>742</v>
      </c>
      <c r="D32" s="486" t="s">
        <v>743</v>
      </c>
      <c r="E32" s="486" t="s">
        <v>323</v>
      </c>
      <c r="F32" s="486" t="s">
        <v>744</v>
      </c>
      <c r="G32" s="486" t="s">
        <v>745</v>
      </c>
      <c r="H32" s="486" t="s">
        <v>323</v>
      </c>
      <c r="I32" s="486" t="s">
        <v>742</v>
      </c>
      <c r="J32" s="486" t="s">
        <v>743</v>
      </c>
      <c r="K32" s="486" t="s">
        <v>323</v>
      </c>
      <c r="L32" s="486" t="s">
        <v>742</v>
      </c>
      <c r="M32" s="486" t="s">
        <v>743</v>
      </c>
      <c r="N32" s="486" t="s">
        <v>323</v>
      </c>
    </row>
    <row r="33" spans="1:14" ht="15.75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</row>
    <row r="34" spans="1:14" x14ac:dyDescent="0.25">
      <c r="A34" s="1043" t="s">
        <v>741</v>
      </c>
      <c r="B34" s="1044" t="s">
        <v>78</v>
      </c>
      <c r="C34" s="464">
        <f>C35+C55+C69</f>
        <v>2944123</v>
      </c>
      <c r="D34" s="464">
        <f>D35+D55+D69</f>
        <v>3662627</v>
      </c>
      <c r="E34" s="465">
        <f>C34/D34*100</f>
        <v>80.382823585366452</v>
      </c>
      <c r="F34" s="464">
        <f>F35+F55+F69</f>
        <v>575965</v>
      </c>
      <c r="G34" s="464">
        <f>G35+G55+G69</f>
        <v>476395</v>
      </c>
      <c r="H34" s="465">
        <f>F34/G34*100</f>
        <v>120.90072313941162</v>
      </c>
      <c r="I34" s="464">
        <f>I35+I55+I69</f>
        <v>2853172</v>
      </c>
      <c r="J34" s="464">
        <f>J35+J55+J69</f>
        <v>3860026</v>
      </c>
      <c r="K34" s="465">
        <f>I34/J34*100</f>
        <v>73.915875178042839</v>
      </c>
      <c r="L34" s="464">
        <f>L35+L55+L69</f>
        <v>1588216</v>
      </c>
      <c r="M34" s="464">
        <f>M35+M55+M69</f>
        <v>2272041</v>
      </c>
      <c r="N34" s="465">
        <f>L34/M34*100</f>
        <v>69.902611792656913</v>
      </c>
    </row>
    <row r="35" spans="1:14" ht="17.25" x14ac:dyDescent="0.25">
      <c r="A35" s="1033" t="s">
        <v>740</v>
      </c>
      <c r="B35" s="1034"/>
      <c r="C35" s="254">
        <f>SUM(C36:C53)</f>
        <v>1154847</v>
      </c>
      <c r="D35" s="254">
        <f>SUM(D36:D53)</f>
        <v>1818052</v>
      </c>
      <c r="E35" s="254">
        <f>C35/D35*100</f>
        <v>63.521120407997131</v>
      </c>
      <c r="F35" s="254">
        <f>SUM(F36:F53)</f>
        <v>182104</v>
      </c>
      <c r="G35" s="254">
        <f>SUM(G36:G53)</f>
        <v>212232</v>
      </c>
      <c r="H35" s="254">
        <f>F35/G35*100</f>
        <v>85.804214256097097</v>
      </c>
      <c r="I35" s="254">
        <f>SUM(I36:I53)</f>
        <v>1166919</v>
      </c>
      <c r="J35" s="254">
        <f>SUM(J36:J53)</f>
        <v>1833076</v>
      </c>
      <c r="K35" s="254">
        <f>I35/J35*100</f>
        <v>63.659062690253975</v>
      </c>
      <c r="L35" s="254">
        <f>SUM(L36:L53)</f>
        <v>580208</v>
      </c>
      <c r="M35" s="254">
        <f>SUM(M36:M53)</f>
        <v>1028308</v>
      </c>
      <c r="N35" s="254">
        <f>L35/M35*100</f>
        <v>56.423561812219681</v>
      </c>
    </row>
    <row r="36" spans="1:14" ht="17.25" x14ac:dyDescent="0.25">
      <c r="A36" s="253">
        <v>1</v>
      </c>
      <c r="B36" s="544" t="s">
        <v>577</v>
      </c>
      <c r="C36" s="247">
        <v>51381</v>
      </c>
      <c r="D36" s="247">
        <v>79530</v>
      </c>
      <c r="E36" s="425">
        <f>C36/D36*100</f>
        <v>64.60580912863071</v>
      </c>
      <c r="F36" s="247">
        <v>4992</v>
      </c>
      <c r="G36" s="247">
        <v>16202</v>
      </c>
      <c r="H36" s="425">
        <f>F36/G36*100</f>
        <v>30.811010986297987</v>
      </c>
      <c r="I36" s="247">
        <v>41783</v>
      </c>
      <c r="J36" s="247">
        <v>79530</v>
      </c>
      <c r="K36" s="425">
        <f>I36/J36*100</f>
        <v>52.537407267697724</v>
      </c>
      <c r="L36" s="247">
        <v>0</v>
      </c>
      <c r="M36" s="247">
        <v>1672</v>
      </c>
      <c r="N36" s="425">
        <f>L36/M36*100</f>
        <v>0</v>
      </c>
    </row>
    <row r="37" spans="1:14" ht="17.25" x14ac:dyDescent="0.25">
      <c r="A37" s="253">
        <v>2</v>
      </c>
      <c r="B37" s="544" t="s">
        <v>578</v>
      </c>
      <c r="C37" s="247">
        <v>197065</v>
      </c>
      <c r="D37" s="247">
        <v>174780</v>
      </c>
      <c r="E37" s="425">
        <f t="shared" ref="E37:E53" si="8">C37/D37*100</f>
        <v>112.75031468131364</v>
      </c>
      <c r="F37" s="247">
        <v>9284</v>
      </c>
      <c r="G37" s="247">
        <v>64255</v>
      </c>
      <c r="H37" s="425">
        <f t="shared" ref="H37:H53" si="9">F37/G37*100</f>
        <v>14.448681036495215</v>
      </c>
      <c r="I37" s="247">
        <v>197065</v>
      </c>
      <c r="J37" s="247">
        <v>174780</v>
      </c>
      <c r="K37" s="425">
        <f t="shared" ref="K37:K53" si="10">I37/J37*100</f>
        <v>112.75031468131364</v>
      </c>
      <c r="L37" s="247">
        <v>67466</v>
      </c>
      <c r="M37" s="247">
        <v>119377</v>
      </c>
      <c r="N37" s="425">
        <f t="shared" ref="N37:N53" si="11">L37/M37*100</f>
        <v>56.515074092999484</v>
      </c>
    </row>
    <row r="38" spans="1:14" ht="17.25" x14ac:dyDescent="0.25">
      <c r="A38" s="253">
        <v>3</v>
      </c>
      <c r="B38" s="544" t="s">
        <v>579</v>
      </c>
      <c r="C38" s="247">
        <v>40059</v>
      </c>
      <c r="D38" s="247">
        <v>40673</v>
      </c>
      <c r="E38" s="425">
        <f t="shared" si="8"/>
        <v>98.490399036215663</v>
      </c>
      <c r="F38" s="247">
        <v>19650</v>
      </c>
      <c r="G38" s="247">
        <v>7482</v>
      </c>
      <c r="H38" s="425">
        <f t="shared" si="9"/>
        <v>262.63031275060143</v>
      </c>
      <c r="I38" s="247">
        <v>32885</v>
      </c>
      <c r="J38" s="247">
        <v>84423</v>
      </c>
      <c r="K38" s="425">
        <f t="shared" si="10"/>
        <v>38.95265508214586</v>
      </c>
      <c r="L38" s="247">
        <v>1192</v>
      </c>
      <c r="M38" s="247">
        <v>0</v>
      </c>
      <c r="N38" s="425" t="e">
        <f t="shared" si="11"/>
        <v>#DIV/0!</v>
      </c>
    </row>
    <row r="39" spans="1:14" ht="34.5" x14ac:dyDescent="0.25">
      <c r="A39" s="253">
        <v>4</v>
      </c>
      <c r="B39" s="544" t="s">
        <v>580</v>
      </c>
      <c r="C39" s="247">
        <v>14560</v>
      </c>
      <c r="D39" s="247">
        <v>11630</v>
      </c>
      <c r="E39" s="425">
        <f t="shared" si="8"/>
        <v>125.19346517626828</v>
      </c>
      <c r="F39" s="247">
        <v>3240</v>
      </c>
      <c r="G39" s="247">
        <v>3000</v>
      </c>
      <c r="H39" s="425">
        <f t="shared" si="9"/>
        <v>108</v>
      </c>
      <c r="I39" s="247">
        <v>18026</v>
      </c>
      <c r="J39" s="247">
        <v>14036</v>
      </c>
      <c r="K39" s="425">
        <f t="shared" si="10"/>
        <v>128.42690225135368</v>
      </c>
      <c r="L39" s="247">
        <v>18026</v>
      </c>
      <c r="M39" s="247">
        <v>14036</v>
      </c>
      <c r="N39" s="425">
        <f t="shared" si="11"/>
        <v>128.42690225135368</v>
      </c>
    </row>
    <row r="40" spans="1:14" ht="17.25" x14ac:dyDescent="0.25">
      <c r="A40" s="253">
        <v>5</v>
      </c>
      <c r="B40" s="544" t="s">
        <v>581</v>
      </c>
      <c r="C40" s="247">
        <v>28442</v>
      </c>
      <c r="D40" s="247">
        <v>25307</v>
      </c>
      <c r="E40" s="425">
        <f t="shared" si="8"/>
        <v>112.3878768720117</v>
      </c>
      <c r="F40" s="247">
        <v>2638</v>
      </c>
      <c r="G40" s="247">
        <v>3980</v>
      </c>
      <c r="H40" s="425">
        <f t="shared" si="9"/>
        <v>66.281407035175874</v>
      </c>
      <c r="I40" s="247">
        <v>31906</v>
      </c>
      <c r="J40" s="247">
        <v>35190</v>
      </c>
      <c r="K40" s="425">
        <f t="shared" si="10"/>
        <v>90.667803353225352</v>
      </c>
      <c r="L40" s="247">
        <v>5380</v>
      </c>
      <c r="M40" s="247">
        <v>5045</v>
      </c>
      <c r="N40" s="425">
        <f t="shared" si="11"/>
        <v>106.64023785926659</v>
      </c>
    </row>
    <row r="41" spans="1:14" ht="17.25" x14ac:dyDescent="0.25">
      <c r="A41" s="253">
        <v>6</v>
      </c>
      <c r="B41" s="544" t="s">
        <v>582</v>
      </c>
      <c r="C41" s="247">
        <v>69996</v>
      </c>
      <c r="D41" s="247">
        <v>82328</v>
      </c>
      <c r="E41" s="425">
        <f t="shared" si="8"/>
        <v>85.020892041589732</v>
      </c>
      <c r="F41" s="247">
        <v>11724</v>
      </c>
      <c r="G41" s="247">
        <v>12502</v>
      </c>
      <c r="H41" s="425">
        <f t="shared" si="9"/>
        <v>93.776995680691087</v>
      </c>
      <c r="I41" s="247">
        <v>74542</v>
      </c>
      <c r="J41" s="247">
        <v>76416</v>
      </c>
      <c r="K41" s="425">
        <f t="shared" si="10"/>
        <v>97.547634003350083</v>
      </c>
      <c r="L41" s="247">
        <v>5327</v>
      </c>
      <c r="M41" s="247">
        <v>0</v>
      </c>
      <c r="N41" s="425" t="e">
        <f t="shared" si="11"/>
        <v>#DIV/0!</v>
      </c>
    </row>
    <row r="42" spans="1:14" ht="17.25" x14ac:dyDescent="0.25">
      <c r="A42" s="253">
        <v>7</v>
      </c>
      <c r="B42" s="544" t="s">
        <v>583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0</v>
      </c>
      <c r="J42" s="247">
        <v>0</v>
      </c>
      <c r="K42" s="425" t="e">
        <f t="shared" si="10"/>
        <v>#DIV/0!</v>
      </c>
      <c r="L42" s="247">
        <v>0</v>
      </c>
      <c r="M42" s="247">
        <v>0</v>
      </c>
      <c r="N42" s="425" t="e">
        <f t="shared" si="11"/>
        <v>#DIV/0!</v>
      </c>
    </row>
    <row r="43" spans="1:14" ht="34.5" x14ac:dyDescent="0.25">
      <c r="A43" s="253">
        <v>8</v>
      </c>
      <c r="B43" s="544" t="s">
        <v>584</v>
      </c>
      <c r="C43" s="247">
        <v>62813</v>
      </c>
      <c r="D43" s="247">
        <v>76232</v>
      </c>
      <c r="E43" s="425">
        <f t="shared" si="8"/>
        <v>82.397156049952784</v>
      </c>
      <c r="F43" s="247">
        <v>4815</v>
      </c>
      <c r="G43" s="247">
        <v>10867</v>
      </c>
      <c r="H43" s="425">
        <f t="shared" si="9"/>
        <v>44.308456795803806</v>
      </c>
      <c r="I43" s="247">
        <v>62960</v>
      </c>
      <c r="J43" s="247">
        <v>76229</v>
      </c>
      <c r="K43" s="425">
        <f t="shared" si="10"/>
        <v>82.593238793634967</v>
      </c>
      <c r="L43" s="247">
        <v>0</v>
      </c>
      <c r="M43" s="247">
        <v>0</v>
      </c>
      <c r="N43" s="425" t="e">
        <f t="shared" si="11"/>
        <v>#DIV/0!</v>
      </c>
    </row>
    <row r="44" spans="1:14" ht="17.25" x14ac:dyDescent="0.25">
      <c r="A44" s="253">
        <v>9</v>
      </c>
      <c r="B44" s="544" t="s">
        <v>585</v>
      </c>
      <c r="C44" s="247">
        <v>68605</v>
      </c>
      <c r="D44" s="247">
        <v>164779</v>
      </c>
      <c r="E44" s="425">
        <f t="shared" si="8"/>
        <v>41.634552946674027</v>
      </c>
      <c r="F44" s="247">
        <v>10744</v>
      </c>
      <c r="G44" s="247">
        <v>38163</v>
      </c>
      <c r="H44" s="425">
        <f t="shared" si="9"/>
        <v>28.152922988234678</v>
      </c>
      <c r="I44" s="247">
        <v>77811</v>
      </c>
      <c r="J44" s="247">
        <v>143442</v>
      </c>
      <c r="K44" s="425">
        <f t="shared" si="10"/>
        <v>54.245618438114363</v>
      </c>
      <c r="L44" s="247">
        <v>0</v>
      </c>
      <c r="M44" s="247">
        <v>0</v>
      </c>
      <c r="N44" s="425" t="e">
        <f t="shared" si="11"/>
        <v>#DIV/0!</v>
      </c>
    </row>
    <row r="45" spans="1:14" ht="17.25" x14ac:dyDescent="0.25">
      <c r="A45" s="253">
        <v>10</v>
      </c>
      <c r="B45" s="544" t="s">
        <v>381</v>
      </c>
      <c r="C45" s="247">
        <v>298637</v>
      </c>
      <c r="D45" s="247">
        <v>424492</v>
      </c>
      <c r="E45" s="425">
        <f t="shared" si="8"/>
        <v>70.351620289663884</v>
      </c>
      <c r="F45" s="247">
        <v>88448</v>
      </c>
      <c r="G45" s="247">
        <v>7430</v>
      </c>
      <c r="H45" s="425">
        <f t="shared" si="9"/>
        <v>1190.4172274562584</v>
      </c>
      <c r="I45" s="247">
        <v>307304</v>
      </c>
      <c r="J45" s="247">
        <v>409148</v>
      </c>
      <c r="K45" s="425">
        <f t="shared" si="10"/>
        <v>75.10827377868155</v>
      </c>
      <c r="L45" s="247">
        <v>305702</v>
      </c>
      <c r="M45" s="247">
        <v>406571</v>
      </c>
      <c r="N45" s="425">
        <f t="shared" si="11"/>
        <v>75.190311163363845</v>
      </c>
    </row>
    <row r="46" spans="1:14" ht="17.25" x14ac:dyDescent="0.25">
      <c r="A46" s="253">
        <v>11</v>
      </c>
      <c r="B46" s="544" t="s">
        <v>586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 t="shared" si="9"/>
        <v>#DIV/0!</v>
      </c>
      <c r="I46" s="247">
        <v>0</v>
      </c>
      <c r="J46" s="247">
        <v>0</v>
      </c>
      <c r="K46" s="425" t="e">
        <f t="shared" si="10"/>
        <v>#DIV/0!</v>
      </c>
      <c r="L46" s="247">
        <v>0</v>
      </c>
      <c r="M46" s="247">
        <v>0</v>
      </c>
      <c r="N46" s="425" t="e">
        <f t="shared" si="11"/>
        <v>#DIV/0!</v>
      </c>
    </row>
    <row r="47" spans="1:14" ht="17.25" x14ac:dyDescent="0.25">
      <c r="A47" s="253">
        <v>12</v>
      </c>
      <c r="B47" s="544" t="s">
        <v>587</v>
      </c>
      <c r="C47" s="247">
        <v>19013</v>
      </c>
      <c r="D47" s="247">
        <v>48950</v>
      </c>
      <c r="E47" s="425">
        <f t="shared" si="8"/>
        <v>38.841675178753832</v>
      </c>
      <c r="F47" s="247">
        <v>2257</v>
      </c>
      <c r="G47" s="247">
        <v>87</v>
      </c>
      <c r="H47" s="425">
        <f t="shared" si="9"/>
        <v>2594.2528735632186</v>
      </c>
      <c r="I47" s="247">
        <v>16756</v>
      </c>
      <c r="J47" s="247">
        <v>57221</v>
      </c>
      <c r="K47" s="425">
        <f t="shared" si="10"/>
        <v>29.282955558274061</v>
      </c>
      <c r="L47" s="247">
        <v>12059</v>
      </c>
      <c r="M47" s="247">
        <v>48725</v>
      </c>
      <c r="N47" s="425">
        <f t="shared" si="11"/>
        <v>24.749102103642894</v>
      </c>
    </row>
    <row r="48" spans="1:14" ht="17.25" x14ac:dyDescent="0.25">
      <c r="A48" s="253">
        <v>13</v>
      </c>
      <c r="B48" s="544" t="s">
        <v>588</v>
      </c>
      <c r="C48" s="247">
        <v>114526</v>
      </c>
      <c r="D48" s="247">
        <v>190464</v>
      </c>
      <c r="E48" s="425">
        <f t="shared" si="8"/>
        <v>60.129998319892472</v>
      </c>
      <c r="F48" s="247">
        <v>20902</v>
      </c>
      <c r="G48" s="247">
        <v>29978</v>
      </c>
      <c r="H48" s="425">
        <f t="shared" si="9"/>
        <v>69.724464607378749</v>
      </c>
      <c r="I48" s="247">
        <v>116660</v>
      </c>
      <c r="J48" s="247">
        <v>186220</v>
      </c>
      <c r="K48" s="425">
        <f t="shared" si="10"/>
        <v>62.646332295134791</v>
      </c>
      <c r="L48" s="247">
        <v>0</v>
      </c>
      <c r="M48" s="247">
        <v>0</v>
      </c>
      <c r="N48" s="425" t="e">
        <f t="shared" si="11"/>
        <v>#DIV/0!</v>
      </c>
    </row>
    <row r="49" spans="1:14" ht="17.25" x14ac:dyDescent="0.25">
      <c r="A49" s="253">
        <v>14</v>
      </c>
      <c r="B49" s="544" t="s">
        <v>589</v>
      </c>
      <c r="C49" s="247">
        <v>10979</v>
      </c>
      <c r="D49" s="247">
        <v>10597</v>
      </c>
      <c r="E49" s="425">
        <f t="shared" si="8"/>
        <v>103.60479380956875</v>
      </c>
      <c r="F49" s="247">
        <v>0</v>
      </c>
      <c r="G49" s="247">
        <v>1625</v>
      </c>
      <c r="H49" s="425">
        <f t="shared" si="9"/>
        <v>0</v>
      </c>
      <c r="I49" s="247">
        <v>10450</v>
      </c>
      <c r="J49" s="247">
        <v>8151</v>
      </c>
      <c r="K49" s="425">
        <f t="shared" si="10"/>
        <v>128.2051282051282</v>
      </c>
      <c r="L49" s="247">
        <v>0</v>
      </c>
      <c r="M49" s="247">
        <v>1576</v>
      </c>
      <c r="N49" s="425">
        <f t="shared" si="11"/>
        <v>0</v>
      </c>
    </row>
    <row r="50" spans="1:14" ht="17.25" x14ac:dyDescent="0.25">
      <c r="A50" s="253">
        <v>15</v>
      </c>
      <c r="B50" s="544" t="s">
        <v>590</v>
      </c>
      <c r="C50" s="247">
        <v>0</v>
      </c>
      <c r="D50" s="247">
        <v>0</v>
      </c>
      <c r="E50" s="425" t="e">
        <f t="shared" si="8"/>
        <v>#DIV/0!</v>
      </c>
      <c r="F50" s="247">
        <v>0</v>
      </c>
      <c r="G50" s="247">
        <v>0</v>
      </c>
      <c r="H50" s="425" t="e">
        <f t="shared" si="9"/>
        <v>#DIV/0!</v>
      </c>
      <c r="I50" s="247">
        <v>0</v>
      </c>
      <c r="J50" s="247">
        <v>0</v>
      </c>
      <c r="K50" s="425" t="e">
        <f t="shared" si="10"/>
        <v>#DIV/0!</v>
      </c>
      <c r="L50" s="247">
        <v>0</v>
      </c>
      <c r="M50" s="247">
        <v>0</v>
      </c>
      <c r="N50" s="425" t="e">
        <f t="shared" si="11"/>
        <v>#DIV/0!</v>
      </c>
    </row>
    <row r="51" spans="1:14" ht="17.25" x14ac:dyDescent="0.25">
      <c r="A51" s="253">
        <v>16</v>
      </c>
      <c r="B51" s="544" t="s">
        <v>591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</row>
    <row r="52" spans="1:14" ht="17.25" x14ac:dyDescent="0.25">
      <c r="A52" s="253">
        <v>17</v>
      </c>
      <c r="B52" s="544" t="s">
        <v>592</v>
      </c>
      <c r="C52" s="247">
        <v>12065</v>
      </c>
      <c r="D52" s="247">
        <v>16921</v>
      </c>
      <c r="E52" s="425">
        <f t="shared" si="8"/>
        <v>71.301932509898947</v>
      </c>
      <c r="F52" s="247">
        <v>3410</v>
      </c>
      <c r="G52" s="247">
        <v>1795</v>
      </c>
      <c r="H52" s="425">
        <f t="shared" si="9"/>
        <v>189.97214484679665</v>
      </c>
      <c r="I52" s="247">
        <v>12065</v>
      </c>
      <c r="J52" s="247">
        <v>16921</v>
      </c>
      <c r="K52" s="425">
        <f t="shared" si="10"/>
        <v>71.301932509898947</v>
      </c>
      <c r="L52" s="247">
        <v>0</v>
      </c>
      <c r="M52" s="247">
        <v>0</v>
      </c>
      <c r="N52" s="425" t="e">
        <f t="shared" si="11"/>
        <v>#DIV/0!</v>
      </c>
    </row>
    <row r="53" spans="1:14" ht="17.25" x14ac:dyDescent="0.25">
      <c r="A53" s="253">
        <v>18</v>
      </c>
      <c r="B53" s="544" t="s">
        <v>593</v>
      </c>
      <c r="C53" s="247">
        <v>166706</v>
      </c>
      <c r="D53" s="247">
        <v>471369</v>
      </c>
      <c r="E53" s="425">
        <f t="shared" si="8"/>
        <v>35.366347808192735</v>
      </c>
      <c r="F53" s="247">
        <v>0</v>
      </c>
      <c r="G53" s="247">
        <v>14866</v>
      </c>
      <c r="H53" s="425">
        <f t="shared" si="9"/>
        <v>0</v>
      </c>
      <c r="I53" s="247">
        <v>166706</v>
      </c>
      <c r="J53" s="247">
        <v>471369</v>
      </c>
      <c r="K53" s="425">
        <f t="shared" si="10"/>
        <v>35.366347808192735</v>
      </c>
      <c r="L53" s="247">
        <v>165056</v>
      </c>
      <c r="M53" s="247">
        <v>431306</v>
      </c>
      <c r="N53" s="425">
        <f t="shared" si="11"/>
        <v>38.268885663542825</v>
      </c>
    </row>
    <row r="54" spans="1:14" s="561" customFormat="1" x14ac:dyDescent="0.25"/>
    <row r="55" spans="1:14" ht="17.25" customHeight="1" x14ac:dyDescent="0.25">
      <c r="A55" s="1033" t="s">
        <v>739</v>
      </c>
      <c r="B55" s="1034"/>
      <c r="C55" s="450">
        <f>SUM(C56:C67)</f>
        <v>997564</v>
      </c>
      <c r="D55" s="450">
        <f>SUM(D56:D67)</f>
        <v>929245</v>
      </c>
      <c r="E55" s="453">
        <f>C55/D55*100</f>
        <v>107.35209767068964</v>
      </c>
      <c r="F55" s="450">
        <f>SUM(F56:F67)</f>
        <v>193837</v>
      </c>
      <c r="G55" s="450">
        <f>SUM(G56:G67)</f>
        <v>145866</v>
      </c>
      <c r="H55" s="453">
        <f>F55/G55*100</f>
        <v>132.88703330453978</v>
      </c>
      <c r="I55" s="450">
        <f>SUM(I56:I67)</f>
        <v>931009</v>
      </c>
      <c r="J55" s="450">
        <f>SUM(J56:J67)</f>
        <v>1049986</v>
      </c>
      <c r="K55" s="453">
        <f>I55/J55*100</f>
        <v>88.668706058937929</v>
      </c>
      <c r="L55" s="450">
        <f>SUM(L56:L67)</f>
        <v>589286</v>
      </c>
      <c r="M55" s="450">
        <f>SUM(M56:M67)</f>
        <v>686875</v>
      </c>
      <c r="N55" s="453">
        <f>L55/M55*100</f>
        <v>85.792320291173795</v>
      </c>
    </row>
    <row r="56" spans="1:14" ht="17.25" x14ac:dyDescent="0.25">
      <c r="A56" s="253">
        <v>1</v>
      </c>
      <c r="B56" s="544" t="s">
        <v>594</v>
      </c>
      <c r="C56" s="247">
        <v>213709</v>
      </c>
      <c r="D56" s="247">
        <v>318688</v>
      </c>
      <c r="E56" s="247">
        <f t="shared" ref="E56:E67" si="12">C56/D56*100</f>
        <v>67.05900441811427</v>
      </c>
      <c r="F56" s="247">
        <v>30527</v>
      </c>
      <c r="G56" s="247">
        <v>43666</v>
      </c>
      <c r="H56" s="247">
        <f t="shared" ref="H56:H67" si="13">F56/G56*100</f>
        <v>69.910227637063159</v>
      </c>
      <c r="I56" s="247">
        <v>177350</v>
      </c>
      <c r="J56" s="247">
        <v>309849</v>
      </c>
      <c r="K56" s="247">
        <f t="shared" ref="K56:K63" si="14">I56/J56*100</f>
        <v>57.237557649048412</v>
      </c>
      <c r="L56" s="247">
        <v>175735</v>
      </c>
      <c r="M56" s="247">
        <v>307303</v>
      </c>
      <c r="N56" s="247">
        <f t="shared" ref="N56:N67" si="15">L56/M56*100</f>
        <v>57.186229877352325</v>
      </c>
    </row>
    <row r="57" spans="1:14" ht="17.25" x14ac:dyDescent="0.25">
      <c r="A57" s="253">
        <v>2</v>
      </c>
      <c r="B57" s="544" t="s">
        <v>595</v>
      </c>
      <c r="C57" s="247">
        <v>32744</v>
      </c>
      <c r="D57" s="247">
        <v>58056</v>
      </c>
      <c r="E57" s="247">
        <f t="shared" si="12"/>
        <v>56.400716549538373</v>
      </c>
      <c r="F57" s="247">
        <v>4064</v>
      </c>
      <c r="G57" s="247">
        <v>2510</v>
      </c>
      <c r="H57" s="247">
        <f t="shared" si="13"/>
        <v>161.91235059760956</v>
      </c>
      <c r="I57" s="247">
        <v>43829</v>
      </c>
      <c r="J57" s="247">
        <v>42065</v>
      </c>
      <c r="K57" s="247">
        <f t="shared" si="14"/>
        <v>104.19351004397956</v>
      </c>
      <c r="L57" s="247">
        <v>0</v>
      </c>
      <c r="M57" s="247">
        <v>0</v>
      </c>
      <c r="N57" s="247" t="e">
        <f t="shared" si="15"/>
        <v>#DIV/0!</v>
      </c>
    </row>
    <row r="58" spans="1:14" ht="17.25" x14ac:dyDescent="0.25">
      <c r="A58" s="253">
        <v>3</v>
      </c>
      <c r="B58" s="544" t="s">
        <v>596</v>
      </c>
      <c r="C58" s="247">
        <v>129245</v>
      </c>
      <c r="D58" s="247">
        <v>182880</v>
      </c>
      <c r="E58" s="247">
        <f t="shared" si="12"/>
        <v>70.672025371828511</v>
      </c>
      <c r="F58" s="247">
        <v>24945</v>
      </c>
      <c r="G58" s="247">
        <v>51535</v>
      </c>
      <c r="H58" s="247">
        <f t="shared" si="13"/>
        <v>48.403997283399633</v>
      </c>
      <c r="I58" s="247">
        <v>129245</v>
      </c>
      <c r="J58" s="247">
        <v>182880</v>
      </c>
      <c r="K58" s="247">
        <f t="shared" si="14"/>
        <v>70.672025371828511</v>
      </c>
      <c r="L58" s="247">
        <v>0</v>
      </c>
      <c r="M58" s="247">
        <v>0</v>
      </c>
      <c r="N58" s="247" t="e">
        <f t="shared" si="15"/>
        <v>#DIV/0!</v>
      </c>
    </row>
    <row r="59" spans="1:14" ht="17.25" x14ac:dyDescent="0.25">
      <c r="A59" s="253">
        <v>4</v>
      </c>
      <c r="B59" s="544" t="s">
        <v>597</v>
      </c>
      <c r="C59" s="247">
        <v>213155</v>
      </c>
      <c r="D59" s="247">
        <v>85099</v>
      </c>
      <c r="E59" s="247">
        <f t="shared" si="12"/>
        <v>250.478854040588</v>
      </c>
      <c r="F59" s="247">
        <v>16517</v>
      </c>
      <c r="G59" s="247">
        <v>19383</v>
      </c>
      <c r="H59" s="247">
        <f t="shared" si="13"/>
        <v>85.213847185678176</v>
      </c>
      <c r="I59" s="247">
        <v>213215</v>
      </c>
      <c r="J59" s="247">
        <v>184828</v>
      </c>
      <c r="K59" s="247">
        <f t="shared" si="14"/>
        <v>115.35860367476789</v>
      </c>
      <c r="L59" s="247">
        <v>79993</v>
      </c>
      <c r="M59" s="247">
        <v>54505</v>
      </c>
      <c r="N59" s="247">
        <f t="shared" si="15"/>
        <v>146.7626823227227</v>
      </c>
    </row>
    <row r="60" spans="1:14" ht="17.25" x14ac:dyDescent="0.25">
      <c r="A60" s="253">
        <v>5</v>
      </c>
      <c r="B60" s="544" t="s">
        <v>598</v>
      </c>
      <c r="C60" s="247">
        <v>0</v>
      </c>
      <c r="D60" s="247">
        <v>0</v>
      </c>
      <c r="E60" s="247" t="e">
        <f t="shared" si="12"/>
        <v>#DIV/0!</v>
      </c>
      <c r="F60" s="247">
        <v>0</v>
      </c>
      <c r="G60" s="247">
        <v>0</v>
      </c>
      <c r="H60" s="247" t="e">
        <f t="shared" si="13"/>
        <v>#DIV/0!</v>
      </c>
      <c r="I60" s="247">
        <v>0</v>
      </c>
      <c r="J60" s="247">
        <v>0</v>
      </c>
      <c r="K60" s="247">
        <v>0</v>
      </c>
      <c r="L60" s="247">
        <v>0</v>
      </c>
      <c r="M60" s="247">
        <v>0</v>
      </c>
      <c r="N60" s="247" t="e">
        <f t="shared" si="15"/>
        <v>#DIV/0!</v>
      </c>
    </row>
    <row r="61" spans="1:14" ht="17.25" x14ac:dyDescent="0.25">
      <c r="A61" s="253">
        <v>6</v>
      </c>
      <c r="B61" s="544" t="s">
        <v>599</v>
      </c>
      <c r="C61" s="247">
        <v>35657</v>
      </c>
      <c r="D61" s="247">
        <v>33142</v>
      </c>
      <c r="E61" s="247">
        <f t="shared" si="12"/>
        <v>107.58855832478427</v>
      </c>
      <c r="F61" s="247">
        <v>6059</v>
      </c>
      <c r="G61" s="247">
        <v>4005</v>
      </c>
      <c r="H61" s="247">
        <f t="shared" si="13"/>
        <v>151.28589263420724</v>
      </c>
      <c r="I61" s="247">
        <v>38906</v>
      </c>
      <c r="J61" s="247">
        <v>32738</v>
      </c>
      <c r="K61" s="247">
        <f t="shared" si="14"/>
        <v>118.84049117233795</v>
      </c>
      <c r="L61" s="247">
        <v>38906</v>
      </c>
      <c r="M61" s="247">
        <v>32738</v>
      </c>
      <c r="N61" s="247">
        <f t="shared" si="15"/>
        <v>118.84049117233795</v>
      </c>
    </row>
    <row r="62" spans="1:14" ht="17.25" x14ac:dyDescent="0.25">
      <c r="A62" s="253">
        <v>7</v>
      </c>
      <c r="B62" s="544" t="s">
        <v>600</v>
      </c>
      <c r="C62" s="247">
        <v>61634</v>
      </c>
      <c r="D62" s="247">
        <v>21921</v>
      </c>
      <c r="E62" s="247">
        <f t="shared" si="12"/>
        <v>281.16418046621965</v>
      </c>
      <c r="F62" s="247">
        <v>11705</v>
      </c>
      <c r="G62" s="247">
        <v>3903</v>
      </c>
      <c r="H62" s="247">
        <f t="shared" si="13"/>
        <v>299.89751473225726</v>
      </c>
      <c r="I62" s="247">
        <v>59040</v>
      </c>
      <c r="J62" s="247">
        <v>42488</v>
      </c>
      <c r="K62" s="247">
        <f t="shared" si="14"/>
        <v>138.95688194313689</v>
      </c>
      <c r="L62" s="247">
        <v>58509</v>
      </c>
      <c r="M62" s="247">
        <v>42462</v>
      </c>
      <c r="N62" s="247">
        <f t="shared" si="15"/>
        <v>137.79143704959728</v>
      </c>
    </row>
    <row r="63" spans="1:14" ht="17.25" x14ac:dyDescent="0.25">
      <c r="A63" s="253">
        <v>8</v>
      </c>
      <c r="B63" s="544" t="s">
        <v>601</v>
      </c>
      <c r="C63" s="247">
        <v>149500</v>
      </c>
      <c r="D63" s="247">
        <v>117800</v>
      </c>
      <c r="E63" s="247">
        <f t="shared" si="12"/>
        <v>126.91001697792869</v>
      </c>
      <c r="F63" s="247">
        <v>53600</v>
      </c>
      <c r="G63" s="247">
        <v>11600</v>
      </c>
      <c r="H63" s="247">
        <f t="shared" si="13"/>
        <v>462.06896551724139</v>
      </c>
      <c r="I63" s="247">
        <v>107504</v>
      </c>
      <c r="J63" s="247">
        <v>143479</v>
      </c>
      <c r="K63" s="247">
        <f t="shared" si="14"/>
        <v>74.926644317286843</v>
      </c>
      <c r="L63" s="247">
        <v>107504</v>
      </c>
      <c r="M63" s="247">
        <v>143479</v>
      </c>
      <c r="N63" s="247">
        <f t="shared" si="15"/>
        <v>74.926644317286843</v>
      </c>
    </row>
    <row r="64" spans="1:14" ht="17.25" x14ac:dyDescent="0.25">
      <c r="A64" s="253">
        <v>9</v>
      </c>
      <c r="B64" s="544" t="s">
        <v>602</v>
      </c>
      <c r="C64" s="247">
        <v>0</v>
      </c>
      <c r="D64" s="247">
        <v>0</v>
      </c>
      <c r="E64" s="247" t="e">
        <f t="shared" si="12"/>
        <v>#DIV/0!</v>
      </c>
      <c r="F64" s="247">
        <v>0</v>
      </c>
      <c r="G64" s="247">
        <v>0</v>
      </c>
      <c r="H64" s="247" t="e">
        <f t="shared" si="13"/>
        <v>#DIV/0!</v>
      </c>
      <c r="I64" s="247">
        <v>0</v>
      </c>
      <c r="J64" s="247">
        <v>0</v>
      </c>
      <c r="K64" s="247">
        <v>0</v>
      </c>
      <c r="L64" s="247">
        <v>0</v>
      </c>
      <c r="M64" s="247">
        <v>0</v>
      </c>
      <c r="N64" s="247" t="e">
        <f t="shared" si="15"/>
        <v>#DIV/0!</v>
      </c>
    </row>
    <row r="65" spans="1:14" ht="17.25" x14ac:dyDescent="0.25">
      <c r="A65" s="253">
        <v>10</v>
      </c>
      <c r="B65" s="544" t="s">
        <v>604</v>
      </c>
      <c r="C65" s="247">
        <v>40331</v>
      </c>
      <c r="D65" s="247">
        <v>55572</v>
      </c>
      <c r="E65" s="247">
        <f t="shared" si="12"/>
        <v>72.574318001871447</v>
      </c>
      <c r="F65" s="247">
        <v>2826</v>
      </c>
      <c r="G65" s="247">
        <v>2572</v>
      </c>
      <c r="H65" s="247">
        <f t="shared" si="13"/>
        <v>109.8755832037325</v>
      </c>
      <c r="I65" s="247">
        <v>40331</v>
      </c>
      <c r="J65" s="247">
        <v>55572</v>
      </c>
      <c r="K65" s="247">
        <f>I65/J65*100</f>
        <v>72.574318001871447</v>
      </c>
      <c r="L65" s="247">
        <v>40331</v>
      </c>
      <c r="M65" s="247">
        <v>55572</v>
      </c>
      <c r="N65" s="247">
        <f t="shared" si="15"/>
        <v>72.574318001871447</v>
      </c>
    </row>
    <row r="66" spans="1:14" ht="17.25" x14ac:dyDescent="0.25">
      <c r="A66" s="253">
        <v>11</v>
      </c>
      <c r="B66" s="544" t="s">
        <v>605</v>
      </c>
      <c r="C66" s="247">
        <v>54828</v>
      </c>
      <c r="D66" s="247">
        <v>50816</v>
      </c>
      <c r="E66" s="247">
        <f t="shared" si="12"/>
        <v>107.89515113350126</v>
      </c>
      <c r="F66" s="247">
        <v>4516</v>
      </c>
      <c r="G66" s="247">
        <v>6412</v>
      </c>
      <c r="H66" s="247">
        <f t="shared" si="13"/>
        <v>70.430442919525888</v>
      </c>
      <c r="I66" s="247">
        <v>54828</v>
      </c>
      <c r="J66" s="247">
        <v>50816</v>
      </c>
      <c r="K66" s="247">
        <f>I66/J66*100</f>
        <v>107.89515113350126</v>
      </c>
      <c r="L66" s="247">
        <v>51511</v>
      </c>
      <c r="M66" s="247">
        <v>50816</v>
      </c>
      <c r="N66" s="247">
        <f t="shared" si="15"/>
        <v>101.36767947103276</v>
      </c>
    </row>
    <row r="67" spans="1:14" ht="34.5" x14ac:dyDescent="0.25">
      <c r="A67" s="253">
        <v>12</v>
      </c>
      <c r="B67" s="544" t="s">
        <v>603</v>
      </c>
      <c r="C67" s="247">
        <v>66761</v>
      </c>
      <c r="D67" s="247">
        <v>5271</v>
      </c>
      <c r="E67" s="247">
        <f t="shared" si="12"/>
        <v>1266.571808006071</v>
      </c>
      <c r="F67" s="247">
        <v>39078</v>
      </c>
      <c r="G67" s="247">
        <v>280</v>
      </c>
      <c r="H67" s="247">
        <f t="shared" si="13"/>
        <v>13956.428571428572</v>
      </c>
      <c r="I67" s="247">
        <v>66761</v>
      </c>
      <c r="J67" s="247">
        <v>5271</v>
      </c>
      <c r="K67" s="247">
        <f>I67/J67*100</f>
        <v>1266.571808006071</v>
      </c>
      <c r="L67" s="247">
        <v>36797</v>
      </c>
      <c r="M67" s="247">
        <v>0</v>
      </c>
      <c r="N67" s="247" t="e">
        <f t="shared" si="15"/>
        <v>#DIV/0!</v>
      </c>
    </row>
    <row r="69" spans="1:14" ht="15" customHeight="1" x14ac:dyDescent="0.25">
      <c r="A69" s="1033" t="s">
        <v>356</v>
      </c>
      <c r="B69" s="1034"/>
      <c r="C69" s="450">
        <f>SUM(C70:C77)</f>
        <v>791712</v>
      </c>
      <c r="D69" s="450">
        <f>SUM(D70:D77)</f>
        <v>915330</v>
      </c>
      <c r="E69" s="453">
        <f>C69/D69*100</f>
        <v>86.494706827045988</v>
      </c>
      <c r="F69" s="450">
        <f>SUM(F70:F77)</f>
        <v>200024</v>
      </c>
      <c r="G69" s="450">
        <f>SUM(G70:G77)</f>
        <v>118297</v>
      </c>
      <c r="H69" s="453">
        <f>F69/G69*100</f>
        <v>169.08628283050288</v>
      </c>
      <c r="I69" s="450">
        <f>SUM(I70:I77)</f>
        <v>755244</v>
      </c>
      <c r="J69" s="450">
        <f>SUM(J70:J77)</f>
        <v>976964</v>
      </c>
      <c r="K69" s="453">
        <f>I69/J69*100</f>
        <v>77.30520264820403</v>
      </c>
      <c r="L69" s="450">
        <f>SUM(L70:L77)</f>
        <v>418722</v>
      </c>
      <c r="M69" s="450">
        <f>SUM(M70:M77)</f>
        <v>556858</v>
      </c>
      <c r="N69" s="453">
        <f>L69/M69*100</f>
        <v>75.193675946111938</v>
      </c>
    </row>
    <row r="70" spans="1:14" ht="17.25" x14ac:dyDescent="0.25">
      <c r="A70" s="253">
        <v>1</v>
      </c>
      <c r="B70" s="544" t="s">
        <v>606</v>
      </c>
      <c r="C70" s="247">
        <v>8638</v>
      </c>
      <c r="D70" s="247">
        <v>8387</v>
      </c>
      <c r="E70" s="247">
        <f t="shared" ref="E70:E77" si="16">C70/D70*100</f>
        <v>102.99272683915584</v>
      </c>
      <c r="F70" s="247">
        <v>158</v>
      </c>
      <c r="G70" s="247">
        <v>902</v>
      </c>
      <c r="H70" s="247">
        <f t="shared" ref="H70:H77" si="17">F70/G70*100</f>
        <v>17.516629711751662</v>
      </c>
      <c r="I70" s="247">
        <v>26687</v>
      </c>
      <c r="J70" s="247">
        <v>16482</v>
      </c>
      <c r="K70" s="247">
        <f t="shared" ref="K70:K77" si="18">I70/J70*100</f>
        <v>161.91602960805727</v>
      </c>
      <c r="L70" s="247">
        <v>1653</v>
      </c>
      <c r="M70" s="247">
        <v>14671</v>
      </c>
      <c r="N70" s="425">
        <f t="shared" ref="N70:N77" si="19">L70/M70*100</f>
        <v>11.267125621975325</v>
      </c>
    </row>
    <row r="71" spans="1:14" ht="17.25" x14ac:dyDescent="0.25">
      <c r="A71" s="253">
        <v>2</v>
      </c>
      <c r="B71" s="544" t="s">
        <v>607</v>
      </c>
      <c r="C71" s="247">
        <v>41664</v>
      </c>
      <c r="D71" s="247">
        <v>345296</v>
      </c>
      <c r="E71" s="247">
        <f t="shared" si="16"/>
        <v>12.066169315601687</v>
      </c>
      <c r="F71" s="247">
        <v>0</v>
      </c>
      <c r="G71" s="247">
        <v>3358</v>
      </c>
      <c r="H71" s="247">
        <f t="shared" si="17"/>
        <v>0</v>
      </c>
      <c r="I71" s="247">
        <v>41760</v>
      </c>
      <c r="J71" s="247">
        <v>345500</v>
      </c>
      <c r="K71" s="247">
        <f t="shared" si="18"/>
        <v>12.086830680173662</v>
      </c>
      <c r="L71" s="247">
        <v>41760</v>
      </c>
      <c r="M71" s="247">
        <v>345500</v>
      </c>
      <c r="N71" s="425">
        <f t="shared" si="19"/>
        <v>12.086830680173662</v>
      </c>
    </row>
    <row r="72" spans="1:14" ht="17.25" x14ac:dyDescent="0.25">
      <c r="A72" s="253">
        <v>3</v>
      </c>
      <c r="B72" s="544" t="s">
        <v>608</v>
      </c>
      <c r="C72" s="247">
        <v>799</v>
      </c>
      <c r="D72" s="247">
        <v>20138</v>
      </c>
      <c r="E72" s="247">
        <f t="shared" si="16"/>
        <v>3.9676233985500047</v>
      </c>
      <c r="F72" s="247">
        <v>0</v>
      </c>
      <c r="G72" s="247">
        <v>2115</v>
      </c>
      <c r="H72" s="247">
        <f t="shared" si="17"/>
        <v>0</v>
      </c>
      <c r="I72" s="247">
        <v>5580</v>
      </c>
      <c r="J72" s="247">
        <v>19596</v>
      </c>
      <c r="K72" s="247">
        <f t="shared" si="18"/>
        <v>28.475199020208208</v>
      </c>
      <c r="L72" s="247">
        <v>0</v>
      </c>
      <c r="M72" s="247">
        <v>7659</v>
      </c>
      <c r="N72" s="425">
        <f t="shared" si="19"/>
        <v>0</v>
      </c>
    </row>
    <row r="73" spans="1:14" ht="17.25" x14ac:dyDescent="0.25">
      <c r="A73" s="253">
        <v>4</v>
      </c>
      <c r="B73" s="544" t="s">
        <v>609</v>
      </c>
      <c r="C73" s="247">
        <v>9966</v>
      </c>
      <c r="D73" s="247">
        <v>35595</v>
      </c>
      <c r="E73" s="247">
        <f t="shared" si="16"/>
        <v>27.998314369995786</v>
      </c>
      <c r="F73" s="247">
        <v>88</v>
      </c>
      <c r="G73" s="247">
        <v>1618</v>
      </c>
      <c r="H73" s="247">
        <f t="shared" si="17"/>
        <v>5.4388133498145859</v>
      </c>
      <c r="I73" s="247">
        <v>1866</v>
      </c>
      <c r="J73" s="247">
        <v>43546</v>
      </c>
      <c r="K73" s="247">
        <f t="shared" si="18"/>
        <v>4.2851237771551922</v>
      </c>
      <c r="L73" s="247">
        <v>0</v>
      </c>
      <c r="M73" s="247">
        <v>34491</v>
      </c>
      <c r="N73" s="425">
        <f t="shared" si="19"/>
        <v>0</v>
      </c>
    </row>
    <row r="74" spans="1:14" ht="17.25" x14ac:dyDescent="0.25">
      <c r="A74" s="253">
        <v>5</v>
      </c>
      <c r="B74" s="544" t="s">
        <v>610</v>
      </c>
      <c r="C74" s="247">
        <v>67938</v>
      </c>
      <c r="D74" s="247">
        <v>57385</v>
      </c>
      <c r="E74" s="247">
        <f t="shared" si="16"/>
        <v>118.3898231245099</v>
      </c>
      <c r="F74" s="247">
        <v>62428</v>
      </c>
      <c r="G74" s="247">
        <v>52217</v>
      </c>
      <c r="H74" s="247">
        <f t="shared" si="17"/>
        <v>119.55493421682594</v>
      </c>
      <c r="I74" s="247">
        <v>67938</v>
      </c>
      <c r="J74" s="247">
        <v>57385</v>
      </c>
      <c r="K74" s="247">
        <f t="shared" si="18"/>
        <v>118.3898231245099</v>
      </c>
      <c r="L74" s="247">
        <v>56925</v>
      </c>
      <c r="M74" s="247">
        <v>47792</v>
      </c>
      <c r="N74" s="425">
        <f t="shared" si="19"/>
        <v>119.10989286909943</v>
      </c>
    </row>
    <row r="75" spans="1:14" ht="17.25" x14ac:dyDescent="0.25">
      <c r="A75" s="252">
        <v>6</v>
      </c>
      <c r="B75" s="544" t="s">
        <v>611</v>
      </c>
      <c r="C75" s="247">
        <v>202</v>
      </c>
      <c r="D75" s="247">
        <v>36003</v>
      </c>
      <c r="E75" s="247">
        <f t="shared" si="16"/>
        <v>0.56106435574813207</v>
      </c>
      <c r="F75" s="247">
        <v>0</v>
      </c>
      <c r="G75" s="247">
        <v>168</v>
      </c>
      <c r="H75" s="247">
        <f t="shared" si="17"/>
        <v>0</v>
      </c>
      <c r="I75" s="247">
        <v>653</v>
      </c>
      <c r="J75" s="247">
        <v>55111</v>
      </c>
      <c r="K75" s="247">
        <f t="shared" si="18"/>
        <v>1.1848814211318974</v>
      </c>
      <c r="L75" s="247">
        <v>53</v>
      </c>
      <c r="M75" s="247">
        <v>33961</v>
      </c>
      <c r="N75" s="425">
        <f t="shared" si="19"/>
        <v>0.1560613645063455</v>
      </c>
    </row>
    <row r="76" spans="1:14" ht="17.25" x14ac:dyDescent="0.25">
      <c r="A76" s="253">
        <v>7</v>
      </c>
      <c r="B76" s="544" t="s">
        <v>612</v>
      </c>
      <c r="C76" s="247">
        <v>586236</v>
      </c>
      <c r="D76" s="247">
        <v>349723</v>
      </c>
      <c r="E76" s="247">
        <f t="shared" si="16"/>
        <v>167.62866611575447</v>
      </c>
      <c r="F76" s="247">
        <v>125444</v>
      </c>
      <c r="G76" s="247">
        <v>43192</v>
      </c>
      <c r="H76" s="247">
        <f t="shared" si="17"/>
        <v>290.43341359511021</v>
      </c>
      <c r="I76" s="247">
        <v>534491</v>
      </c>
      <c r="J76" s="247">
        <v>376541</v>
      </c>
      <c r="K76" s="247">
        <f t="shared" si="18"/>
        <v>141.94762323359208</v>
      </c>
      <c r="L76" s="247">
        <v>318331</v>
      </c>
      <c r="M76" s="247">
        <v>71739</v>
      </c>
      <c r="N76" s="425">
        <f t="shared" si="19"/>
        <v>443.73492800289938</v>
      </c>
    </row>
    <row r="77" spans="1:14" ht="17.25" x14ac:dyDescent="0.25">
      <c r="A77" s="253">
        <v>8</v>
      </c>
      <c r="B77" s="544" t="s">
        <v>613</v>
      </c>
      <c r="C77" s="247">
        <v>76269</v>
      </c>
      <c r="D77" s="247">
        <v>62803</v>
      </c>
      <c r="E77" s="247">
        <f t="shared" si="16"/>
        <v>121.44165087655048</v>
      </c>
      <c r="F77" s="247">
        <v>11906</v>
      </c>
      <c r="G77" s="247">
        <v>14727</v>
      </c>
      <c r="H77" s="247">
        <f t="shared" si="17"/>
        <v>80.844707000746922</v>
      </c>
      <c r="I77" s="247">
        <v>76269</v>
      </c>
      <c r="J77" s="247">
        <v>62803</v>
      </c>
      <c r="K77" s="247">
        <f t="shared" si="18"/>
        <v>121.44165087655048</v>
      </c>
      <c r="L77" s="247">
        <v>0</v>
      </c>
      <c r="M77" s="247">
        <v>1045</v>
      </c>
      <c r="N77" s="425">
        <f t="shared" si="19"/>
        <v>0</v>
      </c>
    </row>
    <row r="78" spans="1:14" s="127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</row>
    <row r="79" spans="1:14" ht="17.25" x14ac:dyDescent="0.25">
      <c r="A79" s="1033" t="s">
        <v>731</v>
      </c>
      <c r="B79" s="1034"/>
      <c r="C79" s="450">
        <f>SUM(C80:C92)</f>
        <v>4333847</v>
      </c>
      <c r="D79" s="450">
        <f>SUM(D80:D92)</f>
        <v>4166492</v>
      </c>
      <c r="E79" s="453">
        <f>C79/D79*100</f>
        <v>104.01668837957688</v>
      </c>
      <c r="F79" s="450">
        <f>SUM(F80:F92)</f>
        <v>825749</v>
      </c>
      <c r="G79" s="450">
        <f>SUM(G80:G92)</f>
        <v>839774</v>
      </c>
      <c r="H79" s="453">
        <f>F79/G79*100</f>
        <v>98.329907808529441</v>
      </c>
      <c r="I79" s="450">
        <f>SUM(I80:I92)</f>
        <v>4330840</v>
      </c>
      <c r="J79" s="450">
        <f>SUM(J80:J92)</f>
        <v>4479492</v>
      </c>
      <c r="K79" s="453">
        <f>I79/J79*100</f>
        <v>96.681498705656793</v>
      </c>
      <c r="L79" s="450">
        <f>SUM(L80:L92)</f>
        <v>1892072</v>
      </c>
      <c r="M79" s="450">
        <f>SUM(M80:M92)</f>
        <v>1917997</v>
      </c>
      <c r="N79" s="453">
        <f>L79/M79*100</f>
        <v>98.648329481224422</v>
      </c>
    </row>
    <row r="80" spans="1:14" ht="17.25" x14ac:dyDescent="0.25">
      <c r="A80" s="260">
        <v>1</v>
      </c>
      <c r="B80" s="544" t="s">
        <v>614</v>
      </c>
      <c r="C80" s="247">
        <v>1046</v>
      </c>
      <c r="D80" s="247">
        <v>2894</v>
      </c>
      <c r="E80" s="425">
        <f t="shared" ref="E80:E92" si="20">C80/D80*100</f>
        <v>36.14374568071873</v>
      </c>
      <c r="F80" s="247">
        <v>20</v>
      </c>
      <c r="G80" s="247">
        <v>384</v>
      </c>
      <c r="H80" s="425">
        <f t="shared" ref="H80:H92" si="21">F80/G80*100</f>
        <v>5.2083333333333339</v>
      </c>
      <c r="I80" s="247">
        <v>1046</v>
      </c>
      <c r="J80" s="247">
        <v>2894</v>
      </c>
      <c r="K80" s="425">
        <f t="shared" ref="K80:K92" si="22">I80/J80*100</f>
        <v>36.14374568071873</v>
      </c>
      <c r="L80" s="247">
        <v>0</v>
      </c>
      <c r="M80" s="247">
        <v>0</v>
      </c>
      <c r="N80" s="425" t="e">
        <f t="shared" ref="N80:N92" si="23">L80/M80*100</f>
        <v>#DIV/0!</v>
      </c>
    </row>
    <row r="81" spans="1:14" ht="17.25" x14ac:dyDescent="0.25">
      <c r="A81" s="261">
        <v>2</v>
      </c>
      <c r="B81" s="544" t="s">
        <v>615</v>
      </c>
      <c r="C81" s="247">
        <v>4107</v>
      </c>
      <c r="D81" s="247">
        <v>321849</v>
      </c>
      <c r="E81" s="425">
        <f t="shared" si="20"/>
        <v>1.2760642413057055</v>
      </c>
      <c r="F81" s="247">
        <v>674</v>
      </c>
      <c r="G81" s="247">
        <v>1987</v>
      </c>
      <c r="H81" s="425">
        <f t="shared" si="21"/>
        <v>33.920483140412685</v>
      </c>
      <c r="I81" s="247">
        <v>5027</v>
      </c>
      <c r="J81" s="247">
        <v>372177</v>
      </c>
      <c r="K81" s="425">
        <f t="shared" si="22"/>
        <v>1.350701413574724</v>
      </c>
      <c r="L81" s="247">
        <v>0</v>
      </c>
      <c r="M81" s="247">
        <v>361588</v>
      </c>
      <c r="N81" s="425">
        <f t="shared" si="23"/>
        <v>0</v>
      </c>
    </row>
    <row r="82" spans="1:14" ht="17.25" x14ac:dyDescent="0.25">
      <c r="A82" s="260">
        <v>3</v>
      </c>
      <c r="B82" s="544" t="s">
        <v>616</v>
      </c>
      <c r="C82" s="247">
        <v>724141</v>
      </c>
      <c r="D82" s="247">
        <v>735460</v>
      </c>
      <c r="E82" s="425">
        <f t="shared" si="20"/>
        <v>98.460963206700569</v>
      </c>
      <c r="F82" s="247">
        <v>144706</v>
      </c>
      <c r="G82" s="247">
        <v>246433</v>
      </c>
      <c r="H82" s="425">
        <f t="shared" si="21"/>
        <v>58.720220100392396</v>
      </c>
      <c r="I82" s="247">
        <v>831654</v>
      </c>
      <c r="J82" s="247">
        <v>745331</v>
      </c>
      <c r="K82" s="425">
        <f t="shared" si="22"/>
        <v>111.58183411128746</v>
      </c>
      <c r="L82" s="247">
        <v>144095</v>
      </c>
      <c r="M82" s="247">
        <v>200658</v>
      </c>
      <c r="N82" s="425">
        <f t="shared" si="23"/>
        <v>71.811241017053902</v>
      </c>
    </row>
    <row r="83" spans="1:14" ht="17.25" x14ac:dyDescent="0.25">
      <c r="A83" s="261">
        <v>4</v>
      </c>
      <c r="B83" s="544" t="s">
        <v>617</v>
      </c>
      <c r="C83" s="247">
        <v>701081</v>
      </c>
      <c r="D83" s="247">
        <v>578851</v>
      </c>
      <c r="E83" s="425">
        <f t="shared" si="20"/>
        <v>121.11596939454195</v>
      </c>
      <c r="F83" s="247">
        <v>96048</v>
      </c>
      <c r="G83" s="247">
        <v>88535</v>
      </c>
      <c r="H83" s="425">
        <f t="shared" si="21"/>
        <v>108.48590952730559</v>
      </c>
      <c r="I83" s="247">
        <v>659484</v>
      </c>
      <c r="J83" s="247">
        <v>566759</v>
      </c>
      <c r="K83" s="425">
        <f t="shared" si="22"/>
        <v>116.36056948367826</v>
      </c>
      <c r="L83" s="247">
        <v>494169</v>
      </c>
      <c r="M83" s="247">
        <v>382636</v>
      </c>
      <c r="N83" s="425">
        <f t="shared" si="23"/>
        <v>129.1485903051464</v>
      </c>
    </row>
    <row r="84" spans="1:14" ht="17.25" x14ac:dyDescent="0.25">
      <c r="A84" s="260">
        <v>5</v>
      </c>
      <c r="B84" s="544" t="s">
        <v>618</v>
      </c>
      <c r="C84" s="247">
        <v>166002</v>
      </c>
      <c r="D84" s="247">
        <v>208417</v>
      </c>
      <c r="E84" s="425">
        <f t="shared" si="20"/>
        <v>79.64897297245426</v>
      </c>
      <c r="F84" s="247">
        <v>22947</v>
      </c>
      <c r="G84" s="247">
        <v>28589</v>
      </c>
      <c r="H84" s="425">
        <f t="shared" si="21"/>
        <v>80.265136940781417</v>
      </c>
      <c r="I84" s="247">
        <v>154783</v>
      </c>
      <c r="J84" s="247">
        <v>212691</v>
      </c>
      <c r="K84" s="425">
        <f t="shared" si="22"/>
        <v>72.773648156245443</v>
      </c>
      <c r="L84" s="247">
        <v>85089</v>
      </c>
      <c r="M84" s="247">
        <v>17067</v>
      </c>
      <c r="N84" s="425">
        <f t="shared" si="23"/>
        <v>498.55862190191596</v>
      </c>
    </row>
    <row r="85" spans="1:14" ht="17.25" x14ac:dyDescent="0.25">
      <c r="A85" s="261">
        <v>6</v>
      </c>
      <c r="B85" s="544" t="s">
        <v>619</v>
      </c>
      <c r="C85" s="247">
        <v>0</v>
      </c>
      <c r="D85" s="247">
        <v>0</v>
      </c>
      <c r="E85" s="425" t="e">
        <f t="shared" si="20"/>
        <v>#DIV/0!</v>
      </c>
      <c r="F85" s="247">
        <v>0</v>
      </c>
      <c r="G85" s="247">
        <v>0</v>
      </c>
      <c r="H85" s="425" t="e">
        <f t="shared" si="21"/>
        <v>#DIV/0!</v>
      </c>
      <c r="I85" s="247">
        <v>0</v>
      </c>
      <c r="J85" s="247">
        <v>0</v>
      </c>
      <c r="K85" s="425" t="e">
        <f t="shared" si="22"/>
        <v>#DIV/0!</v>
      </c>
      <c r="L85" s="247">
        <v>0</v>
      </c>
      <c r="M85" s="247">
        <v>0</v>
      </c>
      <c r="N85" s="425" t="e">
        <f t="shared" si="23"/>
        <v>#DIV/0!</v>
      </c>
    </row>
    <row r="86" spans="1:14" ht="17.25" x14ac:dyDescent="0.25">
      <c r="A86" s="260">
        <v>7</v>
      </c>
      <c r="B86" s="544" t="s">
        <v>620</v>
      </c>
      <c r="C86" s="247">
        <v>429275</v>
      </c>
      <c r="D86" s="247">
        <v>348569</v>
      </c>
      <c r="E86" s="425">
        <f t="shared" si="20"/>
        <v>123.15352197125964</v>
      </c>
      <c r="F86" s="247">
        <v>99674</v>
      </c>
      <c r="G86" s="247">
        <v>62568</v>
      </c>
      <c r="H86" s="425">
        <f t="shared" si="21"/>
        <v>159.30507607722797</v>
      </c>
      <c r="I86" s="247">
        <v>560232</v>
      </c>
      <c r="J86" s="247">
        <v>643417</v>
      </c>
      <c r="K86" s="425">
        <f t="shared" si="22"/>
        <v>87.071370510881735</v>
      </c>
      <c r="L86" s="247">
        <v>79894</v>
      </c>
      <c r="M86" s="247">
        <v>180125</v>
      </c>
      <c r="N86" s="425">
        <f t="shared" si="23"/>
        <v>44.354753643303262</v>
      </c>
    </row>
    <row r="87" spans="1:14" ht="17.25" x14ac:dyDescent="0.25">
      <c r="A87" s="261">
        <v>8</v>
      </c>
      <c r="B87" s="544" t="s">
        <v>621</v>
      </c>
      <c r="C87" s="247">
        <v>1252097</v>
      </c>
      <c r="D87" s="247">
        <v>940570</v>
      </c>
      <c r="E87" s="425">
        <f t="shared" si="20"/>
        <v>133.12108614988782</v>
      </c>
      <c r="F87" s="247">
        <v>230240</v>
      </c>
      <c r="G87" s="247">
        <v>179828</v>
      </c>
      <c r="H87" s="425">
        <f t="shared" si="21"/>
        <v>128.03345418955891</v>
      </c>
      <c r="I87" s="247">
        <v>1216380</v>
      </c>
      <c r="J87" s="247">
        <v>942330</v>
      </c>
      <c r="K87" s="425">
        <f t="shared" si="22"/>
        <v>129.08216866702747</v>
      </c>
      <c r="L87" s="247">
        <v>782502</v>
      </c>
      <c r="M87" s="247">
        <v>530831</v>
      </c>
      <c r="N87" s="425">
        <f t="shared" si="23"/>
        <v>147.41075784948507</v>
      </c>
    </row>
    <row r="88" spans="1:14" ht="17.25" x14ac:dyDescent="0.25">
      <c r="A88" s="260">
        <v>9</v>
      </c>
      <c r="B88" s="544" t="s">
        <v>622</v>
      </c>
      <c r="C88" s="247">
        <v>520586</v>
      </c>
      <c r="D88" s="247">
        <v>605573</v>
      </c>
      <c r="E88" s="425">
        <f t="shared" si="20"/>
        <v>85.965853827697075</v>
      </c>
      <c r="F88" s="247">
        <v>76153</v>
      </c>
      <c r="G88" s="247">
        <v>147202</v>
      </c>
      <c r="H88" s="425">
        <f t="shared" si="21"/>
        <v>51.733672096846504</v>
      </c>
      <c r="I88" s="247">
        <v>465429</v>
      </c>
      <c r="J88" s="247">
        <v>492711</v>
      </c>
      <c r="K88" s="425">
        <f t="shared" si="22"/>
        <v>94.462879862637521</v>
      </c>
      <c r="L88" s="247">
        <v>144686</v>
      </c>
      <c r="M88" s="247">
        <v>126565</v>
      </c>
      <c r="N88" s="425">
        <f t="shared" si="23"/>
        <v>114.31754434480305</v>
      </c>
    </row>
    <row r="89" spans="1:14" ht="17.25" x14ac:dyDescent="0.25">
      <c r="A89" s="261">
        <v>10</v>
      </c>
      <c r="B89" s="544" t="s">
        <v>623</v>
      </c>
      <c r="C89" s="247">
        <v>82619</v>
      </c>
      <c r="D89" s="247">
        <v>141459</v>
      </c>
      <c r="E89" s="425">
        <f t="shared" si="20"/>
        <v>58.404908842844925</v>
      </c>
      <c r="F89" s="247">
        <v>79164</v>
      </c>
      <c r="G89" s="247">
        <v>9073</v>
      </c>
      <c r="H89" s="425">
        <f t="shared" si="21"/>
        <v>872.52287005400649</v>
      </c>
      <c r="I89" s="247">
        <v>82619</v>
      </c>
      <c r="J89" s="247">
        <v>141459</v>
      </c>
      <c r="K89" s="425">
        <f t="shared" si="22"/>
        <v>58.404908842844925</v>
      </c>
      <c r="L89" s="247">
        <v>0</v>
      </c>
      <c r="M89" s="247">
        <v>80753</v>
      </c>
      <c r="N89" s="425">
        <f t="shared" si="23"/>
        <v>0</v>
      </c>
    </row>
    <row r="90" spans="1:14" ht="17.25" x14ac:dyDescent="0.25">
      <c r="A90" s="260">
        <v>11</v>
      </c>
      <c r="B90" s="544" t="s">
        <v>624</v>
      </c>
      <c r="C90" s="247">
        <v>239218</v>
      </c>
      <c r="D90" s="247">
        <v>212456</v>
      </c>
      <c r="E90" s="425">
        <f t="shared" si="20"/>
        <v>112.59649056745869</v>
      </c>
      <c r="F90" s="247">
        <v>41401</v>
      </c>
      <c r="G90" s="247">
        <v>39450</v>
      </c>
      <c r="H90" s="425">
        <f t="shared" si="21"/>
        <v>104.94550063371355</v>
      </c>
      <c r="I90" s="247">
        <v>142977</v>
      </c>
      <c r="J90" s="247">
        <v>298876</v>
      </c>
      <c r="K90" s="425">
        <f t="shared" si="22"/>
        <v>47.8382339164068</v>
      </c>
      <c r="L90" s="247">
        <v>25324</v>
      </c>
      <c r="M90" s="247">
        <v>26913</v>
      </c>
      <c r="N90" s="425">
        <f t="shared" si="23"/>
        <v>94.095790138594722</v>
      </c>
    </row>
    <row r="91" spans="1:14" ht="17.25" x14ac:dyDescent="0.25">
      <c r="A91" s="261">
        <v>12</v>
      </c>
      <c r="B91" s="544" t="s">
        <v>626</v>
      </c>
      <c r="C91" s="247">
        <v>114792</v>
      </c>
      <c r="D91" s="247">
        <v>0</v>
      </c>
      <c r="E91" s="425" t="e">
        <f t="shared" si="20"/>
        <v>#DIV/0!</v>
      </c>
      <c r="F91" s="247">
        <v>18542</v>
      </c>
      <c r="G91" s="247">
        <v>0</v>
      </c>
      <c r="H91" s="425" t="e">
        <f t="shared" si="21"/>
        <v>#DIV/0!</v>
      </c>
      <c r="I91" s="247">
        <v>112836</v>
      </c>
      <c r="J91" s="247">
        <v>0</v>
      </c>
      <c r="K91" s="425" t="e">
        <f t="shared" si="22"/>
        <v>#DIV/0!</v>
      </c>
      <c r="L91" s="247">
        <v>112836</v>
      </c>
      <c r="M91" s="247">
        <v>0</v>
      </c>
      <c r="N91" s="425" t="e">
        <f t="shared" si="23"/>
        <v>#DIV/0!</v>
      </c>
    </row>
    <row r="92" spans="1:14" ht="17.25" x14ac:dyDescent="0.25">
      <c r="A92" s="260">
        <v>13</v>
      </c>
      <c r="B92" s="544" t="s">
        <v>625</v>
      </c>
      <c r="C92" s="247">
        <v>98883</v>
      </c>
      <c r="D92" s="247">
        <v>70394</v>
      </c>
      <c r="E92" s="425">
        <f t="shared" si="20"/>
        <v>140.47077875955335</v>
      </c>
      <c r="F92" s="247">
        <v>16180</v>
      </c>
      <c r="G92" s="247">
        <v>35725</v>
      </c>
      <c r="H92" s="425">
        <f t="shared" si="21"/>
        <v>45.290412876137161</v>
      </c>
      <c r="I92" s="247">
        <v>98373</v>
      </c>
      <c r="J92" s="247">
        <v>60847</v>
      </c>
      <c r="K92" s="425">
        <f t="shared" si="22"/>
        <v>161.67272010123753</v>
      </c>
      <c r="L92" s="247">
        <v>23477</v>
      </c>
      <c r="M92" s="247">
        <v>10861</v>
      </c>
      <c r="N92" s="425">
        <f t="shared" si="23"/>
        <v>216.15873308166837</v>
      </c>
    </row>
    <row r="93" spans="1:14" x14ac:dyDescent="0.25">
      <c r="A93" s="538"/>
      <c r="B93" s="537"/>
    </row>
    <row r="94" spans="1:14" ht="17.25" x14ac:dyDescent="0.25">
      <c r="A94" s="1033" t="s">
        <v>738</v>
      </c>
      <c r="B94" s="1034"/>
      <c r="C94" s="450">
        <f>SUM(C95:C121)</f>
        <v>2620988</v>
      </c>
      <c r="D94" s="450">
        <f>SUM(D95:D121)</f>
        <v>1789473</v>
      </c>
      <c r="E94" s="453">
        <f>C94/D94*100</f>
        <v>146.46703247268889</v>
      </c>
      <c r="F94" s="450">
        <f>SUM(F95:F121)</f>
        <v>399990</v>
      </c>
      <c r="G94" s="450">
        <f>SUM(G95:G121)</f>
        <v>291755</v>
      </c>
      <c r="H94" s="453">
        <f>F94/G94*100</f>
        <v>137.09790749087418</v>
      </c>
      <c r="I94" s="450">
        <f>SUM(I95:I121)</f>
        <v>2778553</v>
      </c>
      <c r="J94" s="450">
        <f>SUM(J95:J121)</f>
        <v>1747778</v>
      </c>
      <c r="K94" s="453">
        <f>I94/J94*100</f>
        <v>158.97631163683258</v>
      </c>
      <c r="L94" s="450">
        <f>SUM(L95:L121)</f>
        <v>1806377</v>
      </c>
      <c r="M94" s="450">
        <f>SUM(M95:M121)</f>
        <v>818066</v>
      </c>
      <c r="N94" s="453">
        <f>L94/M94*100</f>
        <v>220.8106680879049</v>
      </c>
    </row>
    <row r="95" spans="1:14" ht="17.25" x14ac:dyDescent="0.25">
      <c r="A95" s="265">
        <v>1</v>
      </c>
      <c r="B95" s="544" t="s">
        <v>627</v>
      </c>
      <c r="C95" s="247">
        <v>354601</v>
      </c>
      <c r="D95" s="247">
        <v>196454</v>
      </c>
      <c r="E95" s="425">
        <f t="shared" ref="E95:E121" si="24">C95/D95*100</f>
        <v>180.50077880827064</v>
      </c>
      <c r="F95" s="247">
        <v>65003</v>
      </c>
      <c r="G95" s="247">
        <v>46662</v>
      </c>
      <c r="H95" s="425">
        <f t="shared" ref="H95:H121" si="25">F95/G95*100</f>
        <v>139.30607346448932</v>
      </c>
      <c r="I95" s="247">
        <v>343770</v>
      </c>
      <c r="J95" s="247">
        <v>183511</v>
      </c>
      <c r="K95" s="425">
        <f t="shared" ref="K95:K121" si="26">I95/J95*100</f>
        <v>187.32936990153181</v>
      </c>
      <c r="L95" s="247">
        <v>335844</v>
      </c>
      <c r="M95" s="247">
        <v>183491</v>
      </c>
      <c r="N95" s="425">
        <f t="shared" ref="N95:N121" si="27">L95/M95*100</f>
        <v>183.03023036552202</v>
      </c>
    </row>
    <row r="96" spans="1:14" ht="17.25" x14ac:dyDescent="0.25">
      <c r="A96" s="265">
        <v>2</v>
      </c>
      <c r="B96" s="544" t="s">
        <v>628</v>
      </c>
      <c r="C96" s="247">
        <v>0</v>
      </c>
      <c r="D96" s="247">
        <v>0</v>
      </c>
      <c r="E96" s="425" t="e">
        <f t="shared" si="24"/>
        <v>#DIV/0!</v>
      </c>
      <c r="F96" s="247">
        <v>0</v>
      </c>
      <c r="G96" s="247">
        <v>0</v>
      </c>
      <c r="H96" s="425" t="e">
        <f t="shared" si="25"/>
        <v>#DIV/0!</v>
      </c>
      <c r="I96" s="247">
        <v>0</v>
      </c>
      <c r="J96" s="247">
        <v>0</v>
      </c>
      <c r="K96" s="425" t="e">
        <f t="shared" si="26"/>
        <v>#DIV/0!</v>
      </c>
      <c r="L96" s="247">
        <v>0</v>
      </c>
      <c r="M96" s="247">
        <v>0</v>
      </c>
      <c r="N96" s="425" t="e">
        <f t="shared" si="27"/>
        <v>#DIV/0!</v>
      </c>
    </row>
    <row r="97" spans="1:15" ht="17.25" x14ac:dyDescent="0.25">
      <c r="A97" s="265">
        <v>3</v>
      </c>
      <c r="B97" s="544" t="s">
        <v>629</v>
      </c>
      <c r="C97" s="247">
        <v>0</v>
      </c>
      <c r="D97" s="247">
        <v>0</v>
      </c>
      <c r="E97" s="425" t="e">
        <f t="shared" si="24"/>
        <v>#DIV/0!</v>
      </c>
      <c r="F97" s="247">
        <v>0</v>
      </c>
      <c r="G97" s="247">
        <v>0</v>
      </c>
      <c r="H97" s="425" t="e">
        <f t="shared" si="25"/>
        <v>#DIV/0!</v>
      </c>
      <c r="I97" s="247">
        <v>0</v>
      </c>
      <c r="J97" s="247">
        <v>0</v>
      </c>
      <c r="K97" s="425" t="e">
        <f t="shared" si="26"/>
        <v>#DIV/0!</v>
      </c>
      <c r="L97" s="247">
        <v>0</v>
      </c>
      <c r="M97" s="247">
        <v>0</v>
      </c>
      <c r="N97" s="425" t="e">
        <f t="shared" si="27"/>
        <v>#DIV/0!</v>
      </c>
      <c r="O97" s="562"/>
    </row>
    <row r="98" spans="1:15" ht="17.25" x14ac:dyDescent="0.25">
      <c r="A98" s="265">
        <v>4</v>
      </c>
      <c r="B98" s="544" t="s">
        <v>630</v>
      </c>
      <c r="C98" s="247">
        <v>37698</v>
      </c>
      <c r="D98" s="247">
        <v>20625</v>
      </c>
      <c r="E98" s="425">
        <f t="shared" si="24"/>
        <v>182.77818181818182</v>
      </c>
      <c r="F98" s="247">
        <v>7029</v>
      </c>
      <c r="G98" s="247">
        <v>4400</v>
      </c>
      <c r="H98" s="425">
        <f t="shared" si="25"/>
        <v>159.75</v>
      </c>
      <c r="I98" s="247">
        <v>3524</v>
      </c>
      <c r="J98" s="247">
        <v>10503</v>
      </c>
      <c r="K98" s="425">
        <f t="shared" si="26"/>
        <v>33.552318385223266</v>
      </c>
      <c r="L98" s="247">
        <v>0</v>
      </c>
      <c r="M98" s="247">
        <v>0</v>
      </c>
      <c r="N98" s="425" t="e">
        <f t="shared" si="27"/>
        <v>#DIV/0!</v>
      </c>
    </row>
    <row r="99" spans="1:15" ht="17.25" x14ac:dyDescent="0.25">
      <c r="A99" s="265">
        <v>5</v>
      </c>
      <c r="B99" s="544" t="s">
        <v>631</v>
      </c>
      <c r="C99" s="247">
        <v>249214</v>
      </c>
      <c r="D99" s="247">
        <v>376332</v>
      </c>
      <c r="E99" s="425">
        <f t="shared" si="24"/>
        <v>66.221846667304391</v>
      </c>
      <c r="F99" s="247">
        <v>23107</v>
      </c>
      <c r="G99" s="247">
        <v>43028</v>
      </c>
      <c r="H99" s="425">
        <f t="shared" si="25"/>
        <v>53.702240401598957</v>
      </c>
      <c r="I99" s="247">
        <v>306880</v>
      </c>
      <c r="J99" s="247">
        <v>371503</v>
      </c>
      <c r="K99" s="425">
        <f t="shared" si="26"/>
        <v>82.604985693251464</v>
      </c>
      <c r="L99" s="247">
        <v>306880</v>
      </c>
      <c r="M99" s="247">
        <v>371503</v>
      </c>
      <c r="N99" s="425">
        <f t="shared" si="27"/>
        <v>82.604985693251464</v>
      </c>
    </row>
    <row r="100" spans="1:15" ht="17.25" x14ac:dyDescent="0.25">
      <c r="A100" s="265">
        <v>6</v>
      </c>
      <c r="B100" s="544" t="s">
        <v>632</v>
      </c>
      <c r="C100" s="247">
        <v>0</v>
      </c>
      <c r="D100" s="247">
        <v>0</v>
      </c>
      <c r="E100" s="425" t="e">
        <f t="shared" si="24"/>
        <v>#DIV/0!</v>
      </c>
      <c r="F100" s="247">
        <v>0</v>
      </c>
      <c r="G100" s="247">
        <v>0</v>
      </c>
      <c r="H100" s="425" t="e">
        <f t="shared" si="25"/>
        <v>#DIV/0!</v>
      </c>
      <c r="I100" s="247">
        <v>0</v>
      </c>
      <c r="J100" s="247">
        <v>0</v>
      </c>
      <c r="K100" s="425" t="e">
        <f t="shared" si="26"/>
        <v>#DIV/0!</v>
      </c>
      <c r="L100" s="247">
        <v>0</v>
      </c>
      <c r="M100" s="247">
        <v>0</v>
      </c>
      <c r="N100" s="425" t="e">
        <f t="shared" si="27"/>
        <v>#DIV/0!</v>
      </c>
    </row>
    <row r="101" spans="1:15" ht="17.25" x14ac:dyDescent="0.25">
      <c r="A101" s="265">
        <v>7</v>
      </c>
      <c r="B101" s="544" t="s">
        <v>633</v>
      </c>
      <c r="C101" s="247">
        <v>0</v>
      </c>
      <c r="D101" s="247">
        <v>0</v>
      </c>
      <c r="E101" s="425" t="e">
        <f t="shared" si="24"/>
        <v>#DIV/0!</v>
      </c>
      <c r="F101" s="247">
        <v>0</v>
      </c>
      <c r="G101" s="247">
        <v>0</v>
      </c>
      <c r="H101" s="425" t="e">
        <f t="shared" si="25"/>
        <v>#DIV/0!</v>
      </c>
      <c r="I101" s="247">
        <v>0</v>
      </c>
      <c r="J101" s="247">
        <v>0</v>
      </c>
      <c r="K101" s="425" t="e">
        <f t="shared" si="26"/>
        <v>#DIV/0!</v>
      </c>
      <c r="L101" s="247">
        <v>0</v>
      </c>
      <c r="M101" s="247">
        <v>0</v>
      </c>
      <c r="N101" s="425" t="e">
        <f t="shared" si="27"/>
        <v>#DIV/0!</v>
      </c>
    </row>
    <row r="102" spans="1:15" ht="17.25" x14ac:dyDescent="0.25">
      <c r="A102" s="265">
        <v>8</v>
      </c>
      <c r="B102" s="544" t="s">
        <v>634</v>
      </c>
      <c r="C102" s="247">
        <v>110150</v>
      </c>
      <c r="D102" s="247">
        <v>252810</v>
      </c>
      <c r="E102" s="425">
        <f t="shared" si="24"/>
        <v>43.570270163363787</v>
      </c>
      <c r="F102" s="247">
        <v>14134</v>
      </c>
      <c r="G102" s="247">
        <v>40883</v>
      </c>
      <c r="H102" s="425">
        <f t="shared" si="25"/>
        <v>34.571826920724995</v>
      </c>
      <c r="I102" s="247">
        <v>146318</v>
      </c>
      <c r="J102" s="247">
        <v>238040</v>
      </c>
      <c r="K102" s="425">
        <f t="shared" si="26"/>
        <v>61.467820534363973</v>
      </c>
      <c r="L102" s="247">
        <v>10196</v>
      </c>
      <c r="M102" s="247">
        <v>69157</v>
      </c>
      <c r="N102" s="425">
        <f t="shared" si="27"/>
        <v>14.743265323828393</v>
      </c>
    </row>
    <row r="103" spans="1:15" ht="17.25" x14ac:dyDescent="0.25">
      <c r="A103" s="265">
        <v>9</v>
      </c>
      <c r="B103" s="544" t="s">
        <v>635</v>
      </c>
      <c r="C103" s="247">
        <v>0</v>
      </c>
      <c r="D103" s="247">
        <v>0</v>
      </c>
      <c r="E103" s="425" t="e">
        <f t="shared" si="24"/>
        <v>#DIV/0!</v>
      </c>
      <c r="F103" s="247">
        <v>0</v>
      </c>
      <c r="G103" s="247">
        <v>0</v>
      </c>
      <c r="H103" s="425" t="e">
        <f t="shared" si="25"/>
        <v>#DIV/0!</v>
      </c>
      <c r="I103" s="247">
        <v>0</v>
      </c>
      <c r="J103" s="247">
        <v>0</v>
      </c>
      <c r="K103" s="425" t="e">
        <f t="shared" si="26"/>
        <v>#DIV/0!</v>
      </c>
      <c r="L103" s="247">
        <v>0</v>
      </c>
      <c r="M103" s="247">
        <v>0</v>
      </c>
      <c r="N103" s="425" t="e">
        <f t="shared" si="27"/>
        <v>#DIV/0!</v>
      </c>
    </row>
    <row r="104" spans="1:15" ht="17.25" x14ac:dyDescent="0.25">
      <c r="A104" s="265">
        <v>10</v>
      </c>
      <c r="B104" s="544" t="s">
        <v>636</v>
      </c>
      <c r="C104" s="247">
        <v>60558</v>
      </c>
      <c r="D104" s="247">
        <v>105063</v>
      </c>
      <c r="E104" s="425">
        <f t="shared" si="24"/>
        <v>57.63970189314982</v>
      </c>
      <c r="F104" s="247">
        <v>17799</v>
      </c>
      <c r="G104" s="247">
        <v>28830</v>
      </c>
      <c r="H104" s="425">
        <f t="shared" si="25"/>
        <v>61.737773152965659</v>
      </c>
      <c r="I104" s="247">
        <v>60558</v>
      </c>
      <c r="J104" s="247">
        <v>105063</v>
      </c>
      <c r="K104" s="425">
        <f t="shared" si="26"/>
        <v>57.63970189314982</v>
      </c>
      <c r="L104" s="247">
        <v>60558</v>
      </c>
      <c r="M104" s="247">
        <v>105063</v>
      </c>
      <c r="N104" s="425">
        <f t="shared" si="27"/>
        <v>57.63970189314982</v>
      </c>
    </row>
    <row r="105" spans="1:15" ht="17.25" x14ac:dyDescent="0.25">
      <c r="A105" s="265">
        <v>11</v>
      </c>
      <c r="B105" s="544" t="s">
        <v>637</v>
      </c>
      <c r="C105" s="247">
        <v>0</v>
      </c>
      <c r="D105" s="247">
        <v>0</v>
      </c>
      <c r="E105" s="425" t="e">
        <f t="shared" si="24"/>
        <v>#DIV/0!</v>
      </c>
      <c r="F105" s="247">
        <v>0</v>
      </c>
      <c r="G105" s="247">
        <v>0</v>
      </c>
      <c r="H105" s="425" t="e">
        <f t="shared" si="25"/>
        <v>#DIV/0!</v>
      </c>
      <c r="I105" s="247">
        <v>0</v>
      </c>
      <c r="J105" s="247">
        <v>0</v>
      </c>
      <c r="K105" s="425" t="e">
        <f t="shared" si="26"/>
        <v>#DIV/0!</v>
      </c>
      <c r="L105" s="247">
        <v>0</v>
      </c>
      <c r="M105" s="247">
        <v>0</v>
      </c>
      <c r="N105" s="425" t="e">
        <f t="shared" si="27"/>
        <v>#DIV/0!</v>
      </c>
    </row>
    <row r="106" spans="1:15" ht="17.25" x14ac:dyDescent="0.25">
      <c r="A106" s="265">
        <v>12</v>
      </c>
      <c r="B106" s="544" t="s">
        <v>638</v>
      </c>
      <c r="C106" s="247">
        <v>0</v>
      </c>
      <c r="D106" s="247">
        <v>46730</v>
      </c>
      <c r="E106" s="425">
        <f t="shared" si="24"/>
        <v>0</v>
      </c>
      <c r="F106" s="247">
        <v>0</v>
      </c>
      <c r="G106" s="247">
        <v>8500</v>
      </c>
      <c r="H106" s="425">
        <f t="shared" si="25"/>
        <v>0</v>
      </c>
      <c r="I106" s="247">
        <v>0</v>
      </c>
      <c r="J106" s="247">
        <v>42100</v>
      </c>
      <c r="K106" s="425">
        <f t="shared" si="26"/>
        <v>0</v>
      </c>
      <c r="L106" s="247">
        <v>0</v>
      </c>
      <c r="M106" s="247">
        <v>0</v>
      </c>
      <c r="N106" s="425" t="e">
        <f t="shared" si="27"/>
        <v>#DIV/0!</v>
      </c>
    </row>
    <row r="107" spans="1:15" ht="17.25" x14ac:dyDescent="0.25">
      <c r="A107" s="265">
        <v>13</v>
      </c>
      <c r="B107" s="544" t="s">
        <v>639</v>
      </c>
      <c r="C107" s="247">
        <v>33677</v>
      </c>
      <c r="D107" s="247">
        <v>12601</v>
      </c>
      <c r="E107" s="425">
        <f t="shared" si="24"/>
        <v>267.2565669391318</v>
      </c>
      <c r="F107" s="247">
        <v>12950</v>
      </c>
      <c r="G107" s="247">
        <v>2342</v>
      </c>
      <c r="H107" s="425">
        <f t="shared" si="25"/>
        <v>552.94619982920585</v>
      </c>
      <c r="I107" s="247">
        <v>35151</v>
      </c>
      <c r="J107" s="247">
        <v>9730</v>
      </c>
      <c r="K107" s="425">
        <f t="shared" si="26"/>
        <v>361.26413155190136</v>
      </c>
      <c r="L107" s="247">
        <v>33373</v>
      </c>
      <c r="M107" s="247">
        <v>1529</v>
      </c>
      <c r="N107" s="425">
        <f t="shared" si="27"/>
        <v>2182.6684107259648</v>
      </c>
    </row>
    <row r="108" spans="1:15" ht="17.25" x14ac:dyDescent="0.25">
      <c r="A108" s="265">
        <v>14</v>
      </c>
      <c r="B108" s="544" t="s">
        <v>640</v>
      </c>
      <c r="C108" s="247">
        <v>0</v>
      </c>
      <c r="D108" s="247">
        <v>0</v>
      </c>
      <c r="E108" s="425" t="e">
        <f t="shared" si="24"/>
        <v>#DIV/0!</v>
      </c>
      <c r="F108" s="247">
        <v>0</v>
      </c>
      <c r="G108" s="247">
        <v>0</v>
      </c>
      <c r="H108" s="425" t="e">
        <f t="shared" si="25"/>
        <v>#DIV/0!</v>
      </c>
      <c r="I108" s="247">
        <v>0</v>
      </c>
      <c r="J108" s="247">
        <v>0</v>
      </c>
      <c r="K108" s="425" t="e">
        <f t="shared" si="26"/>
        <v>#DIV/0!</v>
      </c>
      <c r="L108" s="247">
        <v>0</v>
      </c>
      <c r="M108" s="247">
        <v>0</v>
      </c>
      <c r="N108" s="425" t="e">
        <f t="shared" si="27"/>
        <v>#DIV/0!</v>
      </c>
    </row>
    <row r="109" spans="1:15" ht="17.25" x14ac:dyDescent="0.25">
      <c r="A109" s="265">
        <v>15</v>
      </c>
      <c r="B109" s="544" t="s">
        <v>641</v>
      </c>
      <c r="C109" s="247">
        <v>75387</v>
      </c>
      <c r="D109" s="247">
        <v>87323</v>
      </c>
      <c r="E109" s="425">
        <f t="shared" si="24"/>
        <v>86.331207127560887</v>
      </c>
      <c r="F109" s="247">
        <v>6583</v>
      </c>
      <c r="G109" s="247">
        <v>8680</v>
      </c>
      <c r="H109" s="425">
        <f t="shared" si="25"/>
        <v>75.841013824884797</v>
      </c>
      <c r="I109" s="247">
        <v>75387</v>
      </c>
      <c r="J109" s="247">
        <v>87323</v>
      </c>
      <c r="K109" s="425">
        <f t="shared" si="26"/>
        <v>86.331207127560887</v>
      </c>
      <c r="L109" s="247">
        <v>75387</v>
      </c>
      <c r="M109" s="247">
        <v>87323</v>
      </c>
      <c r="N109" s="425">
        <f t="shared" si="27"/>
        <v>86.331207127560887</v>
      </c>
    </row>
    <row r="110" spans="1:15" ht="17.25" x14ac:dyDescent="0.25">
      <c r="A110" s="265">
        <v>16</v>
      </c>
      <c r="B110" s="544" t="s">
        <v>642</v>
      </c>
      <c r="C110" s="247">
        <v>118841</v>
      </c>
      <c r="D110" s="247">
        <v>141274</v>
      </c>
      <c r="E110" s="425">
        <f t="shared" si="24"/>
        <v>84.120928125486643</v>
      </c>
      <c r="F110" s="247">
        <v>13015</v>
      </c>
      <c r="G110" s="247">
        <v>18256</v>
      </c>
      <c r="H110" s="425">
        <f t="shared" si="25"/>
        <v>71.291630148992112</v>
      </c>
      <c r="I110" s="247">
        <v>114997</v>
      </c>
      <c r="J110" s="247">
        <v>140418</v>
      </c>
      <c r="K110" s="425">
        <f t="shared" si="26"/>
        <v>81.89619564443305</v>
      </c>
      <c r="L110" s="247">
        <v>0</v>
      </c>
      <c r="M110" s="247">
        <v>0</v>
      </c>
      <c r="N110" s="425" t="e">
        <f t="shared" si="27"/>
        <v>#DIV/0!</v>
      </c>
    </row>
    <row r="111" spans="1:15" ht="17.25" x14ac:dyDescent="0.25">
      <c r="A111" s="265">
        <v>17</v>
      </c>
      <c r="B111" s="544" t="s">
        <v>643</v>
      </c>
      <c r="C111" s="247">
        <v>350083</v>
      </c>
      <c r="D111" s="247">
        <v>347860</v>
      </c>
      <c r="E111" s="425">
        <f t="shared" si="24"/>
        <v>100.63905019260622</v>
      </c>
      <c r="F111" s="247">
        <v>63100</v>
      </c>
      <c r="G111" s="247">
        <v>62920</v>
      </c>
      <c r="H111" s="425">
        <f t="shared" si="25"/>
        <v>100.28607755880483</v>
      </c>
      <c r="I111" s="247">
        <v>412885</v>
      </c>
      <c r="J111" s="247">
        <v>287575</v>
      </c>
      <c r="K111" s="425">
        <f t="shared" si="26"/>
        <v>143.57471963835522</v>
      </c>
      <c r="L111" s="247">
        <v>0</v>
      </c>
      <c r="M111" s="247">
        <v>0</v>
      </c>
      <c r="N111" s="425" t="e">
        <f t="shared" si="27"/>
        <v>#DIV/0!</v>
      </c>
    </row>
    <row r="112" spans="1:15" ht="17.25" x14ac:dyDescent="0.25">
      <c r="A112" s="265">
        <v>18</v>
      </c>
      <c r="B112" s="544" t="s">
        <v>644</v>
      </c>
      <c r="C112" s="247">
        <v>984139</v>
      </c>
      <c r="D112" s="247">
        <v>0</v>
      </c>
      <c r="E112" s="425" t="e">
        <f t="shared" si="24"/>
        <v>#DIV/0!</v>
      </c>
      <c r="F112" s="247">
        <v>133589</v>
      </c>
      <c r="G112" s="247">
        <v>0</v>
      </c>
      <c r="H112" s="425" t="e">
        <f t="shared" si="25"/>
        <v>#DIV/0!</v>
      </c>
      <c r="I112" s="247">
        <v>984139</v>
      </c>
      <c r="J112" s="247">
        <v>0</v>
      </c>
      <c r="K112" s="425" t="e">
        <f t="shared" si="26"/>
        <v>#DIV/0!</v>
      </c>
      <c r="L112" s="247">
        <v>984139</v>
      </c>
      <c r="M112" s="247">
        <v>0</v>
      </c>
      <c r="N112" s="425" t="e">
        <f t="shared" si="27"/>
        <v>#DIV/0!</v>
      </c>
    </row>
    <row r="113" spans="1:14" ht="17.25" x14ac:dyDescent="0.25">
      <c r="A113" s="265">
        <v>19</v>
      </c>
      <c r="B113" s="544" t="s">
        <v>645</v>
      </c>
      <c r="C113" s="247">
        <v>0</v>
      </c>
      <c r="D113" s="247">
        <v>0</v>
      </c>
      <c r="E113" s="425" t="e">
        <f t="shared" si="24"/>
        <v>#DIV/0!</v>
      </c>
      <c r="F113" s="247">
        <v>0</v>
      </c>
      <c r="G113" s="247">
        <v>0</v>
      </c>
      <c r="H113" s="425" t="e">
        <f t="shared" si="25"/>
        <v>#DIV/0!</v>
      </c>
      <c r="I113" s="247">
        <v>0</v>
      </c>
      <c r="J113" s="247">
        <v>0</v>
      </c>
      <c r="K113" s="425" t="e">
        <f t="shared" si="26"/>
        <v>#DIV/0!</v>
      </c>
      <c r="L113" s="247">
        <v>0</v>
      </c>
      <c r="M113" s="247">
        <v>0</v>
      </c>
      <c r="N113" s="425" t="e">
        <f t="shared" si="27"/>
        <v>#DIV/0!</v>
      </c>
    </row>
    <row r="114" spans="1:14" ht="17.25" x14ac:dyDescent="0.25">
      <c r="A114" s="265">
        <v>20</v>
      </c>
      <c r="B114" s="544" t="s">
        <v>646</v>
      </c>
      <c r="C114" s="247">
        <v>0</v>
      </c>
      <c r="D114" s="247">
        <v>0</v>
      </c>
      <c r="E114" s="425" t="e">
        <f t="shared" si="24"/>
        <v>#DIV/0!</v>
      </c>
      <c r="F114" s="247">
        <v>0</v>
      </c>
      <c r="G114" s="247">
        <v>0</v>
      </c>
      <c r="H114" s="425" t="e">
        <f t="shared" si="25"/>
        <v>#DIV/0!</v>
      </c>
      <c r="I114" s="247">
        <v>0</v>
      </c>
      <c r="J114" s="247">
        <v>0</v>
      </c>
      <c r="K114" s="425" t="e">
        <f t="shared" si="26"/>
        <v>#DIV/0!</v>
      </c>
      <c r="L114" s="247">
        <v>0</v>
      </c>
      <c r="M114" s="247">
        <v>0</v>
      </c>
      <c r="N114" s="425" t="e">
        <f t="shared" si="27"/>
        <v>#DIV/0!</v>
      </c>
    </row>
    <row r="115" spans="1:14" ht="17.25" x14ac:dyDescent="0.25">
      <c r="A115" s="265">
        <v>21</v>
      </c>
      <c r="B115" s="544" t="s">
        <v>647</v>
      </c>
      <c r="C115" s="247">
        <v>0</v>
      </c>
      <c r="D115" s="247">
        <v>0</v>
      </c>
      <c r="E115" s="425" t="e">
        <f t="shared" si="24"/>
        <v>#DIV/0!</v>
      </c>
      <c r="F115" s="247">
        <v>0</v>
      </c>
      <c r="G115" s="247">
        <v>0</v>
      </c>
      <c r="H115" s="425" t="e">
        <f t="shared" si="25"/>
        <v>#DIV/0!</v>
      </c>
      <c r="I115" s="247">
        <v>0</v>
      </c>
      <c r="J115" s="247">
        <v>0</v>
      </c>
      <c r="K115" s="425" t="e">
        <f t="shared" si="26"/>
        <v>#DIV/0!</v>
      </c>
      <c r="L115" s="247">
        <v>0</v>
      </c>
      <c r="M115" s="247">
        <v>0</v>
      </c>
      <c r="N115" s="425" t="e">
        <f t="shared" si="27"/>
        <v>#DIV/0!</v>
      </c>
    </row>
    <row r="116" spans="1:14" ht="17.25" x14ac:dyDescent="0.25">
      <c r="A116" s="265">
        <v>22</v>
      </c>
      <c r="B116" s="544" t="s">
        <v>648</v>
      </c>
      <c r="C116" s="247">
        <v>15890</v>
      </c>
      <c r="D116" s="247">
        <v>14570</v>
      </c>
      <c r="E116" s="425">
        <f t="shared" si="24"/>
        <v>109.05971173644475</v>
      </c>
      <c r="F116" s="247">
        <v>0</v>
      </c>
      <c r="G116" s="247">
        <v>0</v>
      </c>
      <c r="H116" s="425" t="e">
        <f t="shared" si="25"/>
        <v>#DIV/0!</v>
      </c>
      <c r="I116" s="247">
        <v>23144</v>
      </c>
      <c r="J116" s="247">
        <v>25372</v>
      </c>
      <c r="K116" s="425">
        <f t="shared" si="26"/>
        <v>91.218666246255722</v>
      </c>
      <c r="L116" s="247">
        <v>0</v>
      </c>
      <c r="M116" s="247">
        <v>0</v>
      </c>
      <c r="N116" s="425" t="e">
        <f t="shared" si="27"/>
        <v>#DIV/0!</v>
      </c>
    </row>
    <row r="117" spans="1:14" ht="17.25" x14ac:dyDescent="0.25">
      <c r="A117" s="265">
        <v>23</v>
      </c>
      <c r="B117" s="544" t="s">
        <v>649</v>
      </c>
      <c r="C117" s="247">
        <v>89103</v>
      </c>
      <c r="D117" s="247">
        <v>75261</v>
      </c>
      <c r="E117" s="425">
        <f t="shared" si="24"/>
        <v>118.3919958544266</v>
      </c>
      <c r="F117" s="247">
        <v>17198</v>
      </c>
      <c r="G117" s="247">
        <v>11014</v>
      </c>
      <c r="H117" s="425">
        <f t="shared" si="25"/>
        <v>156.14672235336843</v>
      </c>
      <c r="I117" s="247">
        <v>89975</v>
      </c>
      <c r="J117" s="247">
        <v>75902</v>
      </c>
      <c r="K117" s="425">
        <f t="shared" si="26"/>
        <v>118.54101341203129</v>
      </c>
      <c r="L117" s="247">
        <v>0</v>
      </c>
      <c r="M117" s="247">
        <v>0</v>
      </c>
      <c r="N117" s="425" t="e">
        <f t="shared" si="27"/>
        <v>#DIV/0!</v>
      </c>
    </row>
    <row r="118" spans="1:14" ht="17.25" x14ac:dyDescent="0.25">
      <c r="A118" s="265">
        <v>24</v>
      </c>
      <c r="B118" s="544" t="s">
        <v>650</v>
      </c>
      <c r="C118" s="247">
        <v>42775</v>
      </c>
      <c r="D118" s="247">
        <v>32654</v>
      </c>
      <c r="E118" s="425">
        <f t="shared" si="24"/>
        <v>130.99467140319717</v>
      </c>
      <c r="F118" s="247">
        <v>5016</v>
      </c>
      <c r="G118" s="247">
        <v>3434</v>
      </c>
      <c r="H118" s="425">
        <f t="shared" si="25"/>
        <v>146.06872451951079</v>
      </c>
      <c r="I118" s="247">
        <v>86501</v>
      </c>
      <c r="J118" s="247">
        <v>82337</v>
      </c>
      <c r="K118" s="425">
        <f t="shared" si="26"/>
        <v>105.05726465622989</v>
      </c>
      <c r="L118" s="247">
        <v>0</v>
      </c>
      <c r="M118" s="247">
        <v>0</v>
      </c>
      <c r="N118" s="425" t="e">
        <f t="shared" si="27"/>
        <v>#DIV/0!</v>
      </c>
    </row>
    <row r="119" spans="1:14" ht="17.25" x14ac:dyDescent="0.25">
      <c r="A119" s="265">
        <v>25</v>
      </c>
      <c r="B119" s="544" t="s">
        <v>651</v>
      </c>
      <c r="C119" s="247">
        <v>16933</v>
      </c>
      <c r="D119" s="247">
        <v>25122</v>
      </c>
      <c r="E119" s="425">
        <f t="shared" si="24"/>
        <v>67.403073003741738</v>
      </c>
      <c r="F119" s="247">
        <v>3276</v>
      </c>
      <c r="G119" s="247">
        <v>2438</v>
      </c>
      <c r="H119" s="425">
        <f t="shared" si="25"/>
        <v>134.37243642329778</v>
      </c>
      <c r="I119" s="247">
        <v>17024</v>
      </c>
      <c r="J119" s="247">
        <v>25663</v>
      </c>
      <c r="K119" s="425">
        <f t="shared" si="26"/>
        <v>66.336749405759264</v>
      </c>
      <c r="L119" s="247">
        <v>0</v>
      </c>
      <c r="M119" s="247">
        <v>0</v>
      </c>
      <c r="N119" s="425" t="e">
        <f t="shared" si="27"/>
        <v>#DIV/0!</v>
      </c>
    </row>
    <row r="120" spans="1:14" ht="17.25" x14ac:dyDescent="0.25">
      <c r="A120" s="265">
        <v>26</v>
      </c>
      <c r="B120" s="544" t="s">
        <v>228</v>
      </c>
      <c r="C120" s="247">
        <v>23633</v>
      </c>
      <c r="D120" s="247">
        <v>10291</v>
      </c>
      <c r="E120" s="425">
        <f t="shared" si="24"/>
        <v>229.64726460013605</v>
      </c>
      <c r="F120" s="247">
        <v>6382</v>
      </c>
      <c r="G120" s="247">
        <v>2554</v>
      </c>
      <c r="H120" s="425">
        <f t="shared" si="25"/>
        <v>249.88253719655441</v>
      </c>
      <c r="I120" s="247">
        <v>19994</v>
      </c>
      <c r="J120" s="247">
        <v>18235</v>
      </c>
      <c r="K120" s="425">
        <f t="shared" si="26"/>
        <v>109.64628461749383</v>
      </c>
      <c r="L120" s="247">
        <v>0</v>
      </c>
      <c r="M120" s="247">
        <v>0</v>
      </c>
      <c r="N120" s="425" t="e">
        <f t="shared" si="27"/>
        <v>#DIV/0!</v>
      </c>
    </row>
    <row r="121" spans="1:14" s="563" customFormat="1" ht="17.25" x14ac:dyDescent="0.25">
      <c r="A121" s="265">
        <v>27</v>
      </c>
      <c r="B121" s="544" t="s">
        <v>238</v>
      </c>
      <c r="C121" s="247">
        <v>58306</v>
      </c>
      <c r="D121" s="247">
        <v>44503</v>
      </c>
      <c r="E121" s="425">
        <f t="shared" si="24"/>
        <v>131.01588656944477</v>
      </c>
      <c r="F121" s="247">
        <v>11809</v>
      </c>
      <c r="G121" s="247">
        <v>7814</v>
      </c>
      <c r="H121" s="425">
        <f t="shared" si="25"/>
        <v>151.12618377271562</v>
      </c>
      <c r="I121" s="247">
        <v>58306</v>
      </c>
      <c r="J121" s="247">
        <v>44503</v>
      </c>
      <c r="K121" s="425">
        <f t="shared" si="26"/>
        <v>131.01588656944477</v>
      </c>
      <c r="L121" s="247">
        <v>0</v>
      </c>
      <c r="M121" s="247">
        <v>0</v>
      </c>
      <c r="N121" s="425" t="e">
        <f t="shared" si="27"/>
        <v>#DIV/0!</v>
      </c>
    </row>
    <row r="123" spans="1:14" ht="17.25" x14ac:dyDescent="0.25">
      <c r="A123" s="353"/>
      <c r="B123" s="554" t="s">
        <v>360</v>
      </c>
      <c r="C123" s="463">
        <f>SUM(C124:C129)</f>
        <v>84722</v>
      </c>
      <c r="D123" s="454">
        <f>SUM(D124:D129)</f>
        <v>108727</v>
      </c>
      <c r="E123" s="453">
        <f>C123/D123*100</f>
        <v>77.921767362292712</v>
      </c>
      <c r="F123" s="454">
        <f>SUM(F124:F129)</f>
        <v>11519</v>
      </c>
      <c r="G123" s="454">
        <f>SUM(G124:G129)</f>
        <v>17315</v>
      </c>
      <c r="H123" s="453">
        <f>F123/G123*100</f>
        <v>66.526133410337863</v>
      </c>
      <c r="I123" s="454">
        <f>SUM(I124:I129)</f>
        <v>88861</v>
      </c>
      <c r="J123" s="454">
        <f>SUM(J124:J129)</f>
        <v>69003</v>
      </c>
      <c r="K123" s="453">
        <f>I123/J123*100</f>
        <v>128.77845890758374</v>
      </c>
      <c r="L123" s="454">
        <f>SUM(L124:L129)</f>
        <v>45881</v>
      </c>
      <c r="M123" s="454">
        <f>SUM(M124:M129)</f>
        <v>0</v>
      </c>
      <c r="N123" s="453" t="e">
        <f>L123/M123*100</f>
        <v>#DIV/0!</v>
      </c>
    </row>
    <row r="124" spans="1:14" ht="17.25" x14ac:dyDescent="0.25">
      <c r="A124" s="252">
        <v>1</v>
      </c>
      <c r="B124" s="544" t="s">
        <v>652</v>
      </c>
      <c r="C124" s="247">
        <v>54922</v>
      </c>
      <c r="D124" s="247">
        <v>86821</v>
      </c>
      <c r="E124" s="425">
        <f t="shared" ref="E124:E129" si="28">C124/D124*100</f>
        <v>63.258888978472946</v>
      </c>
      <c r="F124" s="247">
        <v>10645</v>
      </c>
      <c r="G124" s="247">
        <v>12487</v>
      </c>
      <c r="H124" s="425">
        <f t="shared" ref="H124:H129" si="29">F124/G124*100</f>
        <v>85.248658604949142</v>
      </c>
      <c r="I124" s="247">
        <v>54156</v>
      </c>
      <c r="J124" s="247">
        <v>43438</v>
      </c>
      <c r="K124" s="425">
        <f t="shared" ref="K124:K129" si="30">I124/J124*100</f>
        <v>124.67424835397578</v>
      </c>
      <c r="L124" s="247">
        <v>35615</v>
      </c>
      <c r="M124" s="247">
        <v>0</v>
      </c>
      <c r="N124" s="453" t="e">
        <f t="shared" ref="N124:N129" si="31">L124/M124*100</f>
        <v>#DIV/0!</v>
      </c>
    </row>
    <row r="125" spans="1:14" ht="17.25" x14ac:dyDescent="0.25">
      <c r="A125" s="252">
        <v>2</v>
      </c>
      <c r="B125" s="544" t="s">
        <v>653</v>
      </c>
      <c r="C125" s="247">
        <v>0</v>
      </c>
      <c r="D125" s="247">
        <v>0</v>
      </c>
      <c r="E125" s="425" t="e">
        <f t="shared" si="28"/>
        <v>#DIV/0!</v>
      </c>
      <c r="F125" s="247">
        <v>0</v>
      </c>
      <c r="G125" s="247">
        <v>0</v>
      </c>
      <c r="H125" s="425" t="e">
        <f t="shared" si="29"/>
        <v>#DIV/0!</v>
      </c>
      <c r="I125" s="247">
        <v>0</v>
      </c>
      <c r="J125" s="247">
        <v>0</v>
      </c>
      <c r="K125" s="425" t="e">
        <f t="shared" si="30"/>
        <v>#DIV/0!</v>
      </c>
      <c r="L125" s="247">
        <v>0</v>
      </c>
      <c r="M125" s="247">
        <v>0</v>
      </c>
      <c r="N125" s="453" t="e">
        <f t="shared" si="31"/>
        <v>#DIV/0!</v>
      </c>
    </row>
    <row r="126" spans="1:14" ht="17.25" x14ac:dyDescent="0.25">
      <c r="A126" s="252">
        <v>3</v>
      </c>
      <c r="B126" s="544" t="s">
        <v>654</v>
      </c>
      <c r="C126" s="247">
        <v>0</v>
      </c>
      <c r="D126" s="247">
        <v>0</v>
      </c>
      <c r="E126" s="425" t="e">
        <f t="shared" si="28"/>
        <v>#DIV/0!</v>
      </c>
      <c r="F126" s="247">
        <v>0</v>
      </c>
      <c r="G126" s="247">
        <v>0</v>
      </c>
      <c r="H126" s="425" t="e">
        <f t="shared" si="29"/>
        <v>#DIV/0!</v>
      </c>
      <c r="I126" s="247">
        <v>0</v>
      </c>
      <c r="J126" s="247">
        <v>0</v>
      </c>
      <c r="K126" s="425" t="e">
        <f t="shared" si="30"/>
        <v>#DIV/0!</v>
      </c>
      <c r="L126" s="247">
        <v>0</v>
      </c>
      <c r="M126" s="247">
        <v>0</v>
      </c>
      <c r="N126" s="453" t="e">
        <f t="shared" si="31"/>
        <v>#DIV/0!</v>
      </c>
    </row>
    <row r="127" spans="1:14" ht="17.25" x14ac:dyDescent="0.25">
      <c r="A127" s="252">
        <v>4</v>
      </c>
      <c r="B127" s="544" t="s">
        <v>655</v>
      </c>
      <c r="C127" s="247">
        <v>3250</v>
      </c>
      <c r="D127" s="247">
        <v>1050</v>
      </c>
      <c r="E127" s="425">
        <f t="shared" si="28"/>
        <v>309.52380952380952</v>
      </c>
      <c r="F127" s="247">
        <v>0</v>
      </c>
      <c r="G127" s="247">
        <v>0</v>
      </c>
      <c r="H127" s="425" t="e">
        <f t="shared" si="29"/>
        <v>#DIV/0!</v>
      </c>
      <c r="I127" s="247">
        <v>8155</v>
      </c>
      <c r="J127" s="247">
        <v>4709</v>
      </c>
      <c r="K127" s="425">
        <f t="shared" si="30"/>
        <v>173.17901889997876</v>
      </c>
      <c r="L127" s="247">
        <v>0</v>
      </c>
      <c r="M127" s="247">
        <v>0</v>
      </c>
      <c r="N127" s="453" t="e">
        <f t="shared" si="31"/>
        <v>#DIV/0!</v>
      </c>
    </row>
    <row r="128" spans="1:14" ht="17.25" x14ac:dyDescent="0.25">
      <c r="A128" s="252">
        <v>5</v>
      </c>
      <c r="B128" s="544" t="s">
        <v>656</v>
      </c>
      <c r="C128" s="247">
        <v>0</v>
      </c>
      <c r="D128" s="247">
        <v>0</v>
      </c>
      <c r="E128" s="425" t="e">
        <f t="shared" si="28"/>
        <v>#DIV/0!</v>
      </c>
      <c r="F128" s="247">
        <v>0</v>
      </c>
      <c r="G128" s="247">
        <v>0</v>
      </c>
      <c r="H128" s="425" t="e">
        <f t="shared" si="29"/>
        <v>#DIV/0!</v>
      </c>
      <c r="I128" s="247">
        <v>0</v>
      </c>
      <c r="J128" s="247">
        <v>0</v>
      </c>
      <c r="K128" s="425" t="e">
        <f t="shared" si="30"/>
        <v>#DIV/0!</v>
      </c>
      <c r="L128" s="247">
        <v>0</v>
      </c>
      <c r="M128" s="247">
        <v>0</v>
      </c>
      <c r="N128" s="453" t="e">
        <f t="shared" si="31"/>
        <v>#DIV/0!</v>
      </c>
    </row>
    <row r="129" spans="1:14" ht="17.25" x14ac:dyDescent="0.25">
      <c r="A129" s="252">
        <v>6</v>
      </c>
      <c r="B129" s="544" t="s">
        <v>657</v>
      </c>
      <c r="C129" s="247">
        <v>26550</v>
      </c>
      <c r="D129" s="247">
        <v>20856</v>
      </c>
      <c r="E129" s="425">
        <f t="shared" si="28"/>
        <v>127.30149597238206</v>
      </c>
      <c r="F129" s="247">
        <v>874</v>
      </c>
      <c r="G129" s="247">
        <v>4828</v>
      </c>
      <c r="H129" s="425">
        <f t="shared" si="29"/>
        <v>18.102734051367026</v>
      </c>
      <c r="I129" s="247">
        <v>26550</v>
      </c>
      <c r="J129" s="247">
        <v>20856</v>
      </c>
      <c r="K129" s="425">
        <f t="shared" si="30"/>
        <v>127.30149597238206</v>
      </c>
      <c r="L129" s="247">
        <v>10266</v>
      </c>
      <c r="M129" s="247">
        <v>0</v>
      </c>
      <c r="N129" s="453" t="e">
        <f t="shared" si="31"/>
        <v>#DIV/0!</v>
      </c>
    </row>
    <row r="130" spans="1:14" x14ac:dyDescent="0.25">
      <c r="A130" s="564"/>
      <c r="B130" s="565"/>
      <c r="C130" s="445"/>
      <c r="D130" s="445"/>
      <c r="E130" s="439"/>
      <c r="F130" s="445"/>
      <c r="G130" s="445"/>
      <c r="H130" s="439"/>
      <c r="I130" s="445"/>
      <c r="J130" s="445"/>
      <c r="K130" s="439"/>
      <c r="L130" s="445"/>
      <c r="M130" s="445"/>
      <c r="N130" s="439"/>
    </row>
    <row r="131" spans="1:14" s="363" customFormat="1" ht="35.25" customHeight="1" x14ac:dyDescent="0.25">
      <c r="A131" s="1043" t="s">
        <v>737</v>
      </c>
      <c r="B131" s="1044" t="s">
        <v>78</v>
      </c>
      <c r="C131" s="345">
        <f>C132+C142</f>
        <v>197578624</v>
      </c>
      <c r="D131" s="345">
        <f>D132+D142</f>
        <v>198443667</v>
      </c>
      <c r="E131" s="467">
        <f>C131/D131*100</f>
        <v>99.564086366132315</v>
      </c>
      <c r="F131" s="345">
        <f>F132+F142</f>
        <v>29581788</v>
      </c>
      <c r="G131" s="345">
        <f>G132+G142</f>
        <v>27166391</v>
      </c>
      <c r="H131" s="467">
        <f>F131/G131*100</f>
        <v>108.89112212218399</v>
      </c>
      <c r="I131" s="345">
        <f>I132+I142</f>
        <v>196023012</v>
      </c>
      <c r="J131" s="345">
        <f>J132+J142</f>
        <v>188580014</v>
      </c>
      <c r="K131" s="467">
        <f>I131/J131*100</f>
        <v>103.94686469797378</v>
      </c>
      <c r="L131" s="345">
        <f>L132+L142</f>
        <v>157506814</v>
      </c>
      <c r="M131" s="345">
        <f>M132+M142</f>
        <v>148243786</v>
      </c>
      <c r="N131" s="467">
        <f>L131/M131*100</f>
        <v>106.24851013991237</v>
      </c>
    </row>
    <row r="132" spans="1:14" ht="39.75" customHeight="1" x14ac:dyDescent="0.25">
      <c r="A132" s="1033" t="s">
        <v>365</v>
      </c>
      <c r="B132" s="1034" t="s">
        <v>135</v>
      </c>
      <c r="C132" s="254">
        <f>SUM(C133:C140)</f>
        <v>101881983</v>
      </c>
      <c r="D132" s="254">
        <f>SUM(D133:D140)</f>
        <v>102682529</v>
      </c>
      <c r="E132" s="451">
        <f>C132/D132*100</f>
        <v>99.220367858294566</v>
      </c>
      <c r="F132" s="254">
        <f>SUM(F133:F140)</f>
        <v>14816848</v>
      </c>
      <c r="G132" s="254">
        <f>SUM(G133:G140)</f>
        <v>15349539</v>
      </c>
      <c r="H132" s="451">
        <f>F132/G132*100</f>
        <v>96.529596100573443</v>
      </c>
      <c r="I132" s="254">
        <f>SUM(I133:I140)</f>
        <v>97993976</v>
      </c>
      <c r="J132" s="254">
        <f>SUM(J133:J140)</f>
        <v>94904202</v>
      </c>
      <c r="K132" s="451">
        <f>I132/J132*100</f>
        <v>103.25567670860347</v>
      </c>
      <c r="L132" s="254">
        <f>SUM(L133:L140)</f>
        <v>66488219</v>
      </c>
      <c r="M132" s="254">
        <f>SUM(M133:M140)</f>
        <v>59339366</v>
      </c>
      <c r="N132" s="451">
        <f>L132/M132*100</f>
        <v>112.04740374206223</v>
      </c>
    </row>
    <row r="133" spans="1:14" ht="17.25" x14ac:dyDescent="0.25">
      <c r="A133" s="272">
        <v>1</v>
      </c>
      <c r="B133" s="544" t="s">
        <v>658</v>
      </c>
      <c r="C133" s="247">
        <v>71490528</v>
      </c>
      <c r="D133" s="247">
        <v>67621043</v>
      </c>
      <c r="E133" s="425">
        <f t="shared" ref="E133:E140" si="32">C133/D133*100</f>
        <v>105.72230895639987</v>
      </c>
      <c r="F133" s="247">
        <v>10919664</v>
      </c>
      <c r="G133" s="247">
        <v>10557485</v>
      </c>
      <c r="H133" s="425">
        <f t="shared" ref="H133:H140" si="33">F133/G133*100</f>
        <v>103.43054240664324</v>
      </c>
      <c r="I133" s="247">
        <v>70760378</v>
      </c>
      <c r="J133" s="247">
        <v>66733427</v>
      </c>
      <c r="K133" s="425">
        <f t="shared" ref="K133:K140" si="34">I133/J133*100</f>
        <v>106.03438363805293</v>
      </c>
      <c r="L133" s="247">
        <v>39439215</v>
      </c>
      <c r="M133" s="247">
        <v>31397424</v>
      </c>
      <c r="N133" s="425">
        <f t="shared" ref="N133:N140" si="35">L133/M133*100</f>
        <v>125.61290059974345</v>
      </c>
    </row>
    <row r="134" spans="1:14" ht="17.25" x14ac:dyDescent="0.25">
      <c r="A134" s="272">
        <v>2</v>
      </c>
      <c r="B134" s="544" t="s">
        <v>659</v>
      </c>
      <c r="C134" s="247">
        <v>15754220</v>
      </c>
      <c r="D134" s="247">
        <v>14711686</v>
      </c>
      <c r="E134" s="425">
        <f t="shared" si="32"/>
        <v>107.08643455277662</v>
      </c>
      <c r="F134" s="247">
        <v>2329332</v>
      </c>
      <c r="G134" s="247">
        <v>2262809</v>
      </c>
      <c r="H134" s="425">
        <f t="shared" si="33"/>
        <v>102.93984158627619</v>
      </c>
      <c r="I134" s="247">
        <v>12978516</v>
      </c>
      <c r="J134" s="247">
        <v>11341021</v>
      </c>
      <c r="K134" s="425">
        <f t="shared" si="34"/>
        <v>114.43869119014947</v>
      </c>
      <c r="L134" s="247">
        <v>12978516</v>
      </c>
      <c r="M134" s="247">
        <v>11341021</v>
      </c>
      <c r="N134" s="425">
        <f t="shared" si="35"/>
        <v>114.43869119014947</v>
      </c>
    </row>
    <row r="135" spans="1:14" ht="34.5" x14ac:dyDescent="0.25">
      <c r="A135" s="272">
        <v>3</v>
      </c>
      <c r="B135" s="544" t="s">
        <v>660</v>
      </c>
      <c r="C135" s="247">
        <v>9045569</v>
      </c>
      <c r="D135" s="247">
        <v>14290420</v>
      </c>
      <c r="E135" s="425">
        <f t="shared" si="32"/>
        <v>63.298132595123171</v>
      </c>
      <c r="F135" s="247">
        <v>915481</v>
      </c>
      <c r="G135" s="247">
        <v>1364341</v>
      </c>
      <c r="H135" s="425">
        <f t="shared" si="33"/>
        <v>67.100600216514778</v>
      </c>
      <c r="I135" s="247">
        <v>9191814</v>
      </c>
      <c r="J135" s="247">
        <v>11292913</v>
      </c>
      <c r="K135" s="425">
        <f t="shared" si="34"/>
        <v>81.394534784780504</v>
      </c>
      <c r="L135" s="247">
        <v>9191814</v>
      </c>
      <c r="M135" s="247">
        <v>11292913</v>
      </c>
      <c r="N135" s="425">
        <f t="shared" si="35"/>
        <v>81.394534784780504</v>
      </c>
    </row>
    <row r="136" spans="1:14" ht="17.25" x14ac:dyDescent="0.25">
      <c r="A136" s="272">
        <v>4</v>
      </c>
      <c r="B136" s="544" t="s">
        <v>661</v>
      </c>
      <c r="C136" s="247">
        <v>3814311</v>
      </c>
      <c r="D136" s="247">
        <v>2987969</v>
      </c>
      <c r="E136" s="425">
        <f t="shared" si="32"/>
        <v>127.6556416749973</v>
      </c>
      <c r="F136" s="247">
        <v>514846</v>
      </c>
      <c r="G136" s="247">
        <v>494108</v>
      </c>
      <c r="H136" s="425">
        <f t="shared" si="33"/>
        <v>104.19705813303975</v>
      </c>
      <c r="I136" s="247">
        <v>3498791</v>
      </c>
      <c r="J136" s="247">
        <v>3066468</v>
      </c>
      <c r="K136" s="425">
        <f t="shared" si="34"/>
        <v>114.09840246172469</v>
      </c>
      <c r="L136" s="247">
        <v>3498791</v>
      </c>
      <c r="M136" s="247">
        <v>3066468</v>
      </c>
      <c r="N136" s="425">
        <f t="shared" si="35"/>
        <v>114.09840246172469</v>
      </c>
    </row>
    <row r="137" spans="1:14" ht="17.25" x14ac:dyDescent="0.25">
      <c r="A137" s="272">
        <v>5</v>
      </c>
      <c r="B137" s="544" t="s">
        <v>662</v>
      </c>
      <c r="C137" s="247">
        <v>1748254</v>
      </c>
      <c r="D137" s="247">
        <v>2433311</v>
      </c>
      <c r="E137" s="425">
        <f t="shared" si="32"/>
        <v>71.846714209568773</v>
      </c>
      <c r="F137" s="247">
        <v>128703</v>
      </c>
      <c r="G137" s="247">
        <v>485843</v>
      </c>
      <c r="H137" s="425">
        <f t="shared" si="33"/>
        <v>26.490656446629878</v>
      </c>
      <c r="I137" s="247">
        <v>1379883</v>
      </c>
      <c r="J137" s="247">
        <v>2241540</v>
      </c>
      <c r="K137" s="425">
        <f t="shared" si="34"/>
        <v>61.559597419631153</v>
      </c>
      <c r="L137" s="247">
        <v>1379883</v>
      </c>
      <c r="M137" s="247">
        <v>2241540</v>
      </c>
      <c r="N137" s="425">
        <f t="shared" si="35"/>
        <v>61.559597419631153</v>
      </c>
    </row>
    <row r="138" spans="1:14" ht="17.25" x14ac:dyDescent="0.25">
      <c r="A138" s="272">
        <v>6</v>
      </c>
      <c r="B138" s="544" t="s">
        <v>663</v>
      </c>
      <c r="C138" s="247">
        <v>0</v>
      </c>
      <c r="D138" s="247">
        <v>618606</v>
      </c>
      <c r="E138" s="425">
        <f t="shared" si="32"/>
        <v>0</v>
      </c>
      <c r="F138" s="247">
        <v>0</v>
      </c>
      <c r="G138" s="247">
        <v>181460</v>
      </c>
      <c r="H138" s="425">
        <f t="shared" si="33"/>
        <v>0</v>
      </c>
      <c r="I138" s="247">
        <v>155493</v>
      </c>
      <c r="J138" s="247">
        <v>209339</v>
      </c>
      <c r="K138" s="425">
        <f t="shared" si="34"/>
        <v>74.278084828913876</v>
      </c>
      <c r="L138" s="247">
        <v>0</v>
      </c>
      <c r="M138" s="247">
        <v>0</v>
      </c>
      <c r="N138" s="425" t="e">
        <f t="shared" si="35"/>
        <v>#DIV/0!</v>
      </c>
    </row>
    <row r="139" spans="1:14" ht="17.25" x14ac:dyDescent="0.25">
      <c r="A139" s="272">
        <v>7</v>
      </c>
      <c r="B139" s="544" t="s">
        <v>664</v>
      </c>
      <c r="C139" s="247">
        <v>0</v>
      </c>
      <c r="D139" s="247">
        <v>0</v>
      </c>
      <c r="E139" s="425" t="e">
        <f t="shared" si="32"/>
        <v>#DIV/0!</v>
      </c>
      <c r="F139" s="247">
        <v>0</v>
      </c>
      <c r="G139" s="247">
        <v>0</v>
      </c>
      <c r="H139" s="425" t="e">
        <f t="shared" si="33"/>
        <v>#DIV/0!</v>
      </c>
      <c r="I139" s="247">
        <v>0</v>
      </c>
      <c r="J139" s="247">
        <v>0</v>
      </c>
      <c r="K139" s="425" t="e">
        <f t="shared" si="34"/>
        <v>#DIV/0!</v>
      </c>
      <c r="L139" s="247">
        <v>0</v>
      </c>
      <c r="M139" s="247">
        <v>0</v>
      </c>
      <c r="N139" s="425" t="e">
        <f t="shared" si="35"/>
        <v>#DIV/0!</v>
      </c>
    </row>
    <row r="140" spans="1:14" ht="17.25" x14ac:dyDescent="0.25">
      <c r="A140" s="272">
        <v>8</v>
      </c>
      <c r="B140" s="544" t="s">
        <v>665</v>
      </c>
      <c r="C140" s="247">
        <v>29101</v>
      </c>
      <c r="D140" s="247">
        <v>19494</v>
      </c>
      <c r="E140" s="425">
        <f t="shared" si="32"/>
        <v>149.28183030676107</v>
      </c>
      <c r="F140" s="247">
        <v>8822</v>
      </c>
      <c r="G140" s="247">
        <v>3493</v>
      </c>
      <c r="H140" s="425">
        <f t="shared" si="33"/>
        <v>252.56226739192672</v>
      </c>
      <c r="I140" s="247">
        <v>29101</v>
      </c>
      <c r="J140" s="247">
        <v>19494</v>
      </c>
      <c r="K140" s="425">
        <f t="shared" si="34"/>
        <v>149.28183030676107</v>
      </c>
      <c r="L140" s="247">
        <v>0</v>
      </c>
      <c r="M140" s="247">
        <v>0</v>
      </c>
      <c r="N140" s="425" t="e">
        <f t="shared" si="35"/>
        <v>#DIV/0!</v>
      </c>
    </row>
    <row r="141" spans="1:14" ht="15.75" x14ac:dyDescent="0.25">
      <c r="B141" s="566"/>
    </row>
    <row r="142" spans="1:14" ht="17.25" x14ac:dyDescent="0.25">
      <c r="A142" s="492"/>
      <c r="B142" s="495" t="s">
        <v>15</v>
      </c>
      <c r="C142" s="254">
        <f>SUM(C143:C150)</f>
        <v>95696641</v>
      </c>
      <c r="D142" s="254">
        <f>SUM(D143:D150)</f>
        <v>95761138</v>
      </c>
      <c r="E142" s="451">
        <f>C142/D142*100</f>
        <v>99.932648043510099</v>
      </c>
      <c r="F142" s="254">
        <f>SUM(F143:F150)</f>
        <v>14764940</v>
      </c>
      <c r="G142" s="254">
        <f>SUM(G143:G150)</f>
        <v>11816852</v>
      </c>
      <c r="H142" s="451">
        <f>F142/G142*100</f>
        <v>124.94816724454193</v>
      </c>
      <c r="I142" s="254">
        <f>SUM(I143:I150)</f>
        <v>98029036</v>
      </c>
      <c r="J142" s="254">
        <f>SUM(J143:J150)</f>
        <v>93675812</v>
      </c>
      <c r="K142" s="451">
        <f>I142/J142*100</f>
        <v>104.64711637621033</v>
      </c>
      <c r="L142" s="254">
        <f>SUM(L143:L150)</f>
        <v>91018595</v>
      </c>
      <c r="M142" s="254">
        <f>SUM(M143:M150)</f>
        <v>88904420</v>
      </c>
      <c r="N142" s="451">
        <f>L142/M142*100</f>
        <v>102.37803137346827</v>
      </c>
    </row>
    <row r="143" spans="1:14" ht="17.25" x14ac:dyDescent="0.25">
      <c r="A143" s="272">
        <v>1</v>
      </c>
      <c r="B143" s="544" t="s">
        <v>666</v>
      </c>
      <c r="C143" s="247">
        <v>12933016</v>
      </c>
      <c r="D143" s="247">
        <v>12147430</v>
      </c>
      <c r="E143" s="425">
        <f t="shared" ref="E143:E150" si="36">C143/D143*100</f>
        <v>106.46709633231062</v>
      </c>
      <c r="F143" s="247">
        <v>1995046</v>
      </c>
      <c r="G143" s="247">
        <v>1514216</v>
      </c>
      <c r="H143" s="425">
        <f t="shared" ref="H143:H150" si="37">F143/G143*100</f>
        <v>131.75438642835633</v>
      </c>
      <c r="I143" s="247">
        <v>14006942</v>
      </c>
      <c r="J143" s="247">
        <v>12016244</v>
      </c>
      <c r="K143" s="425">
        <f t="shared" ref="K143:K150" si="38">I143/J143*100</f>
        <v>116.56672417770477</v>
      </c>
      <c r="L143" s="247">
        <v>14006942</v>
      </c>
      <c r="M143" s="247">
        <v>12016244</v>
      </c>
      <c r="N143" s="425">
        <f t="shared" ref="N143:N150" si="39">L143/M143*100</f>
        <v>116.56672417770477</v>
      </c>
    </row>
    <row r="144" spans="1:14" ht="17.25" x14ac:dyDescent="0.25">
      <c r="A144" s="272">
        <v>2</v>
      </c>
      <c r="B144" s="544" t="s">
        <v>667</v>
      </c>
      <c r="C144" s="247">
        <v>17205143</v>
      </c>
      <c r="D144" s="247">
        <v>23551561</v>
      </c>
      <c r="E144" s="425">
        <f t="shared" si="36"/>
        <v>73.053089771841456</v>
      </c>
      <c r="F144" s="247">
        <v>2493033</v>
      </c>
      <c r="G144" s="247">
        <v>2259039</v>
      </c>
      <c r="H144" s="425">
        <f t="shared" si="37"/>
        <v>110.35812130733467</v>
      </c>
      <c r="I144" s="247">
        <v>17841529</v>
      </c>
      <c r="J144" s="247">
        <v>23102926</v>
      </c>
      <c r="K144" s="425">
        <f t="shared" si="38"/>
        <v>77.226274282313852</v>
      </c>
      <c r="L144" s="247">
        <v>17813491</v>
      </c>
      <c r="M144" s="247">
        <v>23037059</v>
      </c>
      <c r="N144" s="425">
        <f t="shared" si="39"/>
        <v>77.325369527421017</v>
      </c>
    </row>
    <row r="145" spans="1:14" ht="17.25" x14ac:dyDescent="0.25">
      <c r="A145" s="272">
        <v>3</v>
      </c>
      <c r="B145" s="544" t="s">
        <v>668</v>
      </c>
      <c r="C145" s="247">
        <v>18974382</v>
      </c>
      <c r="D145" s="247">
        <v>18092459</v>
      </c>
      <c r="E145" s="425">
        <f t="shared" si="36"/>
        <v>104.87453363857284</v>
      </c>
      <c r="F145" s="247">
        <v>3062819</v>
      </c>
      <c r="G145" s="247">
        <v>2369279</v>
      </c>
      <c r="H145" s="425">
        <f t="shared" si="37"/>
        <v>129.27219630951018</v>
      </c>
      <c r="I145" s="247">
        <v>20391052</v>
      </c>
      <c r="J145" s="247">
        <v>18054593</v>
      </c>
      <c r="K145" s="425">
        <f t="shared" si="38"/>
        <v>112.94107820652617</v>
      </c>
      <c r="L145" s="247">
        <v>20391052</v>
      </c>
      <c r="M145" s="247">
        <v>18054593</v>
      </c>
      <c r="N145" s="425">
        <f t="shared" si="39"/>
        <v>112.94107820652617</v>
      </c>
    </row>
    <row r="146" spans="1:14" ht="17.25" x14ac:dyDescent="0.25">
      <c r="A146" s="272">
        <v>4</v>
      </c>
      <c r="B146" s="544" t="s">
        <v>669</v>
      </c>
      <c r="C146" s="247">
        <v>3506599</v>
      </c>
      <c r="D146" s="247">
        <v>2709883</v>
      </c>
      <c r="E146" s="425">
        <f t="shared" si="36"/>
        <v>129.40038370660284</v>
      </c>
      <c r="F146" s="247">
        <v>489263</v>
      </c>
      <c r="G146" s="247">
        <v>403286</v>
      </c>
      <c r="H146" s="425">
        <f t="shared" si="37"/>
        <v>121.3191134827393</v>
      </c>
      <c r="I146" s="247">
        <v>3265631</v>
      </c>
      <c r="J146" s="247">
        <v>3020587</v>
      </c>
      <c r="K146" s="425">
        <f t="shared" si="38"/>
        <v>108.11246290869954</v>
      </c>
      <c r="L146" s="247">
        <v>0</v>
      </c>
      <c r="M146" s="247">
        <v>0</v>
      </c>
      <c r="N146" s="425" t="e">
        <f t="shared" si="39"/>
        <v>#DIV/0!</v>
      </c>
    </row>
    <row r="147" spans="1:14" ht="17.25" x14ac:dyDescent="0.25">
      <c r="A147" s="272">
        <v>5</v>
      </c>
      <c r="B147" s="544" t="s">
        <v>670</v>
      </c>
      <c r="C147" s="247">
        <v>19668933</v>
      </c>
      <c r="D147" s="247">
        <v>17640858</v>
      </c>
      <c r="E147" s="425">
        <f t="shared" si="36"/>
        <v>111.49646462774089</v>
      </c>
      <c r="F147" s="247">
        <v>3044435</v>
      </c>
      <c r="G147" s="247">
        <v>2344318</v>
      </c>
      <c r="H147" s="425">
        <f t="shared" si="37"/>
        <v>129.86442112375539</v>
      </c>
      <c r="I147" s="247">
        <v>18230876</v>
      </c>
      <c r="J147" s="247">
        <v>16724635</v>
      </c>
      <c r="K147" s="425">
        <f t="shared" si="38"/>
        <v>109.0061218077405</v>
      </c>
      <c r="L147" s="247">
        <v>18230876</v>
      </c>
      <c r="M147" s="247">
        <v>16724635</v>
      </c>
      <c r="N147" s="425">
        <f t="shared" si="39"/>
        <v>109.0061218077405</v>
      </c>
    </row>
    <row r="148" spans="1:14" ht="17.25" x14ac:dyDescent="0.25">
      <c r="A148" s="272">
        <v>6</v>
      </c>
      <c r="B148" s="544" t="s">
        <v>231</v>
      </c>
      <c r="C148" s="247">
        <v>19635968</v>
      </c>
      <c r="D148" s="247">
        <v>19604518</v>
      </c>
      <c r="E148" s="425">
        <f t="shared" si="36"/>
        <v>100.16042220471833</v>
      </c>
      <c r="F148" s="247">
        <v>2972879</v>
      </c>
      <c r="G148" s="247">
        <v>2654100</v>
      </c>
      <c r="H148" s="425">
        <f t="shared" si="37"/>
        <v>112.0108134584228</v>
      </c>
      <c r="I148" s="247">
        <v>20599365</v>
      </c>
      <c r="J148" s="247">
        <v>19093618</v>
      </c>
      <c r="K148" s="425">
        <f t="shared" si="38"/>
        <v>107.88612718658139</v>
      </c>
      <c r="L148" s="247">
        <v>20576234</v>
      </c>
      <c r="M148" s="247">
        <v>19071889</v>
      </c>
      <c r="N148" s="425">
        <f t="shared" si="39"/>
        <v>107.88776088199758</v>
      </c>
    </row>
    <row r="149" spans="1:14" ht="17.25" x14ac:dyDescent="0.25">
      <c r="A149" s="272">
        <v>7</v>
      </c>
      <c r="B149" s="544" t="s">
        <v>671</v>
      </c>
      <c r="C149" s="247">
        <v>1792513</v>
      </c>
      <c r="D149" s="247">
        <v>2014429</v>
      </c>
      <c r="E149" s="425">
        <f t="shared" si="36"/>
        <v>88.983677260404818</v>
      </c>
      <c r="F149" s="247">
        <v>282245</v>
      </c>
      <c r="G149" s="247">
        <v>272614</v>
      </c>
      <c r="H149" s="425">
        <f t="shared" si="37"/>
        <v>103.53283397037569</v>
      </c>
      <c r="I149" s="247">
        <v>1918814</v>
      </c>
      <c r="J149" s="247">
        <v>1663209</v>
      </c>
      <c r="K149" s="425">
        <f t="shared" si="38"/>
        <v>115.36818283210349</v>
      </c>
      <c r="L149" s="247">
        <v>0</v>
      </c>
      <c r="M149" s="247">
        <v>0</v>
      </c>
      <c r="N149" s="425" t="e">
        <f t="shared" si="39"/>
        <v>#DIV/0!</v>
      </c>
    </row>
    <row r="150" spans="1:14" ht="17.25" x14ac:dyDescent="0.25">
      <c r="A150" s="272">
        <v>8</v>
      </c>
      <c r="B150" s="544" t="s">
        <v>672</v>
      </c>
      <c r="C150" s="247">
        <v>1980087</v>
      </c>
      <c r="D150" s="247">
        <v>0</v>
      </c>
      <c r="E150" s="425" t="e">
        <f t="shared" si="36"/>
        <v>#DIV/0!</v>
      </c>
      <c r="F150" s="247">
        <v>425220</v>
      </c>
      <c r="G150" s="247">
        <v>0</v>
      </c>
      <c r="H150" s="425" t="e">
        <f t="shared" si="37"/>
        <v>#DIV/0!</v>
      </c>
      <c r="I150" s="247">
        <v>1774827</v>
      </c>
      <c r="J150" s="247">
        <v>0</v>
      </c>
      <c r="K150" s="425" t="e">
        <f t="shared" si="38"/>
        <v>#DIV/0!</v>
      </c>
      <c r="L150" s="247">
        <v>0</v>
      </c>
      <c r="M150" s="247">
        <v>0</v>
      </c>
      <c r="N150" s="425" t="e">
        <f t="shared" si="39"/>
        <v>#DIV/0!</v>
      </c>
    </row>
    <row r="152" spans="1:14" ht="16.5" x14ac:dyDescent="0.25">
      <c r="A152" s="494"/>
      <c r="B152" s="493" t="s">
        <v>544</v>
      </c>
      <c r="C152" s="469">
        <f>SUM(C153:C155)</f>
        <v>7963877</v>
      </c>
      <c r="D152" s="469">
        <f>SUM(D153:D155)</f>
        <v>8409298</v>
      </c>
      <c r="E152" s="470">
        <f>C152/D152*100</f>
        <v>94.703232065268708</v>
      </c>
      <c r="F152" s="469">
        <f>SUM(F153:F155)</f>
        <v>1044908</v>
      </c>
      <c r="G152" s="469">
        <f>SUM(G153:G155)</f>
        <v>1334717</v>
      </c>
      <c r="H152" s="470">
        <f>F152/G152*100</f>
        <v>78.286857813304238</v>
      </c>
      <c r="I152" s="469">
        <f>SUM(I153:I155)</f>
        <v>8111365</v>
      </c>
      <c r="J152" s="469">
        <f>SUM(J153:J155)</f>
        <v>7656487</v>
      </c>
      <c r="K152" s="470">
        <f>I152/J152*100</f>
        <v>105.94107976673897</v>
      </c>
      <c r="L152" s="469">
        <f>SUM(L153:L155)</f>
        <v>3439636</v>
      </c>
      <c r="M152" s="469">
        <f>SUM(M153:M155)</f>
        <v>3465730</v>
      </c>
      <c r="N152" s="470">
        <f>L152/M152*100</f>
        <v>99.247085029705147</v>
      </c>
    </row>
    <row r="153" spans="1:14" ht="17.25" x14ac:dyDescent="0.25">
      <c r="A153" s="272">
        <v>1</v>
      </c>
      <c r="B153" s="567" t="s">
        <v>673</v>
      </c>
      <c r="C153" s="247">
        <v>1294847</v>
      </c>
      <c r="D153" s="247">
        <v>1126899</v>
      </c>
      <c r="E153" s="425">
        <f>C153/D153*100</f>
        <v>114.90355391210747</v>
      </c>
      <c r="F153" s="247">
        <v>263192</v>
      </c>
      <c r="G153" s="247">
        <v>200009</v>
      </c>
      <c r="H153" s="425">
        <f>F153/G153*100</f>
        <v>131.5900784464699</v>
      </c>
      <c r="I153" s="247">
        <v>1256468</v>
      </c>
      <c r="J153" s="247">
        <v>1193691</v>
      </c>
      <c r="K153" s="425">
        <f>I153/J153*100</f>
        <v>105.25906620725129</v>
      </c>
      <c r="L153" s="247">
        <v>22433</v>
      </c>
      <c r="M153" s="247">
        <v>9660</v>
      </c>
      <c r="N153" s="425">
        <f>L153/M153*100</f>
        <v>232.22567287784682</v>
      </c>
    </row>
    <row r="154" spans="1:14" ht="17.25" x14ac:dyDescent="0.25">
      <c r="A154" s="272">
        <v>2</v>
      </c>
      <c r="B154" s="550" t="s">
        <v>674</v>
      </c>
      <c r="C154" s="247">
        <v>5331313</v>
      </c>
      <c r="D154" s="247">
        <v>5823123</v>
      </c>
      <c r="E154" s="425">
        <f t="shared" ref="E154:E155" si="40">C154/D154*100</f>
        <v>91.554188362498962</v>
      </c>
      <c r="F154" s="247">
        <v>745964</v>
      </c>
      <c r="G154" s="247">
        <v>844137</v>
      </c>
      <c r="H154" s="425">
        <f t="shared" ref="H154:H155" si="41">F154/G154*100</f>
        <v>88.370015767582757</v>
      </c>
      <c r="I154" s="247">
        <v>5599338</v>
      </c>
      <c r="J154" s="247">
        <v>5163068</v>
      </c>
      <c r="K154" s="425">
        <f t="shared" ref="K154:K155" si="42">I154/J154*100</f>
        <v>108.44982092042947</v>
      </c>
      <c r="L154" s="247">
        <v>2442258</v>
      </c>
      <c r="M154" s="247">
        <v>2444421</v>
      </c>
      <c r="N154" s="425">
        <f t="shared" ref="N154:N155" si="43">L154/M154*100</f>
        <v>99.911512787690825</v>
      </c>
    </row>
    <row r="155" spans="1:14" ht="17.25" x14ac:dyDescent="0.25">
      <c r="A155" s="272">
        <v>3</v>
      </c>
      <c r="B155" s="549" t="s">
        <v>675</v>
      </c>
      <c r="C155" s="247">
        <v>1337717</v>
      </c>
      <c r="D155" s="247">
        <v>1459276</v>
      </c>
      <c r="E155" s="425">
        <f t="shared" si="40"/>
        <v>91.669910284277961</v>
      </c>
      <c r="F155" s="247">
        <v>35752</v>
      </c>
      <c r="G155" s="247">
        <v>290571</v>
      </c>
      <c r="H155" s="425">
        <f t="shared" si="41"/>
        <v>12.304049612659213</v>
      </c>
      <c r="I155" s="247">
        <v>1255559</v>
      </c>
      <c r="J155" s="247">
        <v>1299728</v>
      </c>
      <c r="K155" s="425">
        <f t="shared" si="42"/>
        <v>96.601673580933863</v>
      </c>
      <c r="L155" s="247">
        <v>974945</v>
      </c>
      <c r="M155" s="247">
        <v>1011649</v>
      </c>
      <c r="N155" s="425">
        <f t="shared" si="43"/>
        <v>96.371864154464632</v>
      </c>
    </row>
    <row r="156" spans="1:14" x14ac:dyDescent="0.25">
      <c r="A156" s="568"/>
      <c r="B156" s="569"/>
      <c r="C156" s="570"/>
      <c r="D156" s="54"/>
      <c r="E156" s="43"/>
      <c r="F156" s="54"/>
      <c r="G156" s="54"/>
      <c r="H156" s="425"/>
      <c r="I156" s="54"/>
      <c r="J156" s="54"/>
      <c r="K156" s="43"/>
      <c r="L156" s="54"/>
      <c r="M156" s="571"/>
      <c r="N156" s="343"/>
    </row>
    <row r="157" spans="1:14" ht="17.25" x14ac:dyDescent="0.25">
      <c r="A157" s="1043" t="s">
        <v>735</v>
      </c>
      <c r="B157" s="1044"/>
      <c r="C157" s="345">
        <f>C158+C184+C190</f>
        <v>143324162.5</v>
      </c>
      <c r="D157" s="345">
        <f>D158+D184+D190</f>
        <v>109965770.7</v>
      </c>
      <c r="E157" s="467">
        <f>C157/D157*100</f>
        <v>130.3352503125775</v>
      </c>
      <c r="F157" s="345">
        <f>F158+F184+F190</f>
        <v>28535583.800000001</v>
      </c>
      <c r="G157" s="345">
        <f>G158+G184+G190</f>
        <v>15714755.199999999</v>
      </c>
      <c r="H157" s="467">
        <f>F157/G157*100</f>
        <v>181.58465363812985</v>
      </c>
      <c r="I157" s="345">
        <f>I158+I184+I190</f>
        <v>134577349.5</v>
      </c>
      <c r="J157" s="345">
        <f>J158+J184+J190</f>
        <v>103633954.7</v>
      </c>
      <c r="K157" s="467">
        <f>I157/J157*100</f>
        <v>129.85835568040903</v>
      </c>
      <c r="L157" s="345">
        <f>L158+L184+L190</f>
        <v>63368428</v>
      </c>
      <c r="M157" s="345">
        <f>M158+M184+M190</f>
        <v>51201397</v>
      </c>
      <c r="N157" s="467">
        <f>L157/M157*100</f>
        <v>123.76308404241392</v>
      </c>
    </row>
    <row r="158" spans="1:14" ht="21.75" customHeight="1" x14ac:dyDescent="0.25">
      <c r="A158" s="1062" t="s">
        <v>736</v>
      </c>
      <c r="B158" s="1063" t="s">
        <v>119</v>
      </c>
      <c r="C158" s="254">
        <f>SUM(C159:C182)</f>
        <v>49587850.5</v>
      </c>
      <c r="D158" s="254">
        <f>SUM(D159:D182)</f>
        <v>41370826.700000003</v>
      </c>
      <c r="E158" s="451">
        <f>C158/D158*100</f>
        <v>119.86187962736552</v>
      </c>
      <c r="F158" s="254">
        <f>SUM(F159:F182)</f>
        <v>11403842.800000001</v>
      </c>
      <c r="G158" s="254">
        <f>SUM(G159:G182)</f>
        <v>7326023.2000000002</v>
      </c>
      <c r="H158" s="451">
        <f>F158/G158*100</f>
        <v>155.66211693132504</v>
      </c>
      <c r="I158" s="254">
        <f>SUM(I159:I182)</f>
        <v>49227334.5</v>
      </c>
      <c r="J158" s="254">
        <f>SUM(J159:J182)</f>
        <v>39932027.700000003</v>
      </c>
      <c r="K158" s="451">
        <f>I158/J158*100</f>
        <v>123.27782317951261</v>
      </c>
      <c r="L158" s="254">
        <f>SUM(L159:L182)</f>
        <v>35095144</v>
      </c>
      <c r="M158" s="254">
        <f>SUM(M159:M182)</f>
        <v>30969948</v>
      </c>
      <c r="N158" s="451">
        <f>L158/M158*100</f>
        <v>113.31999653341363</v>
      </c>
    </row>
    <row r="159" spans="1:14" ht="34.5" x14ac:dyDescent="0.25">
      <c r="A159" s="7">
        <v>1</v>
      </c>
      <c r="B159" s="545" t="s">
        <v>676</v>
      </c>
      <c r="C159" s="247">
        <v>13522853</v>
      </c>
      <c r="D159" s="247">
        <v>13990536</v>
      </c>
      <c r="E159" s="425">
        <f t="shared" ref="E159:E182" si="44">C159/D159*100</f>
        <v>96.657147374482292</v>
      </c>
      <c r="F159" s="247">
        <v>3783014</v>
      </c>
      <c r="G159" s="247">
        <v>2557235</v>
      </c>
      <c r="H159" s="425">
        <f t="shared" ref="H159:H182" si="45">F159/G159*100</f>
        <v>147.93376439787505</v>
      </c>
      <c r="I159" s="247">
        <v>13198388</v>
      </c>
      <c r="J159" s="247">
        <v>13115573</v>
      </c>
      <c r="K159" s="425">
        <f t="shared" ref="K159:K182" si="46">I159/J159*100</f>
        <v>100.63142494803697</v>
      </c>
      <c r="L159" s="247">
        <v>11463317</v>
      </c>
      <c r="M159" s="247">
        <v>11629190</v>
      </c>
      <c r="N159" s="425">
        <f t="shared" ref="N159:N182" si="47">L159/M159*100</f>
        <v>98.573649583504945</v>
      </c>
    </row>
    <row r="160" spans="1:14" ht="17.25" x14ac:dyDescent="0.25">
      <c r="A160" s="7">
        <v>2</v>
      </c>
      <c r="B160" s="572" t="s">
        <v>677</v>
      </c>
      <c r="C160" s="247">
        <v>1561747</v>
      </c>
      <c r="D160" s="247">
        <v>1616824</v>
      </c>
      <c r="E160" s="425">
        <f t="shared" si="44"/>
        <v>96.59350677624775</v>
      </c>
      <c r="F160" s="247">
        <v>135247</v>
      </c>
      <c r="G160" s="247">
        <v>170056</v>
      </c>
      <c r="H160" s="425">
        <f t="shared" si="45"/>
        <v>79.530860422449081</v>
      </c>
      <c r="I160" s="247">
        <v>1492985</v>
      </c>
      <c r="J160" s="247">
        <v>1593149</v>
      </c>
      <c r="K160" s="425">
        <f t="shared" si="46"/>
        <v>93.712829120189014</v>
      </c>
      <c r="L160" s="247">
        <v>1162624</v>
      </c>
      <c r="M160" s="247">
        <v>1200760</v>
      </c>
      <c r="N160" s="425">
        <f t="shared" si="47"/>
        <v>96.824011459409036</v>
      </c>
    </row>
    <row r="161" spans="1:16" ht="17.25" x14ac:dyDescent="0.25">
      <c r="A161" s="7">
        <v>3</v>
      </c>
      <c r="B161" s="572" t="s">
        <v>678</v>
      </c>
      <c r="C161" s="247">
        <v>335180</v>
      </c>
      <c r="D161" s="247">
        <v>634770</v>
      </c>
      <c r="E161" s="425">
        <f t="shared" si="44"/>
        <v>52.803377601335924</v>
      </c>
      <c r="F161" s="247">
        <v>34887</v>
      </c>
      <c r="G161" s="247">
        <v>123816</v>
      </c>
      <c r="H161" s="425">
        <f t="shared" si="45"/>
        <v>28.176487691413065</v>
      </c>
      <c r="I161" s="247">
        <v>404365</v>
      </c>
      <c r="J161" s="247">
        <v>706283</v>
      </c>
      <c r="K161" s="425">
        <f t="shared" si="46"/>
        <v>57.252546075723188</v>
      </c>
      <c r="L161" s="247">
        <v>340829</v>
      </c>
      <c r="M161" s="247">
        <v>644891</v>
      </c>
      <c r="N161" s="425">
        <f t="shared" si="47"/>
        <v>52.85063677427658</v>
      </c>
    </row>
    <row r="162" spans="1:16" ht="17.25" x14ac:dyDescent="0.25">
      <c r="A162" s="7">
        <v>4</v>
      </c>
      <c r="B162" s="572" t="s">
        <v>679</v>
      </c>
      <c r="C162" s="247">
        <v>776113</v>
      </c>
      <c r="D162" s="247">
        <v>0</v>
      </c>
      <c r="E162" s="425" t="e">
        <f t="shared" si="44"/>
        <v>#DIV/0!</v>
      </c>
      <c r="F162" s="247">
        <v>86660</v>
      </c>
      <c r="G162" s="247">
        <v>0</v>
      </c>
      <c r="H162" s="425" t="e">
        <f t="shared" si="45"/>
        <v>#DIV/0!</v>
      </c>
      <c r="I162" s="247">
        <v>1173135</v>
      </c>
      <c r="J162" s="247">
        <v>0</v>
      </c>
      <c r="K162" s="425" t="e">
        <f t="shared" si="46"/>
        <v>#DIV/0!</v>
      </c>
      <c r="L162" s="247">
        <v>720734</v>
      </c>
      <c r="M162" s="247">
        <v>0</v>
      </c>
      <c r="N162" s="425" t="e">
        <f t="shared" si="47"/>
        <v>#DIV/0!</v>
      </c>
    </row>
    <row r="163" spans="1:16" ht="37.5" customHeight="1" x14ac:dyDescent="0.25">
      <c r="A163" s="7">
        <v>5</v>
      </c>
      <c r="B163" s="545" t="s">
        <v>680</v>
      </c>
      <c r="C163" s="247">
        <v>2902701</v>
      </c>
      <c r="D163" s="247">
        <v>5829522</v>
      </c>
      <c r="E163" s="425">
        <f t="shared" si="44"/>
        <v>49.793121974666185</v>
      </c>
      <c r="F163" s="247">
        <v>395914</v>
      </c>
      <c r="G163" s="247">
        <v>995119</v>
      </c>
      <c r="H163" s="425">
        <f t="shared" si="45"/>
        <v>39.785593481784595</v>
      </c>
      <c r="I163" s="247">
        <v>2908105</v>
      </c>
      <c r="J163" s="247">
        <v>5622345</v>
      </c>
      <c r="K163" s="425">
        <f t="shared" si="46"/>
        <v>51.724058199914801</v>
      </c>
      <c r="L163" s="247">
        <v>2908105</v>
      </c>
      <c r="M163" s="247">
        <v>5581962</v>
      </c>
      <c r="N163" s="425">
        <f t="shared" si="47"/>
        <v>52.098258640958136</v>
      </c>
    </row>
    <row r="164" spans="1:16" ht="17.25" x14ac:dyDescent="0.25">
      <c r="A164" s="7">
        <v>6</v>
      </c>
      <c r="B164" s="545" t="s">
        <v>681</v>
      </c>
      <c r="C164" s="247">
        <v>4753311</v>
      </c>
      <c r="D164" s="247">
        <v>3483180</v>
      </c>
      <c r="E164" s="425">
        <f t="shared" si="44"/>
        <v>136.46469605360619</v>
      </c>
      <c r="F164" s="247">
        <v>1123170</v>
      </c>
      <c r="G164" s="247">
        <v>390499</v>
      </c>
      <c r="H164" s="425">
        <f t="shared" si="45"/>
        <v>287.6242960929477</v>
      </c>
      <c r="I164" s="247">
        <v>4623547</v>
      </c>
      <c r="J164" s="247">
        <v>3483180</v>
      </c>
      <c r="K164" s="425">
        <f t="shared" si="46"/>
        <v>132.73924976601842</v>
      </c>
      <c r="L164" s="247">
        <v>4623550</v>
      </c>
      <c r="M164" s="247">
        <v>2182036</v>
      </c>
      <c r="N164" s="425">
        <f t="shared" si="47"/>
        <v>211.8915544931431</v>
      </c>
    </row>
    <row r="165" spans="1:16" ht="17.25" x14ac:dyDescent="0.25">
      <c r="A165" s="7">
        <v>7</v>
      </c>
      <c r="B165" s="572" t="s">
        <v>233</v>
      </c>
      <c r="C165" s="247">
        <v>2096141</v>
      </c>
      <c r="D165" s="247">
        <v>112297</v>
      </c>
      <c r="E165" s="425">
        <f t="shared" si="44"/>
        <v>1866.6046287968513</v>
      </c>
      <c r="F165" s="247">
        <v>294171</v>
      </c>
      <c r="G165" s="247">
        <v>112297</v>
      </c>
      <c r="H165" s="425">
        <f t="shared" si="45"/>
        <v>261.95802203086458</v>
      </c>
      <c r="I165" s="247">
        <v>2615529</v>
      </c>
      <c r="J165" s="247">
        <v>162835</v>
      </c>
      <c r="K165" s="425">
        <f t="shared" si="46"/>
        <v>1606.2449719040746</v>
      </c>
      <c r="L165" s="247">
        <v>1352652</v>
      </c>
      <c r="M165" s="247">
        <v>162835</v>
      </c>
      <c r="N165" s="425">
        <f t="shared" si="47"/>
        <v>830.68873399453423</v>
      </c>
      <c r="P165" s="127"/>
    </row>
    <row r="166" spans="1:16" s="573" customFormat="1" ht="17.25" x14ac:dyDescent="0.25">
      <c r="A166" s="7">
        <v>8</v>
      </c>
      <c r="B166" s="546" t="s">
        <v>682</v>
      </c>
      <c r="C166" s="247">
        <v>2136575</v>
      </c>
      <c r="D166" s="247">
        <v>1030842</v>
      </c>
      <c r="E166" s="425">
        <f t="shared" si="44"/>
        <v>207.26503188655491</v>
      </c>
      <c r="F166" s="247">
        <v>562952</v>
      </c>
      <c r="G166" s="247">
        <v>280822</v>
      </c>
      <c r="H166" s="425">
        <f t="shared" si="45"/>
        <v>200.46577547343159</v>
      </c>
      <c r="I166" s="247">
        <v>2108483</v>
      </c>
      <c r="J166" s="247">
        <v>975838</v>
      </c>
      <c r="K166" s="425">
        <f t="shared" si="46"/>
        <v>216.06895816723676</v>
      </c>
      <c r="L166" s="247">
        <v>0</v>
      </c>
      <c r="M166" s="247">
        <v>16014</v>
      </c>
      <c r="N166" s="425">
        <f t="shared" si="47"/>
        <v>0</v>
      </c>
      <c r="P166" s="574"/>
    </row>
    <row r="167" spans="1:16" s="573" customFormat="1" ht="36.75" customHeight="1" x14ac:dyDescent="0.25">
      <c r="A167" s="7">
        <v>9</v>
      </c>
      <c r="B167" s="547" t="s">
        <v>683</v>
      </c>
      <c r="C167" s="247">
        <v>7758131</v>
      </c>
      <c r="D167" s="247">
        <v>6218730</v>
      </c>
      <c r="E167" s="425">
        <f t="shared" si="44"/>
        <v>124.75426654638486</v>
      </c>
      <c r="F167" s="247">
        <v>2026381</v>
      </c>
      <c r="G167" s="247">
        <v>534364</v>
      </c>
      <c r="H167" s="425">
        <f t="shared" si="45"/>
        <v>379.21360720407813</v>
      </c>
      <c r="I167" s="247">
        <v>7758131</v>
      </c>
      <c r="J167" s="247">
        <v>6218730</v>
      </c>
      <c r="K167" s="425">
        <f t="shared" si="46"/>
        <v>124.75426654638486</v>
      </c>
      <c r="L167" s="247">
        <v>7758131</v>
      </c>
      <c r="M167" s="247">
        <v>6130843</v>
      </c>
      <c r="N167" s="425">
        <f t="shared" si="47"/>
        <v>126.54264674531707</v>
      </c>
      <c r="P167" s="574"/>
    </row>
    <row r="168" spans="1:16" s="573" customFormat="1" ht="38.25" customHeight="1" x14ac:dyDescent="0.25">
      <c r="A168" s="7">
        <v>10</v>
      </c>
      <c r="B168" s="547" t="s">
        <v>539</v>
      </c>
      <c r="C168" s="247">
        <v>468445</v>
      </c>
      <c r="D168" s="247">
        <v>695247</v>
      </c>
      <c r="E168" s="425">
        <f t="shared" si="44"/>
        <v>67.378212347554182</v>
      </c>
      <c r="F168" s="247">
        <v>55540</v>
      </c>
      <c r="G168" s="247">
        <v>133381</v>
      </c>
      <c r="H168" s="425">
        <f t="shared" si="45"/>
        <v>41.640113659366776</v>
      </c>
      <c r="I168" s="247">
        <v>472875</v>
      </c>
      <c r="J168" s="247">
        <v>682358</v>
      </c>
      <c r="K168" s="425">
        <f t="shared" si="46"/>
        <v>69.300132774877696</v>
      </c>
      <c r="L168" s="247">
        <v>244889</v>
      </c>
      <c r="M168" s="247">
        <v>439639</v>
      </c>
      <c r="N168" s="425">
        <f t="shared" si="47"/>
        <v>55.702292107843022</v>
      </c>
      <c r="P168" s="574"/>
    </row>
    <row r="169" spans="1:16" s="575" customFormat="1" ht="34.5" x14ac:dyDescent="0.25">
      <c r="A169" s="7">
        <v>11</v>
      </c>
      <c r="B169" s="547" t="s">
        <v>684</v>
      </c>
      <c r="C169" s="247">
        <v>34551</v>
      </c>
      <c r="D169" s="247">
        <v>43141</v>
      </c>
      <c r="E169" s="425">
        <f t="shared" si="44"/>
        <v>80.08854685797732</v>
      </c>
      <c r="F169" s="247">
        <v>0</v>
      </c>
      <c r="G169" s="247">
        <v>0</v>
      </c>
      <c r="H169" s="425" t="e">
        <f t="shared" si="45"/>
        <v>#DIV/0!</v>
      </c>
      <c r="I169" s="247">
        <v>34551</v>
      </c>
      <c r="J169" s="247">
        <v>43141</v>
      </c>
      <c r="K169" s="425">
        <f t="shared" si="46"/>
        <v>80.08854685797732</v>
      </c>
      <c r="L169" s="247">
        <v>13668</v>
      </c>
      <c r="M169" s="247">
        <v>25597</v>
      </c>
      <c r="N169" s="425">
        <f t="shared" si="47"/>
        <v>53.396882447161772</v>
      </c>
      <c r="P169" s="574"/>
    </row>
    <row r="170" spans="1:16" s="573" customFormat="1" ht="17.25" x14ac:dyDescent="0.25">
      <c r="A170" s="7">
        <v>12</v>
      </c>
      <c r="B170" s="546" t="s">
        <v>301</v>
      </c>
      <c r="C170" s="247">
        <v>2960327</v>
      </c>
      <c r="D170" s="247">
        <v>2240582</v>
      </c>
      <c r="E170" s="425">
        <f t="shared" si="44"/>
        <v>132.12312693755462</v>
      </c>
      <c r="F170" s="247">
        <v>777530</v>
      </c>
      <c r="G170" s="247">
        <v>715473</v>
      </c>
      <c r="H170" s="425">
        <f t="shared" si="45"/>
        <v>108.67356280390734</v>
      </c>
      <c r="I170" s="247">
        <v>2904515</v>
      </c>
      <c r="J170" s="247">
        <v>2225681</v>
      </c>
      <c r="K170" s="425">
        <f t="shared" si="46"/>
        <v>130.50005818443884</v>
      </c>
      <c r="L170" s="247">
        <v>352541</v>
      </c>
      <c r="M170" s="247">
        <v>525928</v>
      </c>
      <c r="N170" s="425">
        <f t="shared" si="47"/>
        <v>67.032179309715403</v>
      </c>
      <c r="P170" s="574"/>
    </row>
    <row r="171" spans="1:16" s="573" customFormat="1" ht="34.5" x14ac:dyDescent="0.25">
      <c r="A171" s="7">
        <v>13</v>
      </c>
      <c r="B171" s="547" t="s">
        <v>685</v>
      </c>
      <c r="C171" s="247">
        <v>70424</v>
      </c>
      <c r="D171" s="247">
        <v>0</v>
      </c>
      <c r="E171" s="425" t="e">
        <f t="shared" si="44"/>
        <v>#DIV/0!</v>
      </c>
      <c r="F171" s="247">
        <v>2375</v>
      </c>
      <c r="G171" s="247">
        <v>0</v>
      </c>
      <c r="H171" s="425" t="e">
        <f t="shared" si="45"/>
        <v>#DIV/0!</v>
      </c>
      <c r="I171" s="247">
        <v>70424</v>
      </c>
      <c r="J171" s="247">
        <v>0</v>
      </c>
      <c r="K171" s="425" t="e">
        <f t="shared" si="46"/>
        <v>#DIV/0!</v>
      </c>
      <c r="L171" s="247">
        <v>56363</v>
      </c>
      <c r="M171" s="247">
        <v>0</v>
      </c>
      <c r="N171" s="425" t="e">
        <f t="shared" si="47"/>
        <v>#DIV/0!</v>
      </c>
      <c r="P171" s="574"/>
    </row>
    <row r="172" spans="1:16" s="573" customFormat="1" ht="17.25" x14ac:dyDescent="0.25">
      <c r="A172" s="7">
        <v>14</v>
      </c>
      <c r="B172" s="546" t="s">
        <v>237</v>
      </c>
      <c r="C172" s="247">
        <v>884102</v>
      </c>
      <c r="D172" s="247">
        <v>174955</v>
      </c>
      <c r="E172" s="425">
        <f t="shared" si="44"/>
        <v>505.33108513617788</v>
      </c>
      <c r="F172" s="247">
        <v>187582</v>
      </c>
      <c r="G172" s="247">
        <v>27644</v>
      </c>
      <c r="H172" s="425">
        <f t="shared" si="45"/>
        <v>678.56316017942402</v>
      </c>
      <c r="I172" s="247">
        <v>884102</v>
      </c>
      <c r="J172" s="247">
        <v>174955</v>
      </c>
      <c r="K172" s="425">
        <f t="shared" si="46"/>
        <v>505.33108513617788</v>
      </c>
      <c r="L172" s="247">
        <v>824606</v>
      </c>
      <c r="M172" s="247">
        <v>95676</v>
      </c>
      <c r="N172" s="425">
        <f t="shared" si="47"/>
        <v>861.87340607884937</v>
      </c>
      <c r="P172" s="574"/>
    </row>
    <row r="173" spans="1:16" s="573" customFormat="1" ht="17.25" x14ac:dyDescent="0.25">
      <c r="A173" s="7">
        <v>15</v>
      </c>
      <c r="B173" s="546" t="s">
        <v>229</v>
      </c>
      <c r="C173" s="247">
        <v>4049366</v>
      </c>
      <c r="D173" s="247">
        <v>1526081</v>
      </c>
      <c r="E173" s="425">
        <f t="shared" si="44"/>
        <v>265.34410689865086</v>
      </c>
      <c r="F173" s="247">
        <v>690003</v>
      </c>
      <c r="G173" s="247">
        <v>456053</v>
      </c>
      <c r="H173" s="425">
        <f t="shared" si="45"/>
        <v>151.29886219364855</v>
      </c>
      <c r="I173" s="247">
        <v>3914920</v>
      </c>
      <c r="J173" s="247">
        <v>1803107</v>
      </c>
      <c r="K173" s="425">
        <f t="shared" si="46"/>
        <v>217.12078096308204</v>
      </c>
      <c r="L173" s="247">
        <v>1271823</v>
      </c>
      <c r="M173" s="247">
        <v>627782</v>
      </c>
      <c r="N173" s="425">
        <f t="shared" si="47"/>
        <v>202.58991178466411</v>
      </c>
      <c r="P173" s="574"/>
    </row>
    <row r="174" spans="1:16" ht="36.75" customHeight="1" x14ac:dyDescent="0.25">
      <c r="A174" s="7">
        <v>16</v>
      </c>
      <c r="B174" s="545" t="s">
        <v>230</v>
      </c>
      <c r="C174" s="247">
        <v>1201924</v>
      </c>
      <c r="D174" s="247">
        <v>868110</v>
      </c>
      <c r="E174" s="425">
        <f t="shared" si="44"/>
        <v>138.45296103028417</v>
      </c>
      <c r="F174" s="247">
        <v>323498</v>
      </c>
      <c r="G174" s="247">
        <v>159651</v>
      </c>
      <c r="H174" s="425">
        <f t="shared" si="45"/>
        <v>202.6282328328667</v>
      </c>
      <c r="I174" s="247">
        <v>1191062</v>
      </c>
      <c r="J174" s="247">
        <v>884465</v>
      </c>
      <c r="K174" s="425">
        <f t="shared" si="46"/>
        <v>134.66468430067894</v>
      </c>
      <c r="L174" s="247">
        <v>5218</v>
      </c>
      <c r="M174" s="247">
        <v>4610</v>
      </c>
      <c r="N174" s="425">
        <f t="shared" si="47"/>
        <v>113.18872017353578</v>
      </c>
      <c r="P174" s="576"/>
    </row>
    <row r="175" spans="1:16" ht="27" customHeight="1" x14ac:dyDescent="0.25">
      <c r="A175" s="7">
        <v>17</v>
      </c>
      <c r="B175" s="572" t="s">
        <v>298</v>
      </c>
      <c r="C175" s="247">
        <v>74715.5</v>
      </c>
      <c r="D175" s="247">
        <v>73179.7</v>
      </c>
      <c r="E175" s="425">
        <f t="shared" si="44"/>
        <v>102.09866943974902</v>
      </c>
      <c r="F175" s="247">
        <v>35999.800000000003</v>
      </c>
      <c r="G175" s="247">
        <v>7075.2</v>
      </c>
      <c r="H175" s="425">
        <f t="shared" si="45"/>
        <v>508.81671189507011</v>
      </c>
      <c r="I175" s="247">
        <v>74715.5</v>
      </c>
      <c r="J175" s="247">
        <v>73179.7</v>
      </c>
      <c r="K175" s="425">
        <f t="shared" si="46"/>
        <v>102.09866943974902</v>
      </c>
      <c r="L175" s="247">
        <v>65143</v>
      </c>
      <c r="M175" s="247">
        <v>59029</v>
      </c>
      <c r="N175" s="425">
        <f t="shared" si="47"/>
        <v>110.35762083043927</v>
      </c>
      <c r="P175" s="576"/>
    </row>
    <row r="176" spans="1:16" ht="34.5" x14ac:dyDescent="0.25">
      <c r="A176" s="7">
        <v>18</v>
      </c>
      <c r="B176" s="545" t="s">
        <v>239</v>
      </c>
      <c r="C176" s="247">
        <v>1696656</v>
      </c>
      <c r="D176" s="247">
        <v>702920</v>
      </c>
      <c r="E176" s="425">
        <f t="shared" si="44"/>
        <v>241.37256017754513</v>
      </c>
      <c r="F176" s="247">
        <v>330634</v>
      </c>
      <c r="G176" s="247">
        <v>315882</v>
      </c>
      <c r="H176" s="425">
        <f t="shared" si="45"/>
        <v>104.67009832785661</v>
      </c>
      <c r="I176" s="247">
        <v>1688630</v>
      </c>
      <c r="J176" s="247">
        <v>690569</v>
      </c>
      <c r="K176" s="425">
        <f t="shared" si="46"/>
        <v>244.52733904939259</v>
      </c>
      <c r="L176" s="247">
        <v>182595</v>
      </c>
      <c r="M176" s="247">
        <v>173712</v>
      </c>
      <c r="N176" s="425">
        <f t="shared" si="47"/>
        <v>105.11363636363636</v>
      </c>
      <c r="P176" s="127"/>
    </row>
    <row r="177" spans="1:16" ht="34.5" x14ac:dyDescent="0.25">
      <c r="A177" s="7">
        <v>19</v>
      </c>
      <c r="B177" s="548" t="s">
        <v>548</v>
      </c>
      <c r="C177" s="247"/>
      <c r="D177" s="247"/>
      <c r="E177" s="425" t="e">
        <f t="shared" si="44"/>
        <v>#DIV/0!</v>
      </c>
      <c r="F177" s="247"/>
      <c r="G177" s="247"/>
      <c r="H177" s="425" t="e">
        <f t="shared" si="45"/>
        <v>#DIV/0!</v>
      </c>
      <c r="I177" s="247"/>
      <c r="J177" s="247"/>
      <c r="K177" s="425" t="e">
        <f t="shared" si="46"/>
        <v>#DIV/0!</v>
      </c>
      <c r="L177" s="247"/>
      <c r="M177" s="247"/>
      <c r="N177" s="425" t="e">
        <f t="shared" si="47"/>
        <v>#DIV/0!</v>
      </c>
      <c r="P177" s="127"/>
    </row>
    <row r="178" spans="1:16" ht="34.5" x14ac:dyDescent="0.25">
      <c r="A178" s="7">
        <v>20</v>
      </c>
      <c r="B178" s="548" t="s">
        <v>552</v>
      </c>
      <c r="C178" s="247"/>
      <c r="D178" s="247"/>
      <c r="E178" s="425" t="e">
        <f t="shared" si="44"/>
        <v>#DIV/0!</v>
      </c>
      <c r="F178" s="247"/>
      <c r="G178" s="247"/>
      <c r="H178" s="425" t="e">
        <f t="shared" si="45"/>
        <v>#DIV/0!</v>
      </c>
      <c r="I178" s="247"/>
      <c r="J178" s="247"/>
      <c r="K178" s="425" t="e">
        <f t="shared" si="46"/>
        <v>#DIV/0!</v>
      </c>
      <c r="L178" s="247"/>
      <c r="M178" s="247"/>
      <c r="N178" s="425" t="e">
        <f t="shared" si="47"/>
        <v>#DIV/0!</v>
      </c>
      <c r="P178" s="127"/>
    </row>
    <row r="179" spans="1:16" ht="17.25" x14ac:dyDescent="0.25">
      <c r="A179" s="7">
        <v>21</v>
      </c>
      <c r="B179" s="548" t="s">
        <v>562</v>
      </c>
      <c r="C179" s="247">
        <v>115867</v>
      </c>
      <c r="D179" s="247">
        <v>123787</v>
      </c>
      <c r="E179" s="425">
        <f t="shared" si="44"/>
        <v>93.601912963396799</v>
      </c>
      <c r="F179" s="247">
        <v>40257</v>
      </c>
      <c r="G179" s="247">
        <v>8067</v>
      </c>
      <c r="H179" s="425">
        <f t="shared" si="45"/>
        <v>499.03309780587574</v>
      </c>
      <c r="I179" s="247">
        <v>115867</v>
      </c>
      <c r="J179" s="247">
        <v>123787</v>
      </c>
      <c r="K179" s="425">
        <f t="shared" si="46"/>
        <v>93.601912963396799</v>
      </c>
      <c r="L179" s="247">
        <v>91943</v>
      </c>
      <c r="M179" s="247">
        <v>101760</v>
      </c>
      <c r="N179" s="425">
        <f t="shared" si="47"/>
        <v>90.352790880503136</v>
      </c>
      <c r="P179" s="127"/>
    </row>
    <row r="180" spans="1:16" ht="17.25" x14ac:dyDescent="0.25">
      <c r="A180" s="7">
        <v>22</v>
      </c>
      <c r="B180" s="548" t="s">
        <v>573</v>
      </c>
      <c r="C180" s="247"/>
      <c r="D180" s="247"/>
      <c r="E180" s="425" t="e">
        <f t="shared" si="44"/>
        <v>#DIV/0!</v>
      </c>
      <c r="F180" s="247"/>
      <c r="G180" s="247"/>
      <c r="H180" s="425" t="e">
        <f t="shared" si="45"/>
        <v>#DIV/0!</v>
      </c>
      <c r="I180" s="247"/>
      <c r="J180" s="247"/>
      <c r="K180" s="425" t="e">
        <f t="shared" si="46"/>
        <v>#DIV/0!</v>
      </c>
      <c r="L180" s="247"/>
      <c r="M180" s="247"/>
      <c r="N180" s="425" t="e">
        <f t="shared" si="47"/>
        <v>#DIV/0!</v>
      </c>
      <c r="P180" s="127"/>
    </row>
    <row r="181" spans="1:16" ht="17.25" x14ac:dyDescent="0.25">
      <c r="A181" s="7">
        <v>23</v>
      </c>
      <c r="B181" s="548" t="s">
        <v>564</v>
      </c>
      <c r="C181" s="247">
        <v>1135897</v>
      </c>
      <c r="D181" s="247">
        <v>1074198</v>
      </c>
      <c r="E181" s="425">
        <f t="shared" si="44"/>
        <v>105.74372694791836</v>
      </c>
      <c r="F181" s="247">
        <v>248841</v>
      </c>
      <c r="G181" s="247">
        <v>121228</v>
      </c>
      <c r="H181" s="425">
        <f t="shared" si="45"/>
        <v>205.26693503151088</v>
      </c>
      <c r="I181" s="247">
        <v>1129570</v>
      </c>
      <c r="J181" s="247">
        <v>941635</v>
      </c>
      <c r="K181" s="425">
        <f t="shared" si="46"/>
        <v>119.95837028147849</v>
      </c>
      <c r="L181" s="247">
        <v>1107570</v>
      </c>
      <c r="M181" s="247">
        <v>907307</v>
      </c>
      <c r="N181" s="425">
        <f t="shared" si="47"/>
        <v>122.07224236118535</v>
      </c>
      <c r="P181" s="127"/>
    </row>
    <row r="182" spans="1:16" ht="17.25" x14ac:dyDescent="0.25">
      <c r="A182" s="7">
        <v>24</v>
      </c>
      <c r="B182" s="548" t="s">
        <v>686</v>
      </c>
      <c r="C182" s="247">
        <v>1052824</v>
      </c>
      <c r="D182" s="247">
        <v>931925</v>
      </c>
      <c r="E182" s="425">
        <f t="shared" si="44"/>
        <v>112.97303967593959</v>
      </c>
      <c r="F182" s="247">
        <v>269187</v>
      </c>
      <c r="G182" s="247">
        <v>217361</v>
      </c>
      <c r="H182" s="425">
        <f t="shared" si="45"/>
        <v>123.84328375375529</v>
      </c>
      <c r="I182" s="247">
        <v>463435</v>
      </c>
      <c r="J182" s="247">
        <v>411217</v>
      </c>
      <c r="K182" s="425">
        <f t="shared" si="46"/>
        <v>112.69840497839341</v>
      </c>
      <c r="L182" s="247">
        <v>548843</v>
      </c>
      <c r="M182" s="247">
        <v>460377</v>
      </c>
      <c r="N182" s="425">
        <f t="shared" si="47"/>
        <v>119.21599037310726</v>
      </c>
      <c r="P182" s="127"/>
    </row>
    <row r="184" spans="1:16" x14ac:dyDescent="0.25">
      <c r="A184" s="1033" t="s">
        <v>364</v>
      </c>
      <c r="B184" s="1034" t="s">
        <v>155</v>
      </c>
      <c r="C184" s="254">
        <f>SUM(C185:C188)</f>
        <v>34524375</v>
      </c>
      <c r="D184" s="254">
        <f>SUM(D185:D188)</f>
        <v>19103946</v>
      </c>
      <c r="E184" s="451">
        <f t="shared" ref="E184:E188" si="48">C184/D184*100</f>
        <v>180.71855416676743</v>
      </c>
      <c r="F184" s="254">
        <f>SUM(F185:F188)</f>
        <v>4499432</v>
      </c>
      <c r="G184" s="254">
        <f>SUM(G185:G188)</f>
        <v>2423845</v>
      </c>
      <c r="H184" s="451">
        <f t="shared" ref="H184:H188" si="49">F184/G184*100</f>
        <v>185.63200204633549</v>
      </c>
      <c r="I184" s="254">
        <f>SUM(I185:I188)</f>
        <v>35584090</v>
      </c>
      <c r="J184" s="254">
        <f>SUM(J185:J188)</f>
        <v>20802846</v>
      </c>
      <c r="K184" s="451">
        <f t="shared" ref="K184:K188" si="50">I184/J184*100</f>
        <v>171.05395098343757</v>
      </c>
      <c r="L184" s="254">
        <f>SUM(L185:L188)</f>
        <v>24433846</v>
      </c>
      <c r="M184" s="254">
        <f>SUM(M185:M188)</f>
        <v>15347946</v>
      </c>
      <c r="N184" s="451">
        <f t="shared" ref="N184:N188" si="51">L184/M184*100</f>
        <v>159.19945248699727</v>
      </c>
    </row>
    <row r="185" spans="1:16" ht="17.25" x14ac:dyDescent="0.25">
      <c r="A185" s="272">
        <v>1</v>
      </c>
      <c r="B185" s="577" t="s">
        <v>687</v>
      </c>
      <c r="C185" s="282">
        <v>16973761</v>
      </c>
      <c r="D185" s="282">
        <v>6339118</v>
      </c>
      <c r="E185" s="425">
        <f t="shared" si="48"/>
        <v>267.76218710552479</v>
      </c>
      <c r="F185" s="282">
        <v>1865728</v>
      </c>
      <c r="G185" s="282">
        <v>852560</v>
      </c>
      <c r="H185" s="425">
        <f t="shared" si="49"/>
        <v>218.83832222952049</v>
      </c>
      <c r="I185" s="282">
        <v>14263005</v>
      </c>
      <c r="J185" s="282">
        <v>5929196</v>
      </c>
      <c r="K185" s="425">
        <f t="shared" si="50"/>
        <v>240.55546485560603</v>
      </c>
      <c r="L185" s="282">
        <v>6636937</v>
      </c>
      <c r="M185" s="282">
        <v>2668895</v>
      </c>
      <c r="N185" s="425">
        <f t="shared" si="51"/>
        <v>248.67733650068661</v>
      </c>
    </row>
    <row r="186" spans="1:16" ht="17.25" x14ac:dyDescent="0.25">
      <c r="A186" s="272">
        <v>2</v>
      </c>
      <c r="B186" s="577" t="s">
        <v>299</v>
      </c>
      <c r="C186" s="282">
        <v>731</v>
      </c>
      <c r="D186" s="282">
        <v>7765</v>
      </c>
      <c r="E186" s="425">
        <f t="shared" si="48"/>
        <v>9.4140373470701864</v>
      </c>
      <c r="F186" s="282">
        <v>0</v>
      </c>
      <c r="G186" s="282">
        <v>7765</v>
      </c>
      <c r="H186" s="425">
        <f t="shared" si="49"/>
        <v>0</v>
      </c>
      <c r="I186" s="282">
        <v>1059212</v>
      </c>
      <c r="J186" s="282">
        <v>713260</v>
      </c>
      <c r="K186" s="425">
        <f t="shared" si="50"/>
        <v>148.50293020777835</v>
      </c>
      <c r="L186" s="282">
        <v>0</v>
      </c>
      <c r="M186" s="282">
        <v>0</v>
      </c>
      <c r="N186" s="425" t="e">
        <f t="shared" si="51"/>
        <v>#DIV/0!</v>
      </c>
    </row>
    <row r="187" spans="1:16" ht="17.25" x14ac:dyDescent="0.25">
      <c r="A187" s="272">
        <v>3</v>
      </c>
      <c r="B187" s="577" t="s">
        <v>244</v>
      </c>
      <c r="C187" s="282">
        <v>171593</v>
      </c>
      <c r="D187" s="282">
        <v>95778</v>
      </c>
      <c r="E187" s="425">
        <f t="shared" si="48"/>
        <v>179.15700891645264</v>
      </c>
      <c r="F187" s="282">
        <v>48112</v>
      </c>
      <c r="G187" s="282">
        <v>94100</v>
      </c>
      <c r="H187" s="425">
        <f t="shared" si="49"/>
        <v>51.12858660998937</v>
      </c>
      <c r="I187" s="282">
        <v>171593</v>
      </c>
      <c r="J187" s="282">
        <v>104744</v>
      </c>
      <c r="K187" s="425">
        <f t="shared" si="50"/>
        <v>163.82131673413275</v>
      </c>
      <c r="L187" s="282">
        <v>171593</v>
      </c>
      <c r="M187" s="282">
        <v>104744</v>
      </c>
      <c r="N187" s="425">
        <f t="shared" si="51"/>
        <v>163.82131673413275</v>
      </c>
    </row>
    <row r="188" spans="1:16" ht="17.25" x14ac:dyDescent="0.25">
      <c r="A188" s="272">
        <v>4</v>
      </c>
      <c r="B188" s="578" t="s">
        <v>688</v>
      </c>
      <c r="C188" s="282">
        <v>17378290</v>
      </c>
      <c r="D188" s="282">
        <v>12661285</v>
      </c>
      <c r="E188" s="425">
        <f t="shared" si="48"/>
        <v>137.25534177613093</v>
      </c>
      <c r="F188" s="282">
        <v>2585592</v>
      </c>
      <c r="G188" s="282">
        <v>1469420</v>
      </c>
      <c r="H188" s="425">
        <f t="shared" si="49"/>
        <v>175.96003865470732</v>
      </c>
      <c r="I188" s="282">
        <v>20090280</v>
      </c>
      <c r="J188" s="282">
        <v>14055646</v>
      </c>
      <c r="K188" s="425">
        <f t="shared" si="50"/>
        <v>142.93387867053568</v>
      </c>
      <c r="L188" s="282">
        <v>17625316</v>
      </c>
      <c r="M188" s="282">
        <v>12574307</v>
      </c>
      <c r="N188" s="425">
        <f t="shared" si="51"/>
        <v>140.16928328535323</v>
      </c>
    </row>
    <row r="189" spans="1:16" x14ac:dyDescent="0.25">
      <c r="A189" s="579"/>
      <c r="B189" s="579"/>
      <c r="C189" s="579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</row>
    <row r="190" spans="1:16" x14ac:dyDescent="0.25">
      <c r="A190" s="1033" t="s">
        <v>363</v>
      </c>
      <c r="B190" s="1034" t="s">
        <v>119</v>
      </c>
      <c r="C190" s="254">
        <f>SUM(C191:C228)</f>
        <v>59211937</v>
      </c>
      <c r="D190" s="254">
        <f>SUM(D191:D228)</f>
        <v>49490998</v>
      </c>
      <c r="E190" s="451">
        <f>C190/D190*100</f>
        <v>119.64183264196855</v>
      </c>
      <c r="F190" s="254">
        <f>SUM(F191:F228)</f>
        <v>12632309</v>
      </c>
      <c r="G190" s="254">
        <f>SUM(G191:G228)</f>
        <v>5964887</v>
      </c>
      <c r="H190" s="451">
        <f>F190/G190*100</f>
        <v>211.77784256432685</v>
      </c>
      <c r="I190" s="254">
        <f>SUM(I191:I228)</f>
        <v>49765925</v>
      </c>
      <c r="J190" s="254">
        <f>SUM(J191:J228)</f>
        <v>42899081</v>
      </c>
      <c r="K190" s="451">
        <f>I190/J190*100</f>
        <v>116.00697227057148</v>
      </c>
      <c r="L190" s="254">
        <f>SUM(L191:L228)</f>
        <v>3839438</v>
      </c>
      <c r="M190" s="254">
        <f>SUM(M191:M228)</f>
        <v>4883503</v>
      </c>
      <c r="N190" s="451">
        <f>L190/M190*100</f>
        <v>78.620572158960485</v>
      </c>
    </row>
    <row r="191" spans="1:16" ht="17.25" x14ac:dyDescent="0.25">
      <c r="A191" s="53">
        <v>1</v>
      </c>
      <c r="B191" s="545" t="s">
        <v>689</v>
      </c>
      <c r="C191" s="247">
        <v>43128</v>
      </c>
      <c r="D191" s="247">
        <v>63571</v>
      </c>
      <c r="E191" s="425">
        <f t="shared" ref="E191:E228" si="52">C191/D191*100</f>
        <v>67.842255116326626</v>
      </c>
      <c r="F191" s="247">
        <v>18200</v>
      </c>
      <c r="G191" s="247">
        <v>15732</v>
      </c>
      <c r="H191" s="425">
        <f t="shared" ref="H191:H228" si="53">F191/G191*100</f>
        <v>115.68777015001271</v>
      </c>
      <c r="I191" s="247">
        <v>65225</v>
      </c>
      <c r="J191" s="247">
        <v>32787</v>
      </c>
      <c r="K191" s="425">
        <f t="shared" ref="K191:K228" si="54">I191/J191*100</f>
        <v>198.93555372556196</v>
      </c>
      <c r="L191" s="247">
        <v>64131</v>
      </c>
      <c r="M191" s="247">
        <v>28629</v>
      </c>
      <c r="N191" s="425">
        <f t="shared" ref="N191:N228" si="55">L191/M191*100</f>
        <v>224.00712564183172</v>
      </c>
    </row>
    <row r="192" spans="1:16" ht="17.25" x14ac:dyDescent="0.25">
      <c r="A192" s="53">
        <v>2</v>
      </c>
      <c r="B192" s="545" t="s">
        <v>690</v>
      </c>
      <c r="C192" s="247">
        <v>816722</v>
      </c>
      <c r="D192" s="247">
        <v>784007</v>
      </c>
      <c r="E192" s="425">
        <f t="shared" si="52"/>
        <v>104.17279437556041</v>
      </c>
      <c r="F192" s="247">
        <v>196177</v>
      </c>
      <c r="G192" s="247">
        <v>121733</v>
      </c>
      <c r="H192" s="425">
        <f t="shared" si="53"/>
        <v>161.15350808737153</v>
      </c>
      <c r="I192" s="247">
        <v>898453</v>
      </c>
      <c r="J192" s="247">
        <v>773203</v>
      </c>
      <c r="K192" s="425">
        <f t="shared" si="54"/>
        <v>116.19885075458838</v>
      </c>
      <c r="L192" s="247">
        <v>461810</v>
      </c>
      <c r="M192" s="247">
        <v>314784</v>
      </c>
      <c r="N192" s="425">
        <f t="shared" si="55"/>
        <v>146.70694825658228</v>
      </c>
    </row>
    <row r="193" spans="1:14" ht="17.25" x14ac:dyDescent="0.25">
      <c r="A193" s="53">
        <v>3</v>
      </c>
      <c r="B193" s="545" t="s">
        <v>692</v>
      </c>
      <c r="C193" s="247">
        <v>250457</v>
      </c>
      <c r="D193" s="247">
        <v>168853</v>
      </c>
      <c r="E193" s="425">
        <f t="shared" si="52"/>
        <v>148.32842768562006</v>
      </c>
      <c r="F193" s="247">
        <v>115866</v>
      </c>
      <c r="G193" s="247">
        <v>76760</v>
      </c>
      <c r="H193" s="425">
        <f t="shared" si="53"/>
        <v>150.94580510682647</v>
      </c>
      <c r="I193" s="247">
        <v>440388</v>
      </c>
      <c r="J193" s="247">
        <v>222079</v>
      </c>
      <c r="K193" s="425">
        <f t="shared" si="54"/>
        <v>198.30240590060293</v>
      </c>
      <c r="L193" s="247">
        <v>364415</v>
      </c>
      <c r="M193" s="247">
        <v>163280</v>
      </c>
      <c r="N193" s="425">
        <f t="shared" si="55"/>
        <v>223.1841009309162</v>
      </c>
    </row>
    <row r="194" spans="1:14" ht="17.25" x14ac:dyDescent="0.25">
      <c r="A194" s="53">
        <v>4</v>
      </c>
      <c r="B194" s="545" t="s">
        <v>691</v>
      </c>
      <c r="C194" s="247">
        <v>1488873</v>
      </c>
      <c r="D194" s="247">
        <v>1856046</v>
      </c>
      <c r="E194" s="425">
        <f t="shared" si="52"/>
        <v>80.217462282723602</v>
      </c>
      <c r="F194" s="247">
        <v>278875</v>
      </c>
      <c r="G194" s="247">
        <v>105637</v>
      </c>
      <c r="H194" s="425">
        <f t="shared" si="53"/>
        <v>263.99367645805921</v>
      </c>
      <c r="I194" s="247">
        <v>1540829</v>
      </c>
      <c r="J194" s="247">
        <v>1682754</v>
      </c>
      <c r="K194" s="425">
        <f t="shared" si="54"/>
        <v>91.565909217865467</v>
      </c>
      <c r="L194" s="247">
        <v>749370</v>
      </c>
      <c r="M194" s="247">
        <v>907550</v>
      </c>
      <c r="N194" s="425">
        <f t="shared" si="55"/>
        <v>82.570657264062589</v>
      </c>
    </row>
    <row r="195" spans="1:14" ht="17.25" x14ac:dyDescent="0.25">
      <c r="A195" s="53">
        <v>5</v>
      </c>
      <c r="B195" s="545" t="s">
        <v>693</v>
      </c>
      <c r="C195" s="247">
        <v>31265213</v>
      </c>
      <c r="D195" s="247">
        <v>26325678</v>
      </c>
      <c r="E195" s="425">
        <f t="shared" si="52"/>
        <v>118.76318247150178</v>
      </c>
      <c r="F195" s="247">
        <v>6167043</v>
      </c>
      <c r="G195" s="247">
        <v>1998677</v>
      </c>
      <c r="H195" s="425">
        <f t="shared" si="53"/>
        <v>308.55625996596746</v>
      </c>
      <c r="I195" s="247">
        <v>24958270</v>
      </c>
      <c r="J195" s="247">
        <v>20998409</v>
      </c>
      <c r="K195" s="425">
        <f t="shared" si="54"/>
        <v>118.85790966353689</v>
      </c>
      <c r="L195" s="247">
        <v>227129</v>
      </c>
      <c r="M195" s="247">
        <v>1705369</v>
      </c>
      <c r="N195" s="425">
        <f t="shared" si="55"/>
        <v>13.318466560609462</v>
      </c>
    </row>
    <row r="196" spans="1:14" ht="17.25" x14ac:dyDescent="0.25">
      <c r="A196" s="53">
        <v>6</v>
      </c>
      <c r="B196" s="545" t="s">
        <v>694</v>
      </c>
      <c r="C196" s="247">
        <v>3757493</v>
      </c>
      <c r="D196" s="247">
        <v>3014963</v>
      </c>
      <c r="E196" s="425">
        <f t="shared" si="52"/>
        <v>124.62816293267944</v>
      </c>
      <c r="F196" s="247">
        <v>1322634</v>
      </c>
      <c r="G196" s="247">
        <v>626178</v>
      </c>
      <c r="H196" s="425">
        <f t="shared" si="53"/>
        <v>211.22332627463754</v>
      </c>
      <c r="I196" s="247">
        <v>2218457</v>
      </c>
      <c r="J196" s="247">
        <v>2576150</v>
      </c>
      <c r="K196" s="425">
        <f t="shared" si="54"/>
        <v>86.115210682607767</v>
      </c>
      <c r="L196" s="247">
        <v>413175</v>
      </c>
      <c r="M196" s="247">
        <v>311263</v>
      </c>
      <c r="N196" s="425">
        <f t="shared" si="55"/>
        <v>132.74144373086426</v>
      </c>
    </row>
    <row r="197" spans="1:14" ht="17.25" x14ac:dyDescent="0.25">
      <c r="A197" s="53">
        <v>7</v>
      </c>
      <c r="B197" s="545" t="s">
        <v>695</v>
      </c>
      <c r="C197" s="247">
        <v>978545</v>
      </c>
      <c r="D197" s="247">
        <v>1120730</v>
      </c>
      <c r="E197" s="425">
        <f t="shared" si="52"/>
        <v>87.313179802450193</v>
      </c>
      <c r="F197" s="247">
        <v>212021</v>
      </c>
      <c r="G197" s="247">
        <v>205303</v>
      </c>
      <c r="H197" s="425">
        <f t="shared" si="53"/>
        <v>103.27223664534858</v>
      </c>
      <c r="I197" s="247">
        <v>353666</v>
      </c>
      <c r="J197" s="247">
        <v>1047411</v>
      </c>
      <c r="K197" s="425">
        <f t="shared" si="54"/>
        <v>33.765732840308146</v>
      </c>
      <c r="L197" s="247">
        <v>145658</v>
      </c>
      <c r="M197" s="247">
        <v>47279</v>
      </c>
      <c r="N197" s="425">
        <f t="shared" si="55"/>
        <v>308.08181222107066</v>
      </c>
    </row>
    <row r="198" spans="1:14" ht="17.25" x14ac:dyDescent="0.25">
      <c r="A198" s="53">
        <v>8</v>
      </c>
      <c r="B198" s="545" t="s">
        <v>696</v>
      </c>
      <c r="C198" s="247">
        <v>122796</v>
      </c>
      <c r="D198" s="247">
        <v>264971</v>
      </c>
      <c r="E198" s="425">
        <f t="shared" si="52"/>
        <v>46.343184725875666</v>
      </c>
      <c r="F198" s="247">
        <v>3230</v>
      </c>
      <c r="G198" s="247">
        <v>10834</v>
      </c>
      <c r="H198" s="425">
        <f t="shared" si="53"/>
        <v>29.81354993538859</v>
      </c>
      <c r="I198" s="247">
        <v>171274</v>
      </c>
      <c r="J198" s="247">
        <v>341568</v>
      </c>
      <c r="K198" s="425">
        <f t="shared" si="54"/>
        <v>50.143456061457748</v>
      </c>
      <c r="L198" s="247">
        <v>851</v>
      </c>
      <c r="M198" s="247">
        <v>32924</v>
      </c>
      <c r="N198" s="425">
        <f t="shared" si="55"/>
        <v>2.5847406147491192</v>
      </c>
    </row>
    <row r="199" spans="1:14" ht="17.25" x14ac:dyDescent="0.25">
      <c r="A199" s="53">
        <v>9</v>
      </c>
      <c r="B199" s="545" t="s">
        <v>697</v>
      </c>
      <c r="C199" s="247">
        <v>1495224</v>
      </c>
      <c r="D199" s="247">
        <v>952476</v>
      </c>
      <c r="E199" s="425">
        <f t="shared" si="52"/>
        <v>156.98285311125949</v>
      </c>
      <c r="F199" s="247">
        <v>298329</v>
      </c>
      <c r="G199" s="247">
        <v>155733</v>
      </c>
      <c r="H199" s="425">
        <f t="shared" si="53"/>
        <v>191.56440831423012</v>
      </c>
      <c r="I199" s="247">
        <v>1490724</v>
      </c>
      <c r="J199" s="247">
        <v>951226</v>
      </c>
      <c r="K199" s="425">
        <f t="shared" si="54"/>
        <v>156.71606957757675</v>
      </c>
      <c r="L199" s="247">
        <v>20920</v>
      </c>
      <c r="M199" s="247">
        <v>0</v>
      </c>
      <c r="N199" s="425" t="e">
        <f t="shared" si="55"/>
        <v>#DIV/0!</v>
      </c>
    </row>
    <row r="200" spans="1:14" ht="17.25" x14ac:dyDescent="0.25">
      <c r="A200" s="53">
        <v>10</v>
      </c>
      <c r="B200" s="545" t="s">
        <v>227</v>
      </c>
      <c r="C200" s="247">
        <v>547346</v>
      </c>
      <c r="D200" s="247">
        <v>563719</v>
      </c>
      <c r="E200" s="425">
        <f t="shared" si="52"/>
        <v>97.095538734724215</v>
      </c>
      <c r="F200" s="247">
        <v>83710</v>
      </c>
      <c r="G200" s="247">
        <v>91075</v>
      </c>
      <c r="H200" s="425">
        <f t="shared" si="53"/>
        <v>91.913258303595939</v>
      </c>
      <c r="I200" s="247">
        <v>547346</v>
      </c>
      <c r="J200" s="247">
        <v>563719</v>
      </c>
      <c r="K200" s="425">
        <f t="shared" si="54"/>
        <v>97.095538734724215</v>
      </c>
      <c r="L200" s="247">
        <v>343841</v>
      </c>
      <c r="M200" s="247">
        <v>487543</v>
      </c>
      <c r="N200" s="425">
        <f t="shared" si="55"/>
        <v>70.525266489314788</v>
      </c>
    </row>
    <row r="201" spans="1:14" ht="17.25" x14ac:dyDescent="0.25">
      <c r="A201" s="53">
        <v>11</v>
      </c>
      <c r="B201" s="545" t="s">
        <v>235</v>
      </c>
      <c r="C201" s="247">
        <v>141865</v>
      </c>
      <c r="D201" s="247">
        <v>101094</v>
      </c>
      <c r="E201" s="425">
        <f t="shared" si="52"/>
        <v>140.32979207470277</v>
      </c>
      <c r="F201" s="247">
        <v>17504</v>
      </c>
      <c r="G201" s="247">
        <v>17724</v>
      </c>
      <c r="H201" s="425">
        <f t="shared" si="53"/>
        <v>98.758745204242842</v>
      </c>
      <c r="I201" s="247">
        <v>141865</v>
      </c>
      <c r="J201" s="247">
        <v>101094</v>
      </c>
      <c r="K201" s="425">
        <f t="shared" si="54"/>
        <v>140.32979207470277</v>
      </c>
      <c r="L201" s="247">
        <v>0</v>
      </c>
      <c r="M201" s="247">
        <v>0</v>
      </c>
      <c r="N201" s="425" t="e">
        <f t="shared" si="55"/>
        <v>#DIV/0!</v>
      </c>
    </row>
    <row r="202" spans="1:14" ht="17.25" x14ac:dyDescent="0.25">
      <c r="A202" s="53">
        <v>12</v>
      </c>
      <c r="B202" s="545" t="s">
        <v>698</v>
      </c>
      <c r="C202" s="247">
        <v>1018940</v>
      </c>
      <c r="D202" s="247">
        <v>943631</v>
      </c>
      <c r="E202" s="425">
        <f t="shared" si="52"/>
        <v>107.98076790609889</v>
      </c>
      <c r="F202" s="247">
        <v>216148</v>
      </c>
      <c r="G202" s="247">
        <v>148556</v>
      </c>
      <c r="H202" s="425">
        <f t="shared" si="53"/>
        <v>145.49934031610977</v>
      </c>
      <c r="I202" s="247">
        <v>1018940</v>
      </c>
      <c r="J202" s="247">
        <v>943631</v>
      </c>
      <c r="K202" s="425">
        <f t="shared" si="54"/>
        <v>107.98076790609889</v>
      </c>
      <c r="L202" s="247">
        <v>130272</v>
      </c>
      <c r="M202" s="247">
        <v>151201</v>
      </c>
      <c r="N202" s="425">
        <f t="shared" si="55"/>
        <v>86.158160329627449</v>
      </c>
    </row>
    <row r="203" spans="1:14" ht="17.25" x14ac:dyDescent="0.25">
      <c r="A203" s="53">
        <v>13</v>
      </c>
      <c r="B203" s="545" t="s">
        <v>699</v>
      </c>
      <c r="C203" s="247">
        <v>284401</v>
      </c>
      <c r="D203" s="247">
        <v>162258</v>
      </c>
      <c r="E203" s="425">
        <f t="shared" si="52"/>
        <v>175.27702794315226</v>
      </c>
      <c r="F203" s="247">
        <v>33566</v>
      </c>
      <c r="G203" s="247">
        <v>21878</v>
      </c>
      <c r="H203" s="425">
        <f t="shared" si="53"/>
        <v>153.42353048724746</v>
      </c>
      <c r="I203" s="247">
        <v>256643</v>
      </c>
      <c r="J203" s="247">
        <v>158166</v>
      </c>
      <c r="K203" s="425">
        <f t="shared" si="54"/>
        <v>162.26180089273294</v>
      </c>
      <c r="L203" s="247">
        <v>0</v>
      </c>
      <c r="M203" s="247">
        <v>0</v>
      </c>
      <c r="N203" s="425" t="e">
        <f t="shared" si="55"/>
        <v>#DIV/0!</v>
      </c>
    </row>
    <row r="204" spans="1:14" ht="17.25" x14ac:dyDescent="0.25">
      <c r="A204" s="53">
        <v>14</v>
      </c>
      <c r="B204" s="545" t="s">
        <v>700</v>
      </c>
      <c r="C204" s="247">
        <v>4730</v>
      </c>
      <c r="D204" s="247">
        <v>12407</v>
      </c>
      <c r="E204" s="425">
        <f t="shared" si="52"/>
        <v>38.123639880712503</v>
      </c>
      <c r="F204" s="247">
        <v>411</v>
      </c>
      <c r="G204" s="247">
        <v>572</v>
      </c>
      <c r="H204" s="425">
        <f t="shared" si="53"/>
        <v>71.853146853146853</v>
      </c>
      <c r="I204" s="247">
        <v>5500</v>
      </c>
      <c r="J204" s="247">
        <v>15600</v>
      </c>
      <c r="K204" s="425">
        <f t="shared" si="54"/>
        <v>35.256410256410255</v>
      </c>
      <c r="L204" s="247">
        <v>0</v>
      </c>
      <c r="M204" s="247">
        <v>0</v>
      </c>
      <c r="N204" s="425" t="e">
        <f t="shared" si="55"/>
        <v>#DIV/0!</v>
      </c>
    </row>
    <row r="205" spans="1:14" ht="17.25" x14ac:dyDescent="0.25">
      <c r="A205" s="53">
        <v>15</v>
      </c>
      <c r="B205" s="545" t="s">
        <v>701</v>
      </c>
      <c r="C205" s="247">
        <v>2465977</v>
      </c>
      <c r="D205" s="247">
        <v>2148097</v>
      </c>
      <c r="E205" s="425">
        <f t="shared" si="52"/>
        <v>114.79821441955369</v>
      </c>
      <c r="F205" s="247">
        <v>454839</v>
      </c>
      <c r="G205" s="247">
        <v>323413</v>
      </c>
      <c r="H205" s="425">
        <f t="shared" si="53"/>
        <v>140.63720382297558</v>
      </c>
      <c r="I205" s="247">
        <v>1709879</v>
      </c>
      <c r="J205" s="247">
        <v>1403696</v>
      </c>
      <c r="K205" s="425">
        <f t="shared" si="54"/>
        <v>121.8126289452987</v>
      </c>
      <c r="L205" s="247">
        <v>0</v>
      </c>
      <c r="M205" s="247">
        <v>0</v>
      </c>
      <c r="N205" s="425" t="e">
        <f t="shared" si="55"/>
        <v>#DIV/0!</v>
      </c>
    </row>
    <row r="206" spans="1:14" ht="17.25" x14ac:dyDescent="0.25">
      <c r="A206" s="53">
        <v>16</v>
      </c>
      <c r="B206" s="545" t="s">
        <v>702</v>
      </c>
      <c r="C206" s="247">
        <v>12564088</v>
      </c>
      <c r="D206" s="247">
        <v>9924800</v>
      </c>
      <c r="E206" s="425">
        <f t="shared" si="52"/>
        <v>126.5928582943737</v>
      </c>
      <c r="F206" s="247">
        <v>2864213</v>
      </c>
      <c r="G206" s="247">
        <v>1820957</v>
      </c>
      <c r="H206" s="425">
        <f t="shared" si="53"/>
        <v>157.29163291609851</v>
      </c>
      <c r="I206" s="247">
        <v>12250447</v>
      </c>
      <c r="J206" s="247">
        <v>9662549</v>
      </c>
      <c r="K206" s="425">
        <f t="shared" si="54"/>
        <v>126.7827671559544</v>
      </c>
      <c r="L206" s="247">
        <v>626160</v>
      </c>
      <c r="M206" s="247">
        <v>435089</v>
      </c>
      <c r="N206" s="425">
        <f t="shared" si="55"/>
        <v>143.9153828297199</v>
      </c>
    </row>
    <row r="207" spans="1:14" ht="34.5" x14ac:dyDescent="0.25">
      <c r="A207" s="53">
        <v>17</v>
      </c>
      <c r="B207" s="545" t="s">
        <v>547</v>
      </c>
      <c r="C207" s="247"/>
      <c r="D207" s="247"/>
      <c r="E207" s="425" t="e">
        <f t="shared" si="52"/>
        <v>#DIV/0!</v>
      </c>
      <c r="F207" s="247"/>
      <c r="G207" s="247"/>
      <c r="H207" s="425" t="e">
        <f t="shared" si="53"/>
        <v>#DIV/0!</v>
      </c>
      <c r="I207" s="247"/>
      <c r="J207" s="247"/>
      <c r="K207" s="425" t="e">
        <f t="shared" si="54"/>
        <v>#DIV/0!</v>
      </c>
      <c r="L207" s="247"/>
      <c r="M207" s="247"/>
      <c r="N207" s="425" t="e">
        <f t="shared" si="55"/>
        <v>#DIV/0!</v>
      </c>
    </row>
    <row r="208" spans="1:14" ht="17.25" x14ac:dyDescent="0.25">
      <c r="A208" s="53">
        <v>18</v>
      </c>
      <c r="B208" s="545" t="s">
        <v>549</v>
      </c>
      <c r="C208" s="247"/>
      <c r="D208" s="247"/>
      <c r="E208" s="425" t="e">
        <f t="shared" si="52"/>
        <v>#DIV/0!</v>
      </c>
      <c r="F208" s="247"/>
      <c r="G208" s="247"/>
      <c r="H208" s="425" t="e">
        <f t="shared" si="53"/>
        <v>#DIV/0!</v>
      </c>
      <c r="I208" s="247"/>
      <c r="J208" s="247"/>
      <c r="K208" s="425" t="e">
        <f t="shared" si="54"/>
        <v>#DIV/0!</v>
      </c>
      <c r="L208" s="247"/>
      <c r="M208" s="247"/>
      <c r="N208" s="425" t="e">
        <f t="shared" si="55"/>
        <v>#DIV/0!</v>
      </c>
    </row>
    <row r="209" spans="1:14" ht="17.25" x14ac:dyDescent="0.25">
      <c r="A209" s="53">
        <v>19</v>
      </c>
      <c r="B209" s="545" t="s">
        <v>550</v>
      </c>
      <c r="C209" s="247"/>
      <c r="D209" s="247"/>
      <c r="E209" s="425" t="e">
        <f t="shared" si="52"/>
        <v>#DIV/0!</v>
      </c>
      <c r="F209" s="247"/>
      <c r="G209" s="247"/>
      <c r="H209" s="425" t="e">
        <f t="shared" si="53"/>
        <v>#DIV/0!</v>
      </c>
      <c r="I209" s="247"/>
      <c r="J209" s="247"/>
      <c r="K209" s="425" t="e">
        <f t="shared" si="54"/>
        <v>#DIV/0!</v>
      </c>
      <c r="L209" s="247"/>
      <c r="M209" s="247"/>
      <c r="N209" s="425" t="e">
        <f t="shared" si="55"/>
        <v>#DIV/0!</v>
      </c>
    </row>
    <row r="210" spans="1:14" ht="17.25" x14ac:dyDescent="0.25">
      <c r="A210" s="53">
        <v>20</v>
      </c>
      <c r="B210" s="545" t="s">
        <v>551</v>
      </c>
      <c r="C210" s="247">
        <v>699228</v>
      </c>
      <c r="D210" s="247">
        <v>472389</v>
      </c>
      <c r="E210" s="425">
        <f t="shared" si="52"/>
        <v>148.01953474784554</v>
      </c>
      <c r="F210" s="247">
        <v>96480</v>
      </c>
      <c r="G210" s="247">
        <v>67666</v>
      </c>
      <c r="H210" s="425">
        <f t="shared" si="53"/>
        <v>142.58268554369994</v>
      </c>
      <c r="I210" s="247">
        <v>705521</v>
      </c>
      <c r="J210" s="247">
        <v>444999</v>
      </c>
      <c r="K210" s="425">
        <f t="shared" si="54"/>
        <v>158.54440122337354</v>
      </c>
      <c r="L210" s="247">
        <v>14005</v>
      </c>
      <c r="M210" s="247">
        <v>5404</v>
      </c>
      <c r="N210" s="425">
        <f t="shared" si="55"/>
        <v>259.15988156920798</v>
      </c>
    </row>
    <row r="211" spans="1:14" ht="17.25" x14ac:dyDescent="0.25">
      <c r="A211" s="53">
        <v>21</v>
      </c>
      <c r="B211" s="545" t="s">
        <v>553</v>
      </c>
      <c r="C211" s="247"/>
      <c r="D211" s="247"/>
      <c r="E211" s="425" t="e">
        <f t="shared" si="52"/>
        <v>#DIV/0!</v>
      </c>
      <c r="F211" s="247"/>
      <c r="G211" s="247"/>
      <c r="H211" s="425" t="e">
        <f t="shared" si="53"/>
        <v>#DIV/0!</v>
      </c>
      <c r="I211" s="247"/>
      <c r="J211" s="247"/>
      <c r="K211" s="425" t="e">
        <f t="shared" si="54"/>
        <v>#DIV/0!</v>
      </c>
      <c r="L211" s="247"/>
      <c r="M211" s="247"/>
      <c r="N211" s="425" t="e">
        <f t="shared" si="55"/>
        <v>#DIV/0!</v>
      </c>
    </row>
    <row r="212" spans="1:14" ht="17.25" x14ac:dyDescent="0.25">
      <c r="A212" s="53">
        <v>22</v>
      </c>
      <c r="B212" s="545" t="s">
        <v>554</v>
      </c>
      <c r="C212" s="247"/>
      <c r="D212" s="247"/>
      <c r="E212" s="425" t="e">
        <f t="shared" si="52"/>
        <v>#DIV/0!</v>
      </c>
      <c r="F212" s="247"/>
      <c r="G212" s="247"/>
      <c r="H212" s="425" t="e">
        <f t="shared" si="53"/>
        <v>#DIV/0!</v>
      </c>
      <c r="I212" s="247"/>
      <c r="J212" s="247"/>
      <c r="K212" s="425" t="e">
        <f t="shared" si="54"/>
        <v>#DIV/0!</v>
      </c>
      <c r="L212" s="247"/>
      <c r="M212" s="247"/>
      <c r="N212" s="425" t="e">
        <f t="shared" si="55"/>
        <v>#DIV/0!</v>
      </c>
    </row>
    <row r="213" spans="1:14" ht="17.25" x14ac:dyDescent="0.25">
      <c r="A213" s="53">
        <v>23</v>
      </c>
      <c r="B213" s="545" t="s">
        <v>575</v>
      </c>
      <c r="C213" s="247">
        <v>85422</v>
      </c>
      <c r="D213" s="247">
        <v>22818</v>
      </c>
      <c r="E213" s="425">
        <f t="shared" si="52"/>
        <v>374.36234551669736</v>
      </c>
      <c r="F213" s="247">
        <v>21735</v>
      </c>
      <c r="G213" s="247">
        <v>15616</v>
      </c>
      <c r="H213" s="425">
        <f t="shared" si="53"/>
        <v>139.18417008196721</v>
      </c>
      <c r="I213" s="247">
        <v>30768</v>
      </c>
      <c r="J213" s="247">
        <v>20854</v>
      </c>
      <c r="K213" s="425">
        <f t="shared" si="54"/>
        <v>147.54004028004221</v>
      </c>
      <c r="L213" s="247">
        <v>6022</v>
      </c>
      <c r="M213" s="247">
        <v>4779</v>
      </c>
      <c r="N213" s="425">
        <f t="shared" si="55"/>
        <v>126.00962544465368</v>
      </c>
    </row>
    <row r="214" spans="1:14" ht="17.25" x14ac:dyDescent="0.25">
      <c r="A214" s="53">
        <v>24</v>
      </c>
      <c r="B214" s="545" t="s">
        <v>576</v>
      </c>
      <c r="C214" s="247">
        <v>23407</v>
      </c>
      <c r="D214" s="247">
        <v>28223</v>
      </c>
      <c r="E214" s="425">
        <f t="shared" si="52"/>
        <v>82.935903341246501</v>
      </c>
      <c r="F214" s="247">
        <v>5462</v>
      </c>
      <c r="G214" s="247">
        <v>4820</v>
      </c>
      <c r="H214" s="425">
        <f t="shared" si="53"/>
        <v>113.3195020746888</v>
      </c>
      <c r="I214" s="247">
        <v>26842</v>
      </c>
      <c r="J214" s="247">
        <v>28995</v>
      </c>
      <c r="K214" s="425">
        <f t="shared" si="54"/>
        <v>92.574581824452494</v>
      </c>
      <c r="L214" s="247">
        <v>0</v>
      </c>
      <c r="M214" s="247">
        <v>0</v>
      </c>
      <c r="N214" s="425" t="e">
        <f t="shared" si="55"/>
        <v>#DIV/0!</v>
      </c>
    </row>
    <row r="215" spans="1:14" ht="17.25" x14ac:dyDescent="0.25">
      <c r="A215" s="53">
        <v>25</v>
      </c>
      <c r="B215" s="545" t="s">
        <v>554</v>
      </c>
      <c r="C215" s="247"/>
      <c r="D215" s="247"/>
      <c r="E215" s="425" t="e">
        <f t="shared" si="52"/>
        <v>#DIV/0!</v>
      </c>
      <c r="F215" s="247"/>
      <c r="G215" s="247"/>
      <c r="H215" s="425" t="e">
        <f t="shared" si="53"/>
        <v>#DIV/0!</v>
      </c>
      <c r="I215" s="247"/>
      <c r="J215" s="247"/>
      <c r="K215" s="425" t="e">
        <f t="shared" si="54"/>
        <v>#DIV/0!</v>
      </c>
      <c r="L215" s="247"/>
      <c r="M215" s="247"/>
      <c r="N215" s="425" t="e">
        <f t="shared" si="55"/>
        <v>#DIV/0!</v>
      </c>
    </row>
    <row r="216" spans="1:14" ht="34.5" x14ac:dyDescent="0.25">
      <c r="A216" s="53">
        <v>26</v>
      </c>
      <c r="B216" s="545" t="s">
        <v>703</v>
      </c>
      <c r="C216" s="247"/>
      <c r="D216" s="247"/>
      <c r="E216" s="425" t="e">
        <f t="shared" si="52"/>
        <v>#DIV/0!</v>
      </c>
      <c r="F216" s="247"/>
      <c r="G216" s="247"/>
      <c r="H216" s="425" t="e">
        <f t="shared" si="53"/>
        <v>#DIV/0!</v>
      </c>
      <c r="I216" s="247"/>
      <c r="J216" s="247"/>
      <c r="K216" s="425" t="e">
        <f t="shared" si="54"/>
        <v>#DIV/0!</v>
      </c>
      <c r="L216" s="247"/>
      <c r="M216" s="247"/>
      <c r="N216" s="425" t="e">
        <f t="shared" si="55"/>
        <v>#DIV/0!</v>
      </c>
    </row>
    <row r="217" spans="1:14" ht="34.5" x14ac:dyDescent="0.25">
      <c r="A217" s="53">
        <v>27</v>
      </c>
      <c r="B217" s="545" t="s">
        <v>557</v>
      </c>
      <c r="C217" s="247">
        <v>510325</v>
      </c>
      <c r="D217" s="247">
        <v>63617</v>
      </c>
      <c r="E217" s="425">
        <f t="shared" si="52"/>
        <v>802.18337865664842</v>
      </c>
      <c r="F217" s="247">
        <v>87178</v>
      </c>
      <c r="G217" s="247">
        <v>45199</v>
      </c>
      <c r="H217" s="425">
        <f t="shared" si="53"/>
        <v>192.87594858293323</v>
      </c>
      <c r="I217" s="247">
        <v>436500</v>
      </c>
      <c r="J217" s="247">
        <v>431794</v>
      </c>
      <c r="K217" s="425">
        <f t="shared" si="54"/>
        <v>101.0898715591231</v>
      </c>
      <c r="L217" s="247">
        <v>145899</v>
      </c>
      <c r="M217" s="247">
        <v>288409</v>
      </c>
      <c r="N217" s="425">
        <f t="shared" si="55"/>
        <v>50.587533676133546</v>
      </c>
    </row>
    <row r="218" spans="1:14" ht="17.25" x14ac:dyDescent="0.25">
      <c r="A218" s="53">
        <v>28</v>
      </c>
      <c r="B218" s="545" t="s">
        <v>558</v>
      </c>
      <c r="C218" s="247"/>
      <c r="D218" s="247"/>
      <c r="E218" s="425" t="e">
        <f t="shared" si="52"/>
        <v>#DIV/0!</v>
      </c>
      <c r="F218" s="247"/>
      <c r="G218" s="247"/>
      <c r="H218" s="425" t="e">
        <f t="shared" si="53"/>
        <v>#DIV/0!</v>
      </c>
      <c r="I218" s="247"/>
      <c r="J218" s="247"/>
      <c r="K218" s="425" t="e">
        <f t="shared" si="54"/>
        <v>#DIV/0!</v>
      </c>
      <c r="L218" s="247"/>
      <c r="M218" s="247"/>
      <c r="N218" s="425" t="e">
        <f t="shared" si="55"/>
        <v>#DIV/0!</v>
      </c>
    </row>
    <row r="219" spans="1:14" ht="17.25" x14ac:dyDescent="0.25">
      <c r="A219" s="53">
        <v>30</v>
      </c>
      <c r="B219" s="545" t="s">
        <v>560</v>
      </c>
      <c r="C219" s="247"/>
      <c r="D219" s="247"/>
      <c r="E219" s="425" t="e">
        <f t="shared" si="52"/>
        <v>#DIV/0!</v>
      </c>
      <c r="F219" s="247"/>
      <c r="G219" s="247"/>
      <c r="H219" s="425" t="e">
        <f t="shared" si="53"/>
        <v>#DIV/0!</v>
      </c>
      <c r="I219" s="247"/>
      <c r="J219" s="247"/>
      <c r="K219" s="425" t="e">
        <f t="shared" si="54"/>
        <v>#DIV/0!</v>
      </c>
      <c r="L219" s="247"/>
      <c r="M219" s="247"/>
      <c r="N219" s="425" t="e">
        <f t="shared" si="55"/>
        <v>#DIV/0!</v>
      </c>
    </row>
    <row r="220" spans="1:14" ht="17.25" x14ac:dyDescent="0.25">
      <c r="A220" s="53">
        <v>31</v>
      </c>
      <c r="B220" s="545" t="s">
        <v>561</v>
      </c>
      <c r="C220" s="247"/>
      <c r="D220" s="247"/>
      <c r="E220" s="425" t="e">
        <f t="shared" si="52"/>
        <v>#DIV/0!</v>
      </c>
      <c r="F220" s="247"/>
      <c r="G220" s="247"/>
      <c r="H220" s="425" t="e">
        <f t="shared" si="53"/>
        <v>#DIV/0!</v>
      </c>
      <c r="I220" s="247"/>
      <c r="J220" s="247"/>
      <c r="K220" s="425" t="e">
        <f t="shared" si="54"/>
        <v>#DIV/0!</v>
      </c>
      <c r="L220" s="247"/>
      <c r="M220" s="247"/>
      <c r="N220" s="425" t="e">
        <f t="shared" si="55"/>
        <v>#DIV/0!</v>
      </c>
    </row>
    <row r="221" spans="1:14" ht="17.25" x14ac:dyDescent="0.25">
      <c r="A221" s="53">
        <v>32</v>
      </c>
      <c r="B221" s="545" t="s">
        <v>565</v>
      </c>
      <c r="C221" s="247">
        <v>31466</v>
      </c>
      <c r="D221" s="247">
        <v>36182</v>
      </c>
      <c r="E221" s="425">
        <f t="shared" si="52"/>
        <v>86.965894643745514</v>
      </c>
      <c r="F221" s="247">
        <v>6973</v>
      </c>
      <c r="G221" s="247">
        <v>3717</v>
      </c>
      <c r="H221" s="425">
        <f t="shared" si="53"/>
        <v>187.59752488566048</v>
      </c>
      <c r="I221" s="247">
        <v>31466</v>
      </c>
      <c r="J221" s="247">
        <v>36182</v>
      </c>
      <c r="K221" s="425">
        <f t="shared" si="54"/>
        <v>86.965894643745514</v>
      </c>
      <c r="L221" s="247">
        <v>0</v>
      </c>
      <c r="M221" s="247">
        <v>0</v>
      </c>
      <c r="N221" s="425" t="e">
        <f t="shared" si="55"/>
        <v>#DIV/0!</v>
      </c>
    </row>
    <row r="222" spans="1:14" ht="17.25" x14ac:dyDescent="0.25">
      <c r="A222" s="53">
        <v>33</v>
      </c>
      <c r="B222" s="545" t="s">
        <v>566</v>
      </c>
      <c r="C222" s="247">
        <v>156368</v>
      </c>
      <c r="D222" s="247">
        <v>146319</v>
      </c>
      <c r="E222" s="425">
        <f t="shared" si="52"/>
        <v>106.86787088484748</v>
      </c>
      <c r="F222" s="425">
        <v>26431</v>
      </c>
      <c r="G222" s="247">
        <v>20425</v>
      </c>
      <c r="H222" s="425">
        <f t="shared" si="53"/>
        <v>129.40514075887393</v>
      </c>
      <c r="I222" s="247">
        <v>156368</v>
      </c>
      <c r="J222" s="247">
        <v>146319</v>
      </c>
      <c r="K222" s="425">
        <f t="shared" si="54"/>
        <v>106.86787088484748</v>
      </c>
      <c r="L222" s="247">
        <v>0</v>
      </c>
      <c r="M222" s="247">
        <v>0</v>
      </c>
      <c r="N222" s="425" t="e">
        <f t="shared" si="55"/>
        <v>#DIV/0!</v>
      </c>
    </row>
    <row r="223" spans="1:14" ht="17.25" x14ac:dyDescent="0.25">
      <c r="A223" s="53">
        <v>34</v>
      </c>
      <c r="B223" s="545" t="s">
        <v>567</v>
      </c>
      <c r="C223" s="247"/>
      <c r="D223" s="247"/>
      <c r="E223" s="425" t="e">
        <f t="shared" si="52"/>
        <v>#DIV/0!</v>
      </c>
      <c r="F223" s="247"/>
      <c r="G223" s="247"/>
      <c r="H223" s="425" t="e">
        <f t="shared" si="53"/>
        <v>#DIV/0!</v>
      </c>
      <c r="I223" s="247"/>
      <c r="J223" s="247"/>
      <c r="K223" s="425" t="e">
        <f t="shared" si="54"/>
        <v>#DIV/0!</v>
      </c>
      <c r="L223" s="247"/>
      <c r="M223" s="247"/>
      <c r="N223" s="425" t="e">
        <f t="shared" si="55"/>
        <v>#DIV/0!</v>
      </c>
    </row>
    <row r="224" spans="1:14" ht="17.25" x14ac:dyDescent="0.25">
      <c r="A224" s="53">
        <v>35</v>
      </c>
      <c r="B224" s="545" t="s">
        <v>574</v>
      </c>
      <c r="C224" s="247">
        <v>227449</v>
      </c>
      <c r="D224" s="247">
        <v>203960</v>
      </c>
      <c r="E224" s="425">
        <f t="shared" si="52"/>
        <v>111.51647381839575</v>
      </c>
      <c r="F224" s="247">
        <v>60874</v>
      </c>
      <c r="G224" s="247">
        <v>23024</v>
      </c>
      <c r="H224" s="425">
        <f t="shared" si="53"/>
        <v>264.39367616400278</v>
      </c>
      <c r="I224" s="247">
        <v>198215</v>
      </c>
      <c r="J224" s="247">
        <v>179157</v>
      </c>
      <c r="K224" s="425">
        <f t="shared" si="54"/>
        <v>110.63759719129031</v>
      </c>
      <c r="L224" s="247">
        <v>0</v>
      </c>
      <c r="M224" s="247">
        <v>0</v>
      </c>
      <c r="N224" s="425" t="e">
        <f t="shared" si="55"/>
        <v>#DIV/0!</v>
      </c>
    </row>
    <row r="225" spans="1:14" ht="17.25" x14ac:dyDescent="0.25">
      <c r="A225" s="53">
        <v>36</v>
      </c>
      <c r="B225" s="545" t="s">
        <v>569</v>
      </c>
      <c r="C225" s="247">
        <v>2586</v>
      </c>
      <c r="D225" s="247">
        <v>19914</v>
      </c>
      <c r="E225" s="425">
        <f t="shared" si="52"/>
        <v>12.985839108165109</v>
      </c>
      <c r="F225" s="247">
        <v>0</v>
      </c>
      <c r="G225" s="247">
        <v>12029</v>
      </c>
      <c r="H225" s="425">
        <f t="shared" si="53"/>
        <v>0</v>
      </c>
      <c r="I225" s="247">
        <v>42467</v>
      </c>
      <c r="J225" s="247">
        <v>52472</v>
      </c>
      <c r="K225" s="425">
        <f t="shared" si="54"/>
        <v>80.932687909742342</v>
      </c>
      <c r="L225" s="247">
        <v>0</v>
      </c>
      <c r="M225" s="247">
        <v>0</v>
      </c>
      <c r="N225" s="425" t="e">
        <f t="shared" si="55"/>
        <v>#DIV/0!</v>
      </c>
    </row>
    <row r="226" spans="1:14" ht="17.25" x14ac:dyDescent="0.25">
      <c r="A226" s="53">
        <v>37</v>
      </c>
      <c r="B226" s="545" t="s">
        <v>704</v>
      </c>
      <c r="C226" s="247">
        <v>169256</v>
      </c>
      <c r="D226" s="247">
        <v>34774</v>
      </c>
      <c r="E226" s="425">
        <f t="shared" si="52"/>
        <v>486.73146603784437</v>
      </c>
      <c r="F226" s="247">
        <v>34711</v>
      </c>
      <c r="G226" s="247">
        <v>24217</v>
      </c>
      <c r="H226" s="425">
        <f t="shared" si="53"/>
        <v>143.33319568897883</v>
      </c>
      <c r="I226" s="247">
        <v>16234</v>
      </c>
      <c r="J226" s="247">
        <v>34774</v>
      </c>
      <c r="K226" s="425">
        <f t="shared" si="54"/>
        <v>46.684304365330419</v>
      </c>
      <c r="L226" s="247">
        <v>125780</v>
      </c>
      <c r="M226" s="247">
        <v>0</v>
      </c>
      <c r="N226" s="425" t="e">
        <f t="shared" si="55"/>
        <v>#DIV/0!</v>
      </c>
    </row>
    <row r="227" spans="1:14" ht="17.25" x14ac:dyDescent="0.25">
      <c r="A227" s="53">
        <v>38</v>
      </c>
      <c r="B227" s="545" t="s">
        <v>705</v>
      </c>
      <c r="C227" s="247">
        <v>28521</v>
      </c>
      <c r="D227" s="247">
        <v>27689</v>
      </c>
      <c r="E227" s="425">
        <f t="shared" si="52"/>
        <v>103.00480335151143</v>
      </c>
      <c r="F227" s="247">
        <v>4982</v>
      </c>
      <c r="G227" s="247">
        <v>4107</v>
      </c>
      <c r="H227" s="425">
        <f t="shared" si="53"/>
        <v>121.30508887265643</v>
      </c>
      <c r="I227" s="247">
        <v>21527</v>
      </c>
      <c r="J227" s="247">
        <v>21681</v>
      </c>
      <c r="K227" s="425">
        <f t="shared" si="54"/>
        <v>99.289700659563678</v>
      </c>
      <c r="L227" s="247">
        <v>0</v>
      </c>
      <c r="M227" s="247">
        <v>0</v>
      </c>
      <c r="N227" s="425" t="e">
        <f t="shared" si="55"/>
        <v>#DIV/0!</v>
      </c>
    </row>
    <row r="228" spans="1:14" ht="17.25" x14ac:dyDescent="0.25">
      <c r="A228" s="53">
        <v>39</v>
      </c>
      <c r="B228" s="549" t="s">
        <v>706</v>
      </c>
      <c r="C228" s="247">
        <v>32111</v>
      </c>
      <c r="D228" s="247">
        <v>27812</v>
      </c>
      <c r="E228" s="425">
        <f t="shared" si="52"/>
        <v>115.45735653674673</v>
      </c>
      <c r="F228" s="247">
        <v>4717</v>
      </c>
      <c r="G228" s="247">
        <v>3305</v>
      </c>
      <c r="H228" s="425">
        <f t="shared" si="53"/>
        <v>142.7231467473525</v>
      </c>
      <c r="I228" s="247">
        <v>32111</v>
      </c>
      <c r="J228" s="247">
        <v>27812</v>
      </c>
      <c r="K228" s="425">
        <f t="shared" si="54"/>
        <v>115.45735653674673</v>
      </c>
      <c r="L228" s="247">
        <v>0</v>
      </c>
      <c r="M228" s="247">
        <v>0</v>
      </c>
      <c r="N228" s="425" t="e">
        <f t="shared" si="55"/>
        <v>#DIV/0!</v>
      </c>
    </row>
    <row r="230" spans="1:14" ht="34.5" x14ac:dyDescent="0.25">
      <c r="A230" s="414"/>
      <c r="B230" s="552" t="s">
        <v>732</v>
      </c>
      <c r="C230" s="345">
        <f>C231+C240</f>
        <v>7003747</v>
      </c>
      <c r="D230" s="345">
        <f>D231+D240</f>
        <v>6999814</v>
      </c>
      <c r="E230" s="345">
        <f>C230/D230*100</f>
        <v>100.05618720726008</v>
      </c>
      <c r="F230" s="345">
        <f>F231+F240</f>
        <v>4049268</v>
      </c>
      <c r="G230" s="345">
        <f>G231+G240</f>
        <v>3197424</v>
      </c>
      <c r="H230" s="345">
        <f>F230/G230*100</f>
        <v>126.64157146502934</v>
      </c>
      <c r="I230" s="345">
        <f>I231+I240</f>
        <v>7015600</v>
      </c>
      <c r="J230" s="345">
        <f>J231+J240</f>
        <v>10909600</v>
      </c>
      <c r="K230" s="345">
        <f>I230/J230*100</f>
        <v>64.306665688934515</v>
      </c>
      <c r="L230" s="345">
        <f>L231+L240</f>
        <v>8944606</v>
      </c>
      <c r="M230" s="345">
        <f>M231+M240</f>
        <v>10876334</v>
      </c>
      <c r="N230" s="345">
        <f>L230/M230*100</f>
        <v>82.239162570770631</v>
      </c>
    </row>
    <row r="231" spans="1:14" ht="17.25" x14ac:dyDescent="0.25">
      <c r="A231" s="1062" t="s">
        <v>340</v>
      </c>
      <c r="B231" s="1063" t="s">
        <v>155</v>
      </c>
      <c r="C231" s="254">
        <f>SUM(C232:C238)</f>
        <v>4831760</v>
      </c>
      <c r="D231" s="254">
        <f>SUM(D232:D238)</f>
        <v>5173182</v>
      </c>
      <c r="E231" s="254">
        <f>C231/D231*100</f>
        <v>93.400154875664526</v>
      </c>
      <c r="F231" s="254">
        <f>SUM(F232:F238)</f>
        <v>3702570</v>
      </c>
      <c r="G231" s="254">
        <f>SUM(G232:G238)</f>
        <v>2770125</v>
      </c>
      <c r="H231" s="254">
        <f>F231/G231*100</f>
        <v>133.66075538107486</v>
      </c>
      <c r="I231" s="254">
        <f>SUM(I232:I238)</f>
        <v>4969768</v>
      </c>
      <c r="J231" s="254">
        <f>SUM(J232:J238)</f>
        <v>9245410</v>
      </c>
      <c r="K231" s="254">
        <f>I231/J231*100</f>
        <v>53.753895176092783</v>
      </c>
      <c r="L231" s="254">
        <f>SUM(L232:L238)</f>
        <v>7136304</v>
      </c>
      <c r="M231" s="254">
        <f>SUM(M232:M238)</f>
        <v>9477227</v>
      </c>
      <c r="N231" s="254">
        <f>L231/M231*100</f>
        <v>75.29949425079721</v>
      </c>
    </row>
    <row r="232" spans="1:14" ht="17.25" x14ac:dyDescent="0.25">
      <c r="A232" s="568">
        <v>1</v>
      </c>
      <c r="B232" s="545" t="s">
        <v>707</v>
      </c>
      <c r="C232" s="247">
        <v>586666</v>
      </c>
      <c r="D232" s="247">
        <v>639617</v>
      </c>
      <c r="E232" s="425">
        <f t="shared" ref="E232:E238" si="56">C232/D232*100</f>
        <v>91.72145205646504</v>
      </c>
      <c r="F232" s="247">
        <v>28504</v>
      </c>
      <c r="G232" s="247">
        <v>30243</v>
      </c>
      <c r="H232" s="425">
        <f t="shared" ref="H232:H238" si="57">F232/G232*100</f>
        <v>94.249909069867414</v>
      </c>
      <c r="I232" s="247">
        <v>586666</v>
      </c>
      <c r="J232" s="247">
        <v>809797</v>
      </c>
      <c r="K232" s="425">
        <f t="shared" ref="K232:K238" si="58">I232/J232*100</f>
        <v>72.446057468723652</v>
      </c>
      <c r="L232" s="247">
        <v>586666</v>
      </c>
      <c r="M232" s="247">
        <v>809797</v>
      </c>
      <c r="N232" s="425">
        <f t="shared" ref="N232:N238" si="59">L232/M232*100</f>
        <v>72.446057468723652</v>
      </c>
    </row>
    <row r="233" spans="1:14" ht="17.25" x14ac:dyDescent="0.25">
      <c r="A233" s="568">
        <v>2</v>
      </c>
      <c r="B233" s="545" t="s">
        <v>708</v>
      </c>
      <c r="C233" s="247">
        <v>0</v>
      </c>
      <c r="D233" s="247">
        <v>0</v>
      </c>
      <c r="E233" s="425" t="e">
        <f t="shared" si="56"/>
        <v>#DIV/0!</v>
      </c>
      <c r="F233" s="247">
        <v>0</v>
      </c>
      <c r="G233" s="247">
        <v>0</v>
      </c>
      <c r="H233" s="425" t="e">
        <f t="shared" si="57"/>
        <v>#DIV/0!</v>
      </c>
      <c r="I233" s="247">
        <v>0</v>
      </c>
      <c r="J233" s="247">
        <v>0</v>
      </c>
      <c r="K233" s="425" t="e">
        <f t="shared" si="58"/>
        <v>#DIV/0!</v>
      </c>
      <c r="L233" s="247">
        <v>0</v>
      </c>
      <c r="M233" s="247">
        <v>0</v>
      </c>
      <c r="N233" s="425" t="e">
        <f t="shared" si="59"/>
        <v>#DIV/0!</v>
      </c>
    </row>
    <row r="234" spans="1:14" ht="17.25" x14ac:dyDescent="0.25">
      <c r="A234" s="568">
        <v>3</v>
      </c>
      <c r="B234" s="545" t="s">
        <v>709</v>
      </c>
      <c r="C234" s="247">
        <v>3679780</v>
      </c>
      <c r="D234" s="247">
        <v>3461086</v>
      </c>
      <c r="E234" s="425">
        <f t="shared" si="56"/>
        <v>106.31865258476674</v>
      </c>
      <c r="F234" s="247">
        <v>920033</v>
      </c>
      <c r="G234" s="247">
        <v>388160</v>
      </c>
      <c r="H234" s="425">
        <f t="shared" si="57"/>
        <v>237.02416529266284</v>
      </c>
      <c r="I234" s="247">
        <v>3679780</v>
      </c>
      <c r="J234" s="247">
        <v>3461086</v>
      </c>
      <c r="K234" s="425">
        <f t="shared" si="58"/>
        <v>106.31865258476674</v>
      </c>
      <c r="L234" s="247">
        <v>3679780</v>
      </c>
      <c r="M234" s="247">
        <v>3461086</v>
      </c>
      <c r="N234" s="425">
        <f t="shared" si="59"/>
        <v>106.31865258476674</v>
      </c>
    </row>
    <row r="235" spans="1:14" ht="17.25" x14ac:dyDescent="0.25">
      <c r="A235" s="568">
        <v>4</v>
      </c>
      <c r="B235" s="545" t="s">
        <v>710</v>
      </c>
      <c r="C235" s="247">
        <v>241118</v>
      </c>
      <c r="D235" s="247">
        <v>636222</v>
      </c>
      <c r="E235" s="425">
        <f t="shared" si="56"/>
        <v>37.898406531053624</v>
      </c>
      <c r="F235" s="247">
        <v>63147</v>
      </c>
      <c r="G235" s="247">
        <v>26019</v>
      </c>
      <c r="H235" s="425">
        <f t="shared" si="57"/>
        <v>242.69572235673928</v>
      </c>
      <c r="I235" s="247">
        <v>360526</v>
      </c>
      <c r="J235" s="247">
        <v>609270</v>
      </c>
      <c r="K235" s="425">
        <f t="shared" si="58"/>
        <v>59.173437064027446</v>
      </c>
      <c r="L235" s="247">
        <v>360526</v>
      </c>
      <c r="M235" s="247">
        <v>647313</v>
      </c>
      <c r="N235" s="425">
        <f t="shared" si="59"/>
        <v>55.695776231900176</v>
      </c>
    </row>
    <row r="236" spans="1:14" ht="17.25" x14ac:dyDescent="0.25">
      <c r="A236" s="568">
        <v>5</v>
      </c>
      <c r="B236" s="545" t="s">
        <v>711</v>
      </c>
      <c r="C236" s="247">
        <v>324196</v>
      </c>
      <c r="D236" s="247">
        <v>436257</v>
      </c>
      <c r="E236" s="425">
        <f t="shared" si="56"/>
        <v>74.313076924840175</v>
      </c>
      <c r="F236" s="247">
        <v>2690886</v>
      </c>
      <c r="G236" s="247">
        <v>2325703</v>
      </c>
      <c r="H236" s="425">
        <f t="shared" si="57"/>
        <v>115.70204793991323</v>
      </c>
      <c r="I236" s="247">
        <v>342796</v>
      </c>
      <c r="J236" s="247">
        <v>4365257</v>
      </c>
      <c r="K236" s="425">
        <f t="shared" si="58"/>
        <v>7.8528251601223023</v>
      </c>
      <c r="L236" s="247">
        <v>2509332</v>
      </c>
      <c r="M236" s="247">
        <v>4559031</v>
      </c>
      <c r="N236" s="425">
        <f t="shared" si="59"/>
        <v>55.040906718993575</v>
      </c>
    </row>
    <row r="237" spans="1:14" ht="17.25" x14ac:dyDescent="0.25">
      <c r="A237" s="568">
        <v>6</v>
      </c>
      <c r="B237" s="545" t="s">
        <v>712</v>
      </c>
      <c r="C237" s="247">
        <v>0</v>
      </c>
      <c r="D237" s="247">
        <v>0</v>
      </c>
      <c r="E237" s="425" t="e">
        <f t="shared" si="56"/>
        <v>#DIV/0!</v>
      </c>
      <c r="F237" s="247">
        <v>0</v>
      </c>
      <c r="G237" s="247">
        <v>0</v>
      </c>
      <c r="H237" s="425" t="e">
        <f t="shared" si="57"/>
        <v>#DIV/0!</v>
      </c>
      <c r="I237" s="247">
        <v>0</v>
      </c>
      <c r="J237" s="247">
        <v>0</v>
      </c>
      <c r="K237" s="425" t="e">
        <f t="shared" si="58"/>
        <v>#DIV/0!</v>
      </c>
      <c r="L237" s="247">
        <v>0</v>
      </c>
      <c r="M237" s="247">
        <v>0</v>
      </c>
      <c r="N237" s="425" t="e">
        <f t="shared" si="59"/>
        <v>#DIV/0!</v>
      </c>
    </row>
    <row r="238" spans="1:14" ht="17.25" x14ac:dyDescent="0.25">
      <c r="A238" s="568">
        <v>7</v>
      </c>
      <c r="B238" s="545" t="s">
        <v>713</v>
      </c>
      <c r="C238" s="247">
        <v>0</v>
      </c>
      <c r="D238" s="247">
        <v>0</v>
      </c>
      <c r="E238" s="425" t="e">
        <f t="shared" si="56"/>
        <v>#DIV/0!</v>
      </c>
      <c r="F238" s="247">
        <v>0</v>
      </c>
      <c r="G238" s="247">
        <v>0</v>
      </c>
      <c r="H238" s="425" t="e">
        <f t="shared" si="57"/>
        <v>#DIV/0!</v>
      </c>
      <c r="I238" s="247">
        <v>0</v>
      </c>
      <c r="J238" s="247">
        <v>0</v>
      </c>
      <c r="K238" s="425" t="e">
        <f t="shared" si="58"/>
        <v>#DIV/0!</v>
      </c>
      <c r="L238" s="247">
        <v>0</v>
      </c>
      <c r="M238" s="247">
        <v>0</v>
      </c>
      <c r="N238" s="425" t="e">
        <f t="shared" si="59"/>
        <v>#DIV/0!</v>
      </c>
    </row>
    <row r="240" spans="1:14" ht="17.25" x14ac:dyDescent="0.25">
      <c r="A240" s="1062" t="s">
        <v>541</v>
      </c>
      <c r="B240" s="1063" t="s">
        <v>155</v>
      </c>
      <c r="C240" s="254">
        <f>SUM(C241:C245)</f>
        <v>2171987</v>
      </c>
      <c r="D240" s="254">
        <f>SUM(D241:D245)</f>
        <v>1826632</v>
      </c>
      <c r="E240" s="329">
        <f>C240/D240*100</f>
        <v>118.90665443285783</v>
      </c>
      <c r="F240" s="254">
        <f>SUM(F241:F245)</f>
        <v>346698</v>
      </c>
      <c r="G240" s="254">
        <f>SUM(G241:G245)</f>
        <v>427299</v>
      </c>
      <c r="H240" s="329">
        <f>F240/G240*100</f>
        <v>81.13709603813723</v>
      </c>
      <c r="I240" s="254">
        <f>SUM(I241:I245)</f>
        <v>2045832</v>
      </c>
      <c r="J240" s="254">
        <f>SUM(J241:J245)</f>
        <v>1664190</v>
      </c>
      <c r="K240" s="329">
        <f>I240/J240*100</f>
        <v>122.93259784039081</v>
      </c>
      <c r="L240" s="254">
        <f>SUM(L241:L245)</f>
        <v>1808302</v>
      </c>
      <c r="M240" s="254">
        <f>SUM(M241:M245)</f>
        <v>1399107</v>
      </c>
      <c r="N240" s="329">
        <f>L240/M240*100</f>
        <v>129.24686961040149</v>
      </c>
    </row>
    <row r="241" spans="1:15" ht="17.25" x14ac:dyDescent="0.25">
      <c r="A241" s="581">
        <v>1</v>
      </c>
      <c r="B241" s="545" t="s">
        <v>714</v>
      </c>
      <c r="C241" s="247">
        <v>1373014</v>
      </c>
      <c r="D241" s="247">
        <v>1167666</v>
      </c>
      <c r="E241" s="425">
        <f t="shared" ref="E241:E245" si="60">C241/D241*100</f>
        <v>117.58619331212863</v>
      </c>
      <c r="F241" s="247">
        <v>218565</v>
      </c>
      <c r="G241" s="247">
        <v>225571</v>
      </c>
      <c r="H241" s="425">
        <f t="shared" ref="H241:H245" si="61">F241/G241*100</f>
        <v>96.894104295321654</v>
      </c>
      <c r="I241" s="247">
        <v>1225788</v>
      </c>
      <c r="J241" s="247">
        <v>974509</v>
      </c>
      <c r="K241" s="425">
        <f t="shared" ref="K241:K245" si="62">I241/J241*100</f>
        <v>125.78519028556944</v>
      </c>
      <c r="L241" s="247">
        <v>1011201</v>
      </c>
      <c r="M241" s="247">
        <v>742226</v>
      </c>
      <c r="N241" s="425">
        <f t="shared" ref="N241:N245" si="63">L241/M241*100</f>
        <v>136.23896225677893</v>
      </c>
    </row>
    <row r="242" spans="1:15" ht="17.25" x14ac:dyDescent="0.25">
      <c r="A242" s="581">
        <v>2</v>
      </c>
      <c r="B242" s="545" t="s">
        <v>715</v>
      </c>
      <c r="C242" s="247">
        <v>1872</v>
      </c>
      <c r="D242" s="247">
        <v>2085</v>
      </c>
      <c r="E242" s="425">
        <f t="shared" si="60"/>
        <v>89.7841726618705</v>
      </c>
      <c r="F242" s="247">
        <v>0</v>
      </c>
      <c r="G242" s="247">
        <v>104</v>
      </c>
      <c r="H242" s="425">
        <f t="shared" si="61"/>
        <v>0</v>
      </c>
      <c r="I242" s="247">
        <v>22943</v>
      </c>
      <c r="J242" s="247">
        <v>32800</v>
      </c>
      <c r="K242" s="425">
        <f t="shared" si="62"/>
        <v>69.948170731707322</v>
      </c>
      <c r="L242" s="247">
        <v>0</v>
      </c>
      <c r="M242" s="247">
        <v>0</v>
      </c>
      <c r="N242" s="425" t="e">
        <f t="shared" si="63"/>
        <v>#DIV/0!</v>
      </c>
    </row>
    <row r="243" spans="1:15" ht="17.25" x14ac:dyDescent="0.25">
      <c r="A243" s="581">
        <v>3</v>
      </c>
      <c r="B243" s="545" t="s">
        <v>716</v>
      </c>
      <c r="C243" s="247">
        <v>0</v>
      </c>
      <c r="D243" s="247">
        <v>0</v>
      </c>
      <c r="E243" s="425" t="e">
        <f t="shared" si="60"/>
        <v>#DIV/0!</v>
      </c>
      <c r="F243" s="247">
        <v>0</v>
      </c>
      <c r="G243" s="247">
        <v>0</v>
      </c>
      <c r="H243" s="425" t="e">
        <f t="shared" si="61"/>
        <v>#DIV/0!</v>
      </c>
      <c r="I243" s="247">
        <v>0</v>
      </c>
      <c r="J243" s="247">
        <v>0</v>
      </c>
      <c r="K243" s="425" t="e">
        <f t="shared" si="62"/>
        <v>#DIV/0!</v>
      </c>
      <c r="L243" s="247">
        <v>0</v>
      </c>
      <c r="M243" s="247">
        <v>0</v>
      </c>
      <c r="N243" s="425" t="e">
        <f t="shared" si="63"/>
        <v>#DIV/0!</v>
      </c>
    </row>
    <row r="244" spans="1:15" ht="17.25" x14ac:dyDescent="0.25">
      <c r="A244" s="581">
        <v>4</v>
      </c>
      <c r="B244" s="545" t="s">
        <v>717</v>
      </c>
      <c r="C244" s="247">
        <v>596492</v>
      </c>
      <c r="D244" s="247">
        <v>529250</v>
      </c>
      <c r="E244" s="425">
        <f t="shared" si="60"/>
        <v>112.70514879546528</v>
      </c>
      <c r="F244" s="247">
        <v>128133</v>
      </c>
      <c r="G244" s="247">
        <v>130583</v>
      </c>
      <c r="H244" s="425">
        <f t="shared" si="61"/>
        <v>98.123798656792999</v>
      </c>
      <c r="I244" s="247">
        <v>596492</v>
      </c>
      <c r="J244" s="247">
        <v>529250</v>
      </c>
      <c r="K244" s="425">
        <f t="shared" si="62"/>
        <v>112.70514879546528</v>
      </c>
      <c r="L244" s="247">
        <v>596492</v>
      </c>
      <c r="M244" s="247">
        <v>529250</v>
      </c>
      <c r="N244" s="425">
        <f t="shared" si="63"/>
        <v>112.70514879546528</v>
      </c>
    </row>
    <row r="245" spans="1:15" ht="17.25" x14ac:dyDescent="0.25">
      <c r="A245" s="581">
        <v>5</v>
      </c>
      <c r="B245" s="582" t="s">
        <v>718</v>
      </c>
      <c r="C245" s="583">
        <v>200609</v>
      </c>
      <c r="D245" s="583">
        <v>127631</v>
      </c>
      <c r="E245" s="425">
        <f t="shared" si="60"/>
        <v>157.17889854345731</v>
      </c>
      <c r="F245" s="583">
        <v>0</v>
      </c>
      <c r="G245" s="583">
        <v>71041</v>
      </c>
      <c r="H245" s="425">
        <f t="shared" si="61"/>
        <v>0</v>
      </c>
      <c r="I245" s="583">
        <v>200609</v>
      </c>
      <c r="J245" s="583">
        <v>127631</v>
      </c>
      <c r="K245" s="425">
        <f t="shared" si="62"/>
        <v>157.17889854345731</v>
      </c>
      <c r="L245" s="583">
        <v>200609</v>
      </c>
      <c r="M245" s="583">
        <v>127631</v>
      </c>
      <c r="N245" s="425">
        <f t="shared" si="63"/>
        <v>157.17889854345731</v>
      </c>
    </row>
    <row r="246" spans="1:15" x14ac:dyDescent="0.25">
      <c r="O246" s="584"/>
    </row>
    <row r="247" spans="1:15" ht="17.25" x14ac:dyDescent="0.25">
      <c r="A247" s="348"/>
      <c r="B247" s="553" t="s">
        <v>733</v>
      </c>
      <c r="C247" s="254">
        <f>SUM(C248:C256)</f>
        <v>643873.5</v>
      </c>
      <c r="D247" s="254">
        <f>SUM(D248:D256)</f>
        <v>564769</v>
      </c>
      <c r="E247" s="452">
        <f>C247/D247*100</f>
        <v>114.00652302091652</v>
      </c>
      <c r="F247" s="254">
        <f>SUM(F248:F256)</f>
        <v>101535.5</v>
      </c>
      <c r="G247" s="254">
        <f>SUM(G248:G256)</f>
        <v>86618</v>
      </c>
      <c r="H247" s="452">
        <f>F247/G247*100</f>
        <v>117.22217091135792</v>
      </c>
      <c r="I247" s="254">
        <f>SUM(I248:I256)</f>
        <v>421046</v>
      </c>
      <c r="J247" s="254">
        <f>SUM(J248:J256)</f>
        <v>275977</v>
      </c>
      <c r="K247" s="452">
        <f>I247/J247*100</f>
        <v>152.56561235175394</v>
      </c>
      <c r="L247" s="254">
        <f>SUM(L248:L256)</f>
        <v>17566</v>
      </c>
      <c r="M247" s="254">
        <f>SUM(M248:M256)</f>
        <v>3595</v>
      </c>
      <c r="N247" s="452">
        <f>L247/M247*100</f>
        <v>488.62308762169675</v>
      </c>
    </row>
    <row r="248" spans="1:15" ht="17.25" x14ac:dyDescent="0.25">
      <c r="A248" s="7">
        <v>1</v>
      </c>
      <c r="B248" s="545" t="s">
        <v>719</v>
      </c>
      <c r="C248" s="247">
        <v>475752</v>
      </c>
      <c r="D248" s="247">
        <v>397520</v>
      </c>
      <c r="E248" s="425">
        <f t="shared" ref="E248:E256" si="64">C248/D248*100</f>
        <v>119.68001609981889</v>
      </c>
      <c r="F248" s="247">
        <v>59910</v>
      </c>
      <c r="G248" s="247">
        <v>58822</v>
      </c>
      <c r="H248" s="425">
        <f t="shared" ref="H248:H256" si="65">F248/G248*100</f>
        <v>101.84964809085035</v>
      </c>
      <c r="I248" s="247">
        <v>361890</v>
      </c>
      <c r="J248" s="247">
        <v>200941</v>
      </c>
      <c r="K248" s="425">
        <f t="shared" ref="K248:K256" si="66">I248/J248*100</f>
        <v>180.09764060097243</v>
      </c>
      <c r="L248" s="247">
        <v>0</v>
      </c>
      <c r="M248" s="247">
        <v>0</v>
      </c>
      <c r="N248" s="425" t="e">
        <f t="shared" ref="N248:N256" si="67">L248/M248*100</f>
        <v>#DIV/0!</v>
      </c>
    </row>
    <row r="249" spans="1:15" ht="34.5" x14ac:dyDescent="0.25">
      <c r="A249" s="291">
        <v>2</v>
      </c>
      <c r="B249" s="545" t="s">
        <v>720</v>
      </c>
      <c r="C249" s="247">
        <v>71637</v>
      </c>
      <c r="D249" s="247">
        <v>75187</v>
      </c>
      <c r="E249" s="425">
        <f t="shared" si="64"/>
        <v>95.278439091864286</v>
      </c>
      <c r="F249" s="247">
        <v>22970</v>
      </c>
      <c r="G249" s="247">
        <v>11641</v>
      </c>
      <c r="H249" s="425">
        <f t="shared" si="65"/>
        <v>197.31981788506141</v>
      </c>
      <c r="I249" s="247">
        <v>0</v>
      </c>
      <c r="J249" s="247">
        <v>0</v>
      </c>
      <c r="K249" s="425" t="e">
        <f t="shared" si="66"/>
        <v>#DIV/0!</v>
      </c>
      <c r="L249" s="247">
        <v>0</v>
      </c>
      <c r="M249" s="247">
        <v>0</v>
      </c>
      <c r="N249" s="425" t="e">
        <f t="shared" si="67"/>
        <v>#DIV/0!</v>
      </c>
    </row>
    <row r="250" spans="1:15" ht="17.25" x14ac:dyDescent="0.25">
      <c r="A250" s="7">
        <v>3</v>
      </c>
      <c r="B250" s="545" t="s">
        <v>721</v>
      </c>
      <c r="C250" s="247">
        <v>0</v>
      </c>
      <c r="D250" s="247">
        <v>776</v>
      </c>
      <c r="E250" s="425">
        <f t="shared" si="64"/>
        <v>0</v>
      </c>
      <c r="F250" s="247">
        <v>0</v>
      </c>
      <c r="G250" s="247">
        <v>120</v>
      </c>
      <c r="H250" s="425">
        <f t="shared" si="65"/>
        <v>0</v>
      </c>
      <c r="I250" s="247">
        <v>0</v>
      </c>
      <c r="J250" s="247">
        <v>776</v>
      </c>
      <c r="K250" s="425">
        <f t="shared" si="66"/>
        <v>0</v>
      </c>
      <c r="L250" s="247">
        <v>0</v>
      </c>
      <c r="M250" s="247">
        <v>0</v>
      </c>
      <c r="N250" s="425" t="e">
        <f t="shared" si="67"/>
        <v>#DIV/0!</v>
      </c>
    </row>
    <row r="251" spans="1:15" ht="17.25" x14ac:dyDescent="0.25">
      <c r="A251" s="291">
        <v>4</v>
      </c>
      <c r="B251" s="545" t="s">
        <v>722</v>
      </c>
      <c r="C251" s="247">
        <v>18047</v>
      </c>
      <c r="D251" s="247">
        <v>20346</v>
      </c>
      <c r="E251" s="425">
        <f t="shared" si="64"/>
        <v>88.700481667158158</v>
      </c>
      <c r="F251" s="247">
        <v>3612</v>
      </c>
      <c r="G251" s="247">
        <v>2738</v>
      </c>
      <c r="H251" s="425">
        <f t="shared" si="65"/>
        <v>131.92111029948867</v>
      </c>
      <c r="I251" s="247">
        <v>18047</v>
      </c>
      <c r="J251" s="247">
        <v>20346</v>
      </c>
      <c r="K251" s="425">
        <f t="shared" si="66"/>
        <v>88.700481667158158</v>
      </c>
      <c r="L251" s="247">
        <v>0</v>
      </c>
      <c r="M251" s="247">
        <v>0</v>
      </c>
      <c r="N251" s="425" t="e">
        <f t="shared" si="67"/>
        <v>#DIV/0!</v>
      </c>
    </row>
    <row r="252" spans="1:15" ht="17.25" x14ac:dyDescent="0.25">
      <c r="A252" s="7">
        <v>5</v>
      </c>
      <c r="B252" s="545" t="s">
        <v>723</v>
      </c>
      <c r="C252" s="247">
        <v>6750</v>
      </c>
      <c r="D252" s="247">
        <v>7050</v>
      </c>
      <c r="E252" s="425">
        <f t="shared" si="64"/>
        <v>95.744680851063833</v>
      </c>
      <c r="F252" s="247">
        <v>883</v>
      </c>
      <c r="G252" s="247">
        <v>1060</v>
      </c>
      <c r="H252" s="425">
        <f t="shared" si="65"/>
        <v>83.301886792452834</v>
      </c>
      <c r="I252" s="247">
        <v>0</v>
      </c>
      <c r="J252" s="247">
        <v>0</v>
      </c>
      <c r="K252" s="425" t="e">
        <f t="shared" si="66"/>
        <v>#DIV/0!</v>
      </c>
      <c r="L252" s="247">
        <v>0</v>
      </c>
      <c r="M252" s="247">
        <v>0</v>
      </c>
      <c r="N252" s="425" t="e">
        <f t="shared" si="67"/>
        <v>#DIV/0!</v>
      </c>
    </row>
    <row r="253" spans="1:15" ht="17.25" x14ac:dyDescent="0.25">
      <c r="A253" s="291">
        <v>6</v>
      </c>
      <c r="B253" s="545" t="s">
        <v>724</v>
      </c>
      <c r="C253" s="247">
        <v>41600</v>
      </c>
      <c r="D253" s="247">
        <v>47980</v>
      </c>
      <c r="E253" s="425">
        <f t="shared" si="64"/>
        <v>86.70279283034597</v>
      </c>
      <c r="F253" s="247">
        <v>10400</v>
      </c>
      <c r="G253" s="247">
        <v>8900</v>
      </c>
      <c r="H253" s="425">
        <f t="shared" si="65"/>
        <v>116.85393258426966</v>
      </c>
      <c r="I253" s="247">
        <v>10099</v>
      </c>
      <c r="J253" s="247">
        <v>38184</v>
      </c>
      <c r="K253" s="425">
        <f t="shared" si="66"/>
        <v>26.448250576157552</v>
      </c>
      <c r="L253" s="247">
        <v>0</v>
      </c>
      <c r="M253" s="247">
        <v>0</v>
      </c>
      <c r="N253" s="425" t="e">
        <f t="shared" si="67"/>
        <v>#DIV/0!</v>
      </c>
    </row>
    <row r="254" spans="1:15" ht="17.25" x14ac:dyDescent="0.25">
      <c r="A254" s="7">
        <v>7</v>
      </c>
      <c r="B254" s="545" t="s">
        <v>725</v>
      </c>
      <c r="C254" s="247">
        <v>17566</v>
      </c>
      <c r="D254" s="247">
        <v>3595</v>
      </c>
      <c r="E254" s="425">
        <f t="shared" si="64"/>
        <v>488.62308762169675</v>
      </c>
      <c r="F254" s="247">
        <v>0</v>
      </c>
      <c r="G254" s="247">
        <v>1187</v>
      </c>
      <c r="H254" s="425">
        <f t="shared" si="65"/>
        <v>0</v>
      </c>
      <c r="I254" s="247">
        <v>17566</v>
      </c>
      <c r="J254" s="247">
        <v>3595</v>
      </c>
      <c r="K254" s="425">
        <f t="shared" si="66"/>
        <v>488.62308762169675</v>
      </c>
      <c r="L254" s="247">
        <v>17566</v>
      </c>
      <c r="M254" s="247">
        <v>3595</v>
      </c>
      <c r="N254" s="425">
        <f t="shared" si="67"/>
        <v>488.62308762169675</v>
      </c>
    </row>
    <row r="255" spans="1:15" ht="17.25" x14ac:dyDescent="0.25">
      <c r="A255" s="291">
        <v>8</v>
      </c>
      <c r="B255" s="545" t="s">
        <v>726</v>
      </c>
      <c r="C255" s="247">
        <v>1727.5</v>
      </c>
      <c r="D255" s="247">
        <v>2535</v>
      </c>
      <c r="E255" s="425">
        <f t="shared" si="64"/>
        <v>68.145956607495066</v>
      </c>
      <c r="F255" s="247">
        <v>632.5</v>
      </c>
      <c r="G255" s="247">
        <v>770</v>
      </c>
      <c r="H255" s="425">
        <f t="shared" si="65"/>
        <v>82.142857142857139</v>
      </c>
      <c r="I255" s="247">
        <v>2650</v>
      </c>
      <c r="J255" s="247">
        <v>2355</v>
      </c>
      <c r="K255" s="425">
        <f t="shared" si="66"/>
        <v>112.52653927813164</v>
      </c>
      <c r="L255" s="247">
        <v>0</v>
      </c>
      <c r="M255" s="247">
        <v>0</v>
      </c>
      <c r="N255" s="425" t="e">
        <f t="shared" si="67"/>
        <v>#DIV/0!</v>
      </c>
    </row>
    <row r="256" spans="1:15" ht="17.25" x14ac:dyDescent="0.25">
      <c r="A256" s="7">
        <v>9</v>
      </c>
      <c r="B256" s="545" t="s">
        <v>727</v>
      </c>
      <c r="C256" s="247">
        <v>10794</v>
      </c>
      <c r="D256" s="247">
        <v>9780</v>
      </c>
      <c r="E256" s="425">
        <f t="shared" si="64"/>
        <v>110.3680981595092</v>
      </c>
      <c r="F256" s="247">
        <v>3128</v>
      </c>
      <c r="G256" s="247">
        <v>1380</v>
      </c>
      <c r="H256" s="425">
        <f t="shared" si="65"/>
        <v>226.66666666666666</v>
      </c>
      <c r="I256" s="247">
        <v>10794</v>
      </c>
      <c r="J256" s="247">
        <v>9780</v>
      </c>
      <c r="K256" s="425">
        <f t="shared" si="66"/>
        <v>110.3680981595092</v>
      </c>
      <c r="L256" s="247">
        <v>0</v>
      </c>
      <c r="M256" s="247">
        <v>0</v>
      </c>
      <c r="N256" s="425" t="e">
        <f t="shared" si="67"/>
        <v>#DIV/0!</v>
      </c>
    </row>
    <row r="258" spans="1:14" s="339" customFormat="1" ht="16.5" x14ac:dyDescent="0.25">
      <c r="A258" s="339">
        <v>2</v>
      </c>
      <c r="B258" s="418" t="s">
        <v>345</v>
      </c>
      <c r="C258" s="366"/>
    </row>
    <row r="259" spans="1:14" ht="17.25" x14ac:dyDescent="0.25">
      <c r="A259" s="1059" t="s">
        <v>734</v>
      </c>
      <c r="B259" s="1059" t="s">
        <v>155</v>
      </c>
      <c r="C259" s="254">
        <f>SUM(C260:C276)</f>
        <v>124940191</v>
      </c>
      <c r="D259" s="254">
        <f>SUM(D260:D276)</f>
        <v>100781601</v>
      </c>
      <c r="E259" s="57">
        <f t="shared" ref="E259:E276" si="68">C259/D259*100</f>
        <v>123.97123062174811</v>
      </c>
      <c r="F259" s="254">
        <f>SUM(F260:F276)</f>
        <v>16631921</v>
      </c>
      <c r="G259" s="254">
        <f>SUM(G260:G276)</f>
        <v>16858575</v>
      </c>
      <c r="H259" s="57">
        <f t="shared" ref="H259:H276" si="69">F259/G259*100</f>
        <v>98.655556593602952</v>
      </c>
      <c r="I259" s="254">
        <f>SUM(I260:I276)</f>
        <v>125140191</v>
      </c>
      <c r="J259" s="254">
        <f>SUM(J260:J276)</f>
        <v>100781601</v>
      </c>
      <c r="K259" s="57">
        <f t="shared" ref="K259:K276" si="70">I259/J259*100</f>
        <v>124.16967954299515</v>
      </c>
      <c r="L259" s="254">
        <f>SUM(L260:L276)</f>
        <v>13335202</v>
      </c>
      <c r="M259" s="254">
        <f>SUM(M260:M276)</f>
        <v>15491533</v>
      </c>
      <c r="N259" s="57">
        <f t="shared" ref="N259:N276" si="71">L259/M259*100</f>
        <v>86.08058350325949</v>
      </c>
    </row>
    <row r="260" spans="1:14" ht="17.25" x14ac:dyDescent="0.25">
      <c r="A260" s="272">
        <v>1</v>
      </c>
      <c r="B260" s="550" t="s">
        <v>571</v>
      </c>
      <c r="C260" s="472">
        <v>7000875</v>
      </c>
      <c r="D260" s="473">
        <v>9217600</v>
      </c>
      <c r="E260" s="425">
        <f t="shared" si="68"/>
        <v>75.951169501822605</v>
      </c>
      <c r="F260" s="473">
        <v>0</v>
      </c>
      <c r="G260" s="473">
        <v>58930</v>
      </c>
      <c r="H260" s="425">
        <f t="shared" si="69"/>
        <v>0</v>
      </c>
      <c r="I260" s="473">
        <v>7000875</v>
      </c>
      <c r="J260" s="473">
        <v>9217600</v>
      </c>
      <c r="K260" s="425">
        <f t="shared" si="70"/>
        <v>75.951169501822605</v>
      </c>
      <c r="L260" s="474">
        <v>4087084</v>
      </c>
      <c r="M260" s="474">
        <v>3513044</v>
      </c>
      <c r="N260" s="425">
        <f t="shared" si="71"/>
        <v>116.3402450979834</v>
      </c>
    </row>
    <row r="261" spans="1:14" ht="17.25" x14ac:dyDescent="0.25">
      <c r="A261" s="272">
        <v>2</v>
      </c>
      <c r="B261" s="550" t="s">
        <v>306</v>
      </c>
      <c r="C261" s="473">
        <v>15698602</v>
      </c>
      <c r="D261" s="473">
        <v>14656742</v>
      </c>
      <c r="E261" s="425">
        <f t="shared" si="68"/>
        <v>107.10840103482752</v>
      </c>
      <c r="F261" s="473">
        <v>2585230</v>
      </c>
      <c r="G261" s="473">
        <v>2537321</v>
      </c>
      <c r="H261" s="425">
        <f t="shared" si="69"/>
        <v>101.88817260409699</v>
      </c>
      <c r="I261" s="473">
        <v>15698602</v>
      </c>
      <c r="J261" s="473">
        <v>14656742</v>
      </c>
      <c r="K261" s="425">
        <f t="shared" si="70"/>
        <v>107.10840103482752</v>
      </c>
      <c r="L261" s="474">
        <v>0</v>
      </c>
      <c r="M261" s="474">
        <v>0</v>
      </c>
      <c r="N261" s="425" t="e">
        <f t="shared" si="71"/>
        <v>#DIV/0!</v>
      </c>
    </row>
    <row r="262" spans="1:14" ht="17.25" x14ac:dyDescent="0.25">
      <c r="A262" s="272">
        <v>3</v>
      </c>
      <c r="B262" s="550" t="s">
        <v>307</v>
      </c>
      <c r="C262" s="472">
        <v>16459487</v>
      </c>
      <c r="D262" s="473">
        <v>15028714</v>
      </c>
      <c r="E262" s="425">
        <f t="shared" si="68"/>
        <v>109.52026234580019</v>
      </c>
      <c r="F262" s="473">
        <v>1250379</v>
      </c>
      <c r="G262" s="473">
        <v>3634796</v>
      </c>
      <c r="H262" s="425">
        <f t="shared" si="69"/>
        <v>34.400252448830692</v>
      </c>
      <c r="I262" s="473">
        <v>16459487</v>
      </c>
      <c r="J262" s="473">
        <v>15028714</v>
      </c>
      <c r="K262" s="425">
        <f t="shared" si="70"/>
        <v>109.52026234580019</v>
      </c>
      <c r="L262" s="473">
        <v>9248118</v>
      </c>
      <c r="M262" s="473">
        <v>11978489</v>
      </c>
      <c r="N262" s="425">
        <f t="shared" si="71"/>
        <v>77.206048275370961</v>
      </c>
    </row>
    <row r="263" spans="1:14" ht="17.25" x14ac:dyDescent="0.25">
      <c r="A263" s="272">
        <v>4</v>
      </c>
      <c r="B263" s="550" t="s">
        <v>308</v>
      </c>
      <c r="C263" s="472">
        <v>3692778</v>
      </c>
      <c r="D263" s="473">
        <v>2769527</v>
      </c>
      <c r="E263" s="425">
        <f t="shared" si="68"/>
        <v>133.33605341273076</v>
      </c>
      <c r="F263" s="473">
        <v>331011</v>
      </c>
      <c r="G263" s="473">
        <v>672880</v>
      </c>
      <c r="H263" s="425">
        <f t="shared" si="69"/>
        <v>49.193169658780164</v>
      </c>
      <c r="I263" s="473">
        <v>3892778</v>
      </c>
      <c r="J263" s="473">
        <v>2769527</v>
      </c>
      <c r="K263" s="425">
        <f t="shared" si="70"/>
        <v>140.55750314042794</v>
      </c>
      <c r="L263" s="474">
        <v>0</v>
      </c>
      <c r="M263" s="474">
        <v>0</v>
      </c>
      <c r="N263" s="425" t="e">
        <f t="shared" si="71"/>
        <v>#DIV/0!</v>
      </c>
    </row>
    <row r="264" spans="1:14" ht="17.25" x14ac:dyDescent="0.25">
      <c r="A264" s="272">
        <v>5</v>
      </c>
      <c r="B264" s="550" t="s">
        <v>309</v>
      </c>
      <c r="C264" s="472">
        <v>4086882</v>
      </c>
      <c r="D264" s="473">
        <v>1641365</v>
      </c>
      <c r="E264" s="425">
        <f t="shared" si="68"/>
        <v>248.9928809253274</v>
      </c>
      <c r="F264" s="473">
        <v>563733</v>
      </c>
      <c r="G264" s="473">
        <v>513469</v>
      </c>
      <c r="H264" s="425">
        <f t="shared" si="69"/>
        <v>109.78910119208753</v>
      </c>
      <c r="I264" s="473">
        <v>4086882</v>
      </c>
      <c r="J264" s="473">
        <v>1641365</v>
      </c>
      <c r="K264" s="425">
        <f t="shared" si="70"/>
        <v>248.9928809253274</v>
      </c>
      <c r="L264" s="474">
        <v>0</v>
      </c>
      <c r="M264" s="474">
        <v>0</v>
      </c>
      <c r="N264" s="425" t="e">
        <f t="shared" si="71"/>
        <v>#DIV/0!</v>
      </c>
    </row>
    <row r="265" spans="1:14" ht="34.5" x14ac:dyDescent="0.25">
      <c r="A265" s="272">
        <v>6</v>
      </c>
      <c r="B265" s="549" t="s">
        <v>310</v>
      </c>
      <c r="C265" s="474">
        <v>812377</v>
      </c>
      <c r="D265" s="474">
        <v>790365</v>
      </c>
      <c r="E265" s="425">
        <f t="shared" si="68"/>
        <v>102.78504235384918</v>
      </c>
      <c r="F265" s="474">
        <v>107479</v>
      </c>
      <c r="G265" s="474">
        <v>119368</v>
      </c>
      <c r="H265" s="425">
        <f t="shared" si="69"/>
        <v>90.040044232960255</v>
      </c>
      <c r="I265" s="473">
        <v>812377</v>
      </c>
      <c r="J265" s="473">
        <v>790365</v>
      </c>
      <c r="K265" s="425">
        <f t="shared" si="70"/>
        <v>102.78504235384918</v>
      </c>
      <c r="L265" s="474">
        <v>0</v>
      </c>
      <c r="M265" s="474">
        <v>0</v>
      </c>
      <c r="N265" s="425" t="e">
        <f t="shared" si="71"/>
        <v>#DIV/0!</v>
      </c>
    </row>
    <row r="266" spans="1:14" ht="17.25" x14ac:dyDescent="0.25">
      <c r="A266" s="272">
        <v>7</v>
      </c>
      <c r="B266" s="550" t="s">
        <v>311</v>
      </c>
      <c r="C266" s="474">
        <v>107452</v>
      </c>
      <c r="D266" s="474">
        <v>79585</v>
      </c>
      <c r="E266" s="425">
        <f t="shared" si="68"/>
        <v>135.01539234780424</v>
      </c>
      <c r="F266" s="474">
        <v>14258</v>
      </c>
      <c r="G266" s="474">
        <v>14951</v>
      </c>
      <c r="H266" s="425">
        <f t="shared" si="69"/>
        <v>95.364858537890441</v>
      </c>
      <c r="I266" s="473">
        <v>107452</v>
      </c>
      <c r="J266" s="473">
        <v>79585</v>
      </c>
      <c r="K266" s="425">
        <f t="shared" si="70"/>
        <v>135.01539234780424</v>
      </c>
      <c r="L266" s="474">
        <v>0</v>
      </c>
      <c r="M266" s="474">
        <v>0</v>
      </c>
      <c r="N266" s="425" t="e">
        <f t="shared" si="71"/>
        <v>#DIV/0!</v>
      </c>
    </row>
    <row r="267" spans="1:14" ht="17.25" x14ac:dyDescent="0.25">
      <c r="A267" s="272">
        <v>8</v>
      </c>
      <c r="B267" s="550" t="s">
        <v>312</v>
      </c>
      <c r="C267" s="474">
        <v>0</v>
      </c>
      <c r="D267" s="474">
        <v>0</v>
      </c>
      <c r="E267" s="425" t="e">
        <f t="shared" si="68"/>
        <v>#DIV/0!</v>
      </c>
      <c r="F267" s="474">
        <v>0</v>
      </c>
      <c r="G267" s="474">
        <v>0</v>
      </c>
      <c r="H267" s="425" t="e">
        <f t="shared" si="69"/>
        <v>#DIV/0!</v>
      </c>
      <c r="I267" s="473"/>
      <c r="J267" s="473"/>
      <c r="K267" s="425" t="e">
        <f t="shared" si="70"/>
        <v>#DIV/0!</v>
      </c>
      <c r="L267" s="474">
        <v>0</v>
      </c>
      <c r="M267" s="474">
        <v>0</v>
      </c>
      <c r="N267" s="425" t="e">
        <f t="shared" si="71"/>
        <v>#DIV/0!</v>
      </c>
    </row>
    <row r="268" spans="1:14" ht="51.75" x14ac:dyDescent="0.25">
      <c r="A268" s="272">
        <v>9</v>
      </c>
      <c r="B268" s="549" t="s">
        <v>313</v>
      </c>
      <c r="C268" s="474">
        <v>0</v>
      </c>
      <c r="D268" s="474">
        <v>0</v>
      </c>
      <c r="E268" s="425" t="e">
        <f t="shared" si="68"/>
        <v>#DIV/0!</v>
      </c>
      <c r="F268" s="474">
        <v>0</v>
      </c>
      <c r="G268" s="474">
        <v>0</v>
      </c>
      <c r="H268" s="425" t="e">
        <f t="shared" si="69"/>
        <v>#DIV/0!</v>
      </c>
      <c r="I268" s="473"/>
      <c r="J268" s="473"/>
      <c r="K268" s="425" t="e">
        <f t="shared" si="70"/>
        <v>#DIV/0!</v>
      </c>
      <c r="L268" s="474">
        <v>0</v>
      </c>
      <c r="M268" s="474">
        <v>0</v>
      </c>
      <c r="N268" s="425" t="e">
        <f t="shared" si="71"/>
        <v>#DIV/0!</v>
      </c>
    </row>
    <row r="269" spans="1:14" ht="17.25" x14ac:dyDescent="0.25">
      <c r="A269" s="272">
        <v>10</v>
      </c>
      <c r="B269" s="550" t="s">
        <v>314</v>
      </c>
      <c r="C269" s="474">
        <v>0</v>
      </c>
      <c r="D269" s="474">
        <v>0</v>
      </c>
      <c r="E269" s="425" t="e">
        <f t="shared" si="68"/>
        <v>#DIV/0!</v>
      </c>
      <c r="F269" s="474">
        <v>0</v>
      </c>
      <c r="G269" s="474">
        <v>0</v>
      </c>
      <c r="H269" s="425" t="e">
        <f t="shared" si="69"/>
        <v>#DIV/0!</v>
      </c>
      <c r="I269" s="473"/>
      <c r="J269" s="473"/>
      <c r="K269" s="425" t="e">
        <f t="shared" si="70"/>
        <v>#DIV/0!</v>
      </c>
      <c r="L269" s="474">
        <v>0</v>
      </c>
      <c r="M269" s="474">
        <v>0</v>
      </c>
      <c r="N269" s="425" t="e">
        <f t="shared" si="71"/>
        <v>#DIV/0!</v>
      </c>
    </row>
    <row r="270" spans="1:14" ht="17.25" x14ac:dyDescent="0.25">
      <c r="A270" s="272">
        <v>11</v>
      </c>
      <c r="B270" s="550" t="s">
        <v>315</v>
      </c>
      <c r="C270" s="474">
        <v>0</v>
      </c>
      <c r="D270" s="474">
        <v>0</v>
      </c>
      <c r="E270" s="425" t="e">
        <f t="shared" si="68"/>
        <v>#DIV/0!</v>
      </c>
      <c r="F270" s="474">
        <v>0</v>
      </c>
      <c r="G270" s="474">
        <v>0</v>
      </c>
      <c r="H270" s="425" t="e">
        <f t="shared" si="69"/>
        <v>#DIV/0!</v>
      </c>
      <c r="I270" s="473"/>
      <c r="J270" s="473"/>
      <c r="K270" s="425" t="e">
        <f t="shared" si="70"/>
        <v>#DIV/0!</v>
      </c>
      <c r="L270" s="474">
        <v>0</v>
      </c>
      <c r="M270" s="474">
        <v>0</v>
      </c>
      <c r="N270" s="425" t="e">
        <f t="shared" si="71"/>
        <v>#DIV/0!</v>
      </c>
    </row>
    <row r="271" spans="1:14" ht="17.25" x14ac:dyDescent="0.25">
      <c r="A271" s="272">
        <v>12</v>
      </c>
      <c r="B271" s="549" t="s">
        <v>316</v>
      </c>
      <c r="C271" s="474">
        <v>24186003</v>
      </c>
      <c r="D271" s="474">
        <v>19594288</v>
      </c>
      <c r="E271" s="425">
        <f t="shared" si="68"/>
        <v>123.43394666853933</v>
      </c>
      <c r="F271" s="474">
        <v>4145594</v>
      </c>
      <c r="G271" s="474">
        <v>5044360</v>
      </c>
      <c r="H271" s="425">
        <f t="shared" si="69"/>
        <v>82.182754601178345</v>
      </c>
      <c r="I271" s="473">
        <v>24186003</v>
      </c>
      <c r="J271" s="473">
        <v>19594288</v>
      </c>
      <c r="K271" s="425">
        <f t="shared" si="70"/>
        <v>123.43394666853933</v>
      </c>
      <c r="L271" s="474">
        <v>0</v>
      </c>
      <c r="M271" s="474">
        <v>0</v>
      </c>
      <c r="N271" s="425" t="e">
        <f t="shared" si="71"/>
        <v>#DIV/0!</v>
      </c>
    </row>
    <row r="272" spans="1:14" ht="34.5" x14ac:dyDescent="0.25">
      <c r="A272" s="272">
        <v>13</v>
      </c>
      <c r="B272" s="549" t="s">
        <v>317</v>
      </c>
      <c r="C272" s="472">
        <v>2055771</v>
      </c>
      <c r="D272" s="473">
        <v>1578831</v>
      </c>
      <c r="E272" s="425">
        <f t="shared" si="68"/>
        <v>130.20842636102282</v>
      </c>
      <c r="F272" s="473">
        <v>350740</v>
      </c>
      <c r="G272" s="473">
        <v>339074</v>
      </c>
      <c r="H272" s="425">
        <f t="shared" si="69"/>
        <v>103.44054690126639</v>
      </c>
      <c r="I272" s="473">
        <v>2055771</v>
      </c>
      <c r="J272" s="473">
        <v>1578831</v>
      </c>
      <c r="K272" s="425">
        <f t="shared" si="70"/>
        <v>130.20842636102282</v>
      </c>
      <c r="L272" s="474">
        <v>0</v>
      </c>
      <c r="M272" s="474">
        <v>0</v>
      </c>
      <c r="N272" s="425" t="e">
        <f t="shared" si="71"/>
        <v>#DIV/0!</v>
      </c>
    </row>
    <row r="273" spans="1:14" ht="17.25" x14ac:dyDescent="0.25">
      <c r="A273" s="272">
        <v>14</v>
      </c>
      <c r="B273" s="550" t="s">
        <v>318</v>
      </c>
      <c r="C273" s="472">
        <v>16289766</v>
      </c>
      <c r="D273" s="473">
        <v>9153803</v>
      </c>
      <c r="E273" s="425">
        <f t="shared" si="68"/>
        <v>177.95626582743807</v>
      </c>
      <c r="F273" s="473">
        <v>3284362</v>
      </c>
      <c r="G273" s="473">
        <v>329602</v>
      </c>
      <c r="H273" s="425">
        <f t="shared" si="69"/>
        <v>996.46300689922998</v>
      </c>
      <c r="I273" s="473">
        <v>16289766</v>
      </c>
      <c r="J273" s="473">
        <v>9153803</v>
      </c>
      <c r="K273" s="425">
        <f t="shared" si="70"/>
        <v>177.95626582743807</v>
      </c>
      <c r="L273" s="474">
        <v>0</v>
      </c>
      <c r="M273" s="474">
        <v>0</v>
      </c>
      <c r="N273" s="425" t="e">
        <f t="shared" si="71"/>
        <v>#DIV/0!</v>
      </c>
    </row>
    <row r="274" spans="1:14" ht="17.25" x14ac:dyDescent="0.25">
      <c r="A274" s="272">
        <v>15</v>
      </c>
      <c r="B274" s="551" t="s">
        <v>570</v>
      </c>
      <c r="C274" s="472">
        <v>9501690</v>
      </c>
      <c r="D274" s="473">
        <v>9619837</v>
      </c>
      <c r="E274" s="425">
        <f t="shared" si="68"/>
        <v>98.771839897079332</v>
      </c>
      <c r="F274" s="473">
        <v>1066873</v>
      </c>
      <c r="G274" s="473">
        <v>1475587</v>
      </c>
      <c r="H274" s="425">
        <f t="shared" si="69"/>
        <v>72.301599295737901</v>
      </c>
      <c r="I274" s="473">
        <v>9501690</v>
      </c>
      <c r="J274" s="473">
        <v>9619837</v>
      </c>
      <c r="K274" s="425">
        <f t="shared" si="70"/>
        <v>98.771839897079332</v>
      </c>
      <c r="L274" s="474">
        <v>0</v>
      </c>
      <c r="M274" s="474">
        <v>0</v>
      </c>
      <c r="N274" s="425" t="e">
        <f t="shared" si="71"/>
        <v>#DIV/0!</v>
      </c>
    </row>
    <row r="275" spans="1:14" ht="31.5" customHeight="1" x14ac:dyDescent="0.25">
      <c r="A275" s="272">
        <v>16</v>
      </c>
      <c r="B275" s="550" t="s">
        <v>572</v>
      </c>
      <c r="C275" s="472">
        <v>25048508</v>
      </c>
      <c r="D275" s="473">
        <v>16650944</v>
      </c>
      <c r="E275" s="425">
        <f t="shared" si="68"/>
        <v>150.43296043755839</v>
      </c>
      <c r="F275" s="473">
        <v>2932262</v>
      </c>
      <c r="G275" s="473">
        <v>2118237</v>
      </c>
      <c r="H275" s="425">
        <f t="shared" si="69"/>
        <v>138.42936366421699</v>
      </c>
      <c r="I275" s="473">
        <v>25048508</v>
      </c>
      <c r="J275" s="473">
        <v>16650944</v>
      </c>
      <c r="K275" s="425">
        <f t="shared" si="70"/>
        <v>150.43296043755839</v>
      </c>
      <c r="L275" s="474">
        <v>0</v>
      </c>
      <c r="M275" s="474">
        <v>0</v>
      </c>
      <c r="N275" s="425" t="e">
        <f t="shared" si="71"/>
        <v>#DIV/0!</v>
      </c>
    </row>
    <row r="276" spans="1:14" ht="17.25" x14ac:dyDescent="0.25">
      <c r="A276" s="272">
        <v>17</v>
      </c>
      <c r="B276" s="550" t="s">
        <v>320</v>
      </c>
      <c r="C276" s="474">
        <v>0</v>
      </c>
      <c r="D276" s="474">
        <v>0</v>
      </c>
      <c r="E276" s="425" t="e">
        <f t="shared" si="68"/>
        <v>#DIV/0!</v>
      </c>
      <c r="F276" s="474">
        <v>0</v>
      </c>
      <c r="G276" s="474">
        <v>0</v>
      </c>
      <c r="H276" s="425" t="e">
        <f t="shared" si="69"/>
        <v>#DIV/0!</v>
      </c>
      <c r="I276" s="473"/>
      <c r="J276" s="473"/>
      <c r="K276" s="425" t="e">
        <f t="shared" si="70"/>
        <v>#DIV/0!</v>
      </c>
      <c r="L276" s="474">
        <v>0</v>
      </c>
      <c r="M276" s="474">
        <v>0</v>
      </c>
      <c r="N276" s="425" t="e">
        <f t="shared" si="71"/>
        <v>#DIV/0!</v>
      </c>
    </row>
    <row r="277" spans="1:14" x14ac:dyDescent="0.25">
      <c r="A277" s="504"/>
      <c r="B277" s="541"/>
      <c r="C277" s="542"/>
      <c r="D277" s="542"/>
      <c r="E277" s="542"/>
      <c r="F277" s="542"/>
      <c r="G277" s="542"/>
      <c r="H277" s="542"/>
      <c r="I277" s="543"/>
      <c r="J277" s="543"/>
      <c r="K277" s="542"/>
      <c r="L277" s="542"/>
      <c r="M277" s="542"/>
      <c r="N277" s="439"/>
    </row>
    <row r="279" spans="1:14" s="587" customFormat="1" ht="16.5" x14ac:dyDescent="0.25">
      <c r="A279" s="585">
        <v>3</v>
      </c>
      <c r="B279" s="586" t="s">
        <v>346</v>
      </c>
      <c r="C279" s="586"/>
      <c r="F279" s="586"/>
      <c r="G279" s="586"/>
      <c r="H279" s="586"/>
      <c r="I279" s="586"/>
      <c r="J279" s="586"/>
      <c r="K279" s="586"/>
      <c r="L279" s="586"/>
      <c r="M279" s="586"/>
      <c r="N279" s="586"/>
    </row>
    <row r="280" spans="1:14" ht="16.5" x14ac:dyDescent="0.25">
      <c r="A280" s="1060" t="s">
        <v>734</v>
      </c>
      <c r="B280" s="1061"/>
      <c r="C280" s="588">
        <f>SUM(C281:C285)</f>
        <v>1295423</v>
      </c>
      <c r="D280" s="588">
        <f>SUM(D281:D285)</f>
        <v>1242815</v>
      </c>
      <c r="E280" s="589">
        <f>C280/D280*100</f>
        <v>104.2329711179862</v>
      </c>
      <c r="F280" s="588">
        <f>SUM(F281:F285)</f>
        <v>169158</v>
      </c>
      <c r="G280" s="588">
        <f>SUM(G281:G285)</f>
        <v>174529</v>
      </c>
      <c r="H280" s="589">
        <f>F280/G280*100</f>
        <v>96.92257447186428</v>
      </c>
      <c r="I280" s="588">
        <f>SUM(I281:I285)</f>
        <v>1295423</v>
      </c>
      <c r="J280" s="588">
        <f>SUM(J281:J285)</f>
        <v>1242815</v>
      </c>
      <c r="K280" s="589">
        <f>I280/J280*100</f>
        <v>104.2329711179862</v>
      </c>
      <c r="L280" s="588">
        <f>SUM(L281:L285)</f>
        <v>221219</v>
      </c>
      <c r="M280" s="588">
        <f>SUM(M281:M285)</f>
        <v>247347</v>
      </c>
      <c r="N280" s="589">
        <f>L280/M280*100</f>
        <v>89.436702284644653</v>
      </c>
    </row>
    <row r="281" spans="1:14" ht="17.25" x14ac:dyDescent="0.25">
      <c r="A281" s="307">
        <v>1</v>
      </c>
      <c r="B281" s="548" t="s">
        <v>331</v>
      </c>
      <c r="C281" s="322">
        <v>58428</v>
      </c>
      <c r="D281" s="322">
        <v>59051</v>
      </c>
      <c r="E281" s="425">
        <f t="shared" ref="E281:E285" si="72">C281/D281*100</f>
        <v>98.944979763255489</v>
      </c>
      <c r="F281" s="322">
        <v>8409</v>
      </c>
      <c r="G281" s="322">
        <v>8587</v>
      </c>
      <c r="H281" s="425">
        <f t="shared" ref="H281:H285" si="73">F281/G281*100</f>
        <v>97.927099103295674</v>
      </c>
      <c r="I281" s="322">
        <v>58428</v>
      </c>
      <c r="J281" s="322">
        <v>59051</v>
      </c>
      <c r="K281" s="425">
        <f t="shared" ref="K281:K285" si="74">I281/J281*100</f>
        <v>98.944979763255489</v>
      </c>
      <c r="L281" s="322">
        <v>0</v>
      </c>
      <c r="M281" s="322">
        <v>0</v>
      </c>
      <c r="N281" s="555" t="e">
        <f t="shared" ref="N281:N285" si="75">L281/M281*100</f>
        <v>#DIV/0!</v>
      </c>
    </row>
    <row r="282" spans="1:14" ht="17.25" x14ac:dyDescent="0.25">
      <c r="A282" s="307">
        <v>2</v>
      </c>
      <c r="B282" s="548" t="s">
        <v>332</v>
      </c>
      <c r="C282" s="322">
        <v>143870</v>
      </c>
      <c r="D282" s="322">
        <v>148216</v>
      </c>
      <c r="E282" s="425">
        <f t="shared" si="72"/>
        <v>97.067792950828519</v>
      </c>
      <c r="F282" s="322">
        <v>19685</v>
      </c>
      <c r="G282" s="322">
        <v>20620</v>
      </c>
      <c r="H282" s="425">
        <f t="shared" si="73"/>
        <v>95.465567410281281</v>
      </c>
      <c r="I282" s="322">
        <v>143870</v>
      </c>
      <c r="J282" s="322">
        <v>148216</v>
      </c>
      <c r="K282" s="425">
        <f t="shared" si="74"/>
        <v>97.067792950828519</v>
      </c>
      <c r="L282" s="322">
        <v>0</v>
      </c>
      <c r="M282" s="322">
        <v>0</v>
      </c>
      <c r="N282" s="555" t="e">
        <f t="shared" si="75"/>
        <v>#DIV/0!</v>
      </c>
    </row>
    <row r="283" spans="1:14" ht="34.5" x14ac:dyDescent="0.25">
      <c r="A283" s="307">
        <v>3</v>
      </c>
      <c r="B283" s="548" t="s">
        <v>333</v>
      </c>
      <c r="C283" s="322">
        <v>930726</v>
      </c>
      <c r="D283" s="322">
        <v>987731</v>
      </c>
      <c r="E283" s="425">
        <f t="shared" si="72"/>
        <v>94.228691819938831</v>
      </c>
      <c r="F283" s="322">
        <v>132434</v>
      </c>
      <c r="G283" s="322">
        <v>137509</v>
      </c>
      <c r="H283" s="425">
        <f t="shared" si="73"/>
        <v>96.309332480055858</v>
      </c>
      <c r="I283" s="539">
        <v>930726</v>
      </c>
      <c r="J283" s="322">
        <v>987731</v>
      </c>
      <c r="K283" s="425">
        <f t="shared" si="74"/>
        <v>94.228691819938831</v>
      </c>
      <c r="L283" s="322">
        <v>221219</v>
      </c>
      <c r="M283" s="322">
        <v>247347</v>
      </c>
      <c r="N283" s="555">
        <f t="shared" si="75"/>
        <v>89.436702284644653</v>
      </c>
    </row>
    <row r="284" spans="1:14" ht="17.25" x14ac:dyDescent="0.25">
      <c r="A284" s="307">
        <v>4</v>
      </c>
      <c r="B284" s="548" t="s">
        <v>334</v>
      </c>
      <c r="C284" s="322">
        <v>162399</v>
      </c>
      <c r="D284" s="322">
        <v>47817</v>
      </c>
      <c r="E284" s="425">
        <f t="shared" si="72"/>
        <v>339.62607440868311</v>
      </c>
      <c r="F284" s="322">
        <v>8630</v>
      </c>
      <c r="G284" s="322">
        <v>7813</v>
      </c>
      <c r="H284" s="425">
        <f t="shared" si="73"/>
        <v>110.45693075643159</v>
      </c>
      <c r="I284" s="322">
        <v>162399</v>
      </c>
      <c r="J284" s="322">
        <v>47817</v>
      </c>
      <c r="K284" s="425">
        <f t="shared" si="74"/>
        <v>339.62607440868311</v>
      </c>
      <c r="L284" s="322">
        <v>0</v>
      </c>
      <c r="M284" s="322">
        <v>0</v>
      </c>
      <c r="N284" s="555" t="e">
        <f t="shared" si="75"/>
        <v>#DIV/0!</v>
      </c>
    </row>
    <row r="285" spans="1:14" ht="34.5" x14ac:dyDescent="0.25">
      <c r="A285" s="307">
        <v>5</v>
      </c>
      <c r="B285" s="548" t="s">
        <v>335</v>
      </c>
      <c r="C285" s="322">
        <v>0</v>
      </c>
      <c r="D285" s="322">
        <v>0</v>
      </c>
      <c r="E285" s="425" t="e">
        <f t="shared" si="72"/>
        <v>#DIV/0!</v>
      </c>
      <c r="F285" s="322">
        <v>0</v>
      </c>
      <c r="G285" s="322">
        <v>0</v>
      </c>
      <c r="H285" s="425" t="e">
        <f t="shared" si="73"/>
        <v>#DIV/0!</v>
      </c>
      <c r="I285" s="322">
        <v>0</v>
      </c>
      <c r="J285" s="322">
        <v>0</v>
      </c>
      <c r="K285" s="425" t="e">
        <f t="shared" si="74"/>
        <v>#DIV/0!</v>
      </c>
      <c r="L285" s="322">
        <v>0</v>
      </c>
      <c r="M285" s="322">
        <v>0</v>
      </c>
      <c r="N285" s="555" t="e">
        <f t="shared" si="75"/>
        <v>#DIV/0!</v>
      </c>
    </row>
    <row r="287" spans="1:14" ht="16.5" x14ac:dyDescent="0.25">
      <c r="A287" s="585">
        <v>4</v>
      </c>
      <c r="B287" s="590" t="s">
        <v>543</v>
      </c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</row>
    <row r="288" spans="1:14" ht="16.5" x14ac:dyDescent="0.25">
      <c r="A288" s="588"/>
      <c r="B288" s="591" t="s">
        <v>734</v>
      </c>
      <c r="C288" s="588">
        <f>SUM(C289:C289)</f>
        <v>1339947</v>
      </c>
      <c r="D288" s="588">
        <f>SUM(D289:D289)</f>
        <v>1314239</v>
      </c>
      <c r="E288" s="589">
        <f>C288/D288*100</f>
        <v>101.95611300532094</v>
      </c>
      <c r="F288" s="588">
        <f>SUM(F289:F289)</f>
        <v>1339947</v>
      </c>
      <c r="G288" s="588">
        <f>SUM(G289:G289)</f>
        <v>1314239</v>
      </c>
      <c r="H288" s="589">
        <f>F288/G288*100</f>
        <v>101.95611300532094</v>
      </c>
      <c r="I288" s="588">
        <f>SUM(I289:I289)</f>
        <v>1339947</v>
      </c>
      <c r="J288" s="588">
        <f>SUM(J289:J289)</f>
        <v>1314239</v>
      </c>
      <c r="K288" s="589">
        <f>I288/J288*100</f>
        <v>101.95611300532094</v>
      </c>
      <c r="L288" s="588">
        <f>SUM(L289:L289)</f>
        <v>0</v>
      </c>
      <c r="M288" s="588">
        <f>SUM(M289:M289)</f>
        <v>0</v>
      </c>
      <c r="N288" s="589">
        <v>0</v>
      </c>
    </row>
    <row r="289" spans="1:14" ht="17.25" x14ac:dyDescent="0.25">
      <c r="A289" s="307">
        <v>1</v>
      </c>
      <c r="B289" s="548" t="s">
        <v>728</v>
      </c>
      <c r="C289" s="426">
        <v>1339947</v>
      </c>
      <c r="D289" s="426">
        <v>1314239</v>
      </c>
      <c r="E289" s="323">
        <f>C289/D289*100</f>
        <v>101.95611300532094</v>
      </c>
      <c r="F289" s="426">
        <v>1339947</v>
      </c>
      <c r="G289" s="426">
        <v>1314239</v>
      </c>
      <c r="H289" s="323">
        <f>F289/G289*100</f>
        <v>101.95611300532094</v>
      </c>
      <c r="I289" s="426">
        <v>1339947</v>
      </c>
      <c r="J289" s="426">
        <v>1314239</v>
      </c>
      <c r="K289" s="323">
        <f>I289/J289*100</f>
        <v>101.95611300532094</v>
      </c>
      <c r="L289" s="426">
        <v>0</v>
      </c>
      <c r="M289" s="426">
        <v>0</v>
      </c>
      <c r="N289" s="323">
        <v>0</v>
      </c>
    </row>
  </sheetData>
  <mergeCells count="39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M4:M8"/>
    <mergeCell ref="N4:N8"/>
    <mergeCell ref="A29:N30"/>
    <mergeCell ref="A35:B35"/>
    <mergeCell ref="A55:B55"/>
    <mergeCell ref="G4:G8"/>
    <mergeCell ref="H4:H8"/>
    <mergeCell ref="I4:I8"/>
    <mergeCell ref="K4:K8"/>
    <mergeCell ref="L4:L8"/>
    <mergeCell ref="A34:B34"/>
    <mergeCell ref="J4:J8"/>
    <mergeCell ref="A31:A32"/>
    <mergeCell ref="B31:B32"/>
    <mergeCell ref="C31:G31"/>
    <mergeCell ref="H31:K31"/>
    <mergeCell ref="A259:B259"/>
    <mergeCell ref="A280:B280"/>
    <mergeCell ref="A157:B157"/>
    <mergeCell ref="A158:B158"/>
    <mergeCell ref="A184:B184"/>
    <mergeCell ref="A190:B190"/>
    <mergeCell ref="A231:B231"/>
    <mergeCell ref="A240:B240"/>
    <mergeCell ref="A69:B69"/>
    <mergeCell ref="A79:B79"/>
    <mergeCell ref="A94:B94"/>
    <mergeCell ref="A132:B132"/>
    <mergeCell ref="A131:B131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193" workbookViewId="0">
      <selection activeCell="B208" sqref="B208"/>
    </sheetView>
  </sheetViews>
  <sheetFormatPr defaultColWidth="11.28515625" defaultRowHeight="15" x14ac:dyDescent="0.25"/>
  <cols>
    <col min="1" max="1" width="6.85546875" style="126" customWidth="1"/>
    <col min="2" max="2" width="31.85546875" style="126" customWidth="1"/>
    <col min="3" max="3" width="11.7109375" style="126" customWidth="1"/>
    <col min="4" max="4" width="11.42578125" style="126" customWidth="1"/>
    <col min="5" max="5" width="14.85546875" style="126" bestFit="1" customWidth="1"/>
    <col min="6" max="7" width="11.140625" style="126" customWidth="1"/>
    <col min="8" max="8" width="8" style="126" customWidth="1"/>
    <col min="9" max="9" width="12" style="126" customWidth="1"/>
    <col min="10" max="10" width="11.85546875" style="126" customWidth="1"/>
    <col min="11" max="11" width="8" style="126" customWidth="1"/>
    <col min="12" max="12" width="11.7109375" style="126" customWidth="1"/>
    <col min="13" max="13" width="12.28515625" style="126" customWidth="1"/>
    <col min="14" max="14" width="8.85546875" style="126" customWidth="1"/>
    <col min="15" max="16384" width="11.28515625" style="126"/>
  </cols>
  <sheetData>
    <row r="1" spans="1:14" s="556" customFormat="1" ht="16.5" x14ac:dyDescent="0.25">
      <c r="A1" s="1051" t="s">
        <v>746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</row>
    <row r="2" spans="1:14" s="556" customFormat="1" ht="21.75" customHeight="1" thickBot="1" x14ac:dyDescent="0.3">
      <c r="A2" s="1051"/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</row>
    <row r="3" spans="1:14" s="556" customFormat="1" ht="16.5" x14ac:dyDescent="0.25">
      <c r="A3" s="1020" t="s">
        <v>1</v>
      </c>
      <c r="B3" s="1023" t="s">
        <v>337</v>
      </c>
      <c r="C3" s="1052" t="s">
        <v>326</v>
      </c>
      <c r="D3" s="1053"/>
      <c r="E3" s="1053"/>
      <c r="F3" s="1053"/>
      <c r="G3" s="1053"/>
      <c r="H3" s="1054"/>
      <c r="I3" s="1055" t="s">
        <v>327</v>
      </c>
      <c r="J3" s="1056"/>
      <c r="K3" s="1057"/>
      <c r="L3" s="1052" t="s">
        <v>328</v>
      </c>
      <c r="M3" s="1053"/>
      <c r="N3" s="1054"/>
    </row>
    <row r="4" spans="1:14" s="556" customFormat="1" ht="16.5" customHeight="1" x14ac:dyDescent="0.25">
      <c r="A4" s="1021"/>
      <c r="B4" s="1013"/>
      <c r="C4" s="1064" t="s">
        <v>765</v>
      </c>
      <c r="D4" s="1064" t="s">
        <v>766</v>
      </c>
      <c r="E4" s="1067" t="s">
        <v>545</v>
      </c>
      <c r="F4" s="1064" t="s">
        <v>747</v>
      </c>
      <c r="G4" s="1064" t="s">
        <v>748</v>
      </c>
      <c r="H4" s="1067" t="s">
        <v>545</v>
      </c>
      <c r="I4" s="1064" t="s">
        <v>767</v>
      </c>
      <c r="J4" s="1064" t="s">
        <v>766</v>
      </c>
      <c r="K4" s="1067" t="s">
        <v>545</v>
      </c>
      <c r="L4" s="1064" t="s">
        <v>767</v>
      </c>
      <c r="M4" s="1064" t="s">
        <v>768</v>
      </c>
      <c r="N4" s="1067" t="s">
        <v>545</v>
      </c>
    </row>
    <row r="5" spans="1:14" s="556" customFormat="1" ht="16.5" x14ac:dyDescent="0.25">
      <c r="A5" s="1021"/>
      <c r="B5" s="1013"/>
      <c r="C5" s="1065"/>
      <c r="D5" s="1065"/>
      <c r="E5" s="1068"/>
      <c r="F5" s="1065"/>
      <c r="G5" s="1065"/>
      <c r="H5" s="1068"/>
      <c r="I5" s="1065"/>
      <c r="J5" s="1065"/>
      <c r="K5" s="1068"/>
      <c r="L5" s="1065"/>
      <c r="M5" s="1065"/>
      <c r="N5" s="1068"/>
    </row>
    <row r="6" spans="1:14" s="556" customFormat="1" ht="16.5" x14ac:dyDescent="0.25">
      <c r="A6" s="1021"/>
      <c r="B6" s="1013"/>
      <c r="C6" s="1065"/>
      <c r="D6" s="1065"/>
      <c r="E6" s="1068"/>
      <c r="F6" s="1065"/>
      <c r="G6" s="1065"/>
      <c r="H6" s="1068"/>
      <c r="I6" s="1065"/>
      <c r="J6" s="1065"/>
      <c r="K6" s="1068"/>
      <c r="L6" s="1065"/>
      <c r="M6" s="1065"/>
      <c r="N6" s="1068"/>
    </row>
    <row r="7" spans="1:14" s="556" customFormat="1" ht="9.75" customHeight="1" thickBot="1" x14ac:dyDescent="0.3">
      <c r="A7" s="1021"/>
      <c r="B7" s="1013"/>
      <c r="C7" s="1065"/>
      <c r="D7" s="1065"/>
      <c r="E7" s="1068"/>
      <c r="F7" s="1065"/>
      <c r="G7" s="1065"/>
      <c r="H7" s="1068"/>
      <c r="I7" s="1065"/>
      <c r="J7" s="1065"/>
      <c r="K7" s="1068"/>
      <c r="L7" s="1065"/>
      <c r="M7" s="1065"/>
      <c r="N7" s="1068"/>
    </row>
    <row r="8" spans="1:14" s="556" customFormat="1" ht="17.25" hidden="1" thickBot="1" x14ac:dyDescent="0.3">
      <c r="A8" s="1022"/>
      <c r="B8" s="1014"/>
      <c r="C8" s="1066"/>
      <c r="D8" s="1066"/>
      <c r="E8" s="1069"/>
      <c r="F8" s="1066"/>
      <c r="G8" s="1066"/>
      <c r="H8" s="1069"/>
      <c r="I8" s="1066"/>
      <c r="J8" s="1066"/>
      <c r="K8" s="1069"/>
      <c r="L8" s="1066"/>
      <c r="M8" s="1066"/>
      <c r="N8" s="1069"/>
    </row>
    <row r="9" spans="1:14" s="556" customFormat="1" ht="17.25" thickBot="1" x14ac:dyDescent="0.3">
      <c r="A9" s="376">
        <v>1</v>
      </c>
      <c r="B9" s="375">
        <v>2</v>
      </c>
      <c r="C9" s="317">
        <v>3</v>
      </c>
      <c r="D9" s="317">
        <v>4</v>
      </c>
      <c r="E9" s="318">
        <v>5</v>
      </c>
      <c r="F9" s="317">
        <v>6</v>
      </c>
      <c r="G9" s="317">
        <v>7</v>
      </c>
      <c r="H9" s="317">
        <v>8</v>
      </c>
      <c r="I9" s="317">
        <v>9</v>
      </c>
      <c r="J9" s="317">
        <v>10</v>
      </c>
      <c r="K9" s="317">
        <v>11</v>
      </c>
      <c r="L9" s="317">
        <v>12</v>
      </c>
      <c r="M9" s="317">
        <v>13</v>
      </c>
      <c r="N9" s="317">
        <v>14</v>
      </c>
    </row>
    <row r="10" spans="1:14" s="557" customFormat="1" ht="34.5" x14ac:dyDescent="0.25">
      <c r="A10" s="456"/>
      <c r="B10" s="395" t="s">
        <v>348</v>
      </c>
      <c r="C10" s="396">
        <f>C11+C25</f>
        <v>578.50329849999991</v>
      </c>
      <c r="D10" s="396">
        <f>D11+D25</f>
        <v>523.9832032999999</v>
      </c>
      <c r="E10" s="397">
        <f>C10/D10*100</f>
        <v>110.40493184831828</v>
      </c>
      <c r="F10" s="396">
        <f>F11+F25</f>
        <v>71.218061000000006</v>
      </c>
      <c r="G10" s="396">
        <f>G11+G25</f>
        <v>70.718599999999995</v>
      </c>
      <c r="H10" s="397">
        <f>F10/G10*100</f>
        <v>100.70626539552538</v>
      </c>
      <c r="I10" s="396">
        <f>I11+I25</f>
        <v>575.49514150000005</v>
      </c>
      <c r="J10" s="396">
        <f>J11+J25</f>
        <v>507.44843129999998</v>
      </c>
      <c r="K10" s="397">
        <f>I10/J10*100</f>
        <v>113.40958134911867</v>
      </c>
      <c r="L10" s="396">
        <f>L11+L25</f>
        <v>277.734284</v>
      </c>
      <c r="M10" s="396">
        <f>M11+M25</f>
        <v>268.72080699999998</v>
      </c>
      <c r="N10" s="397">
        <f>L10/M10*100</f>
        <v>103.35421625910793</v>
      </c>
    </row>
    <row r="11" spans="1:14" ht="34.5" x14ac:dyDescent="0.25">
      <c r="A11" s="222">
        <v>1</v>
      </c>
      <c r="B11" s="373" t="s">
        <v>730</v>
      </c>
      <c r="C11" s="374">
        <f>C12+C13</f>
        <v>431.91778399999993</v>
      </c>
      <c r="D11" s="374">
        <f>D12+D13</f>
        <v>405.03703299999995</v>
      </c>
      <c r="E11" s="374">
        <f>C11/D11*100</f>
        <v>106.63661562028082</v>
      </c>
      <c r="F11" s="374">
        <f>F12+F13</f>
        <v>52.081851</v>
      </c>
      <c r="G11" s="374">
        <f>G12+G13</f>
        <v>52.956266999999997</v>
      </c>
      <c r="H11" s="374">
        <f>F11/G11*100</f>
        <v>98.348795998026077</v>
      </c>
      <c r="I11" s="374">
        <f>I12+I13</f>
        <v>428.909627</v>
      </c>
      <c r="J11" s="374">
        <f>J12+J13</f>
        <v>388.50226099999998</v>
      </c>
      <c r="K11" s="374">
        <f>I11/J11*100</f>
        <v>110.40080587845023</v>
      </c>
      <c r="L11" s="374">
        <f>L12+L13</f>
        <v>267.41572200000002</v>
      </c>
      <c r="M11" s="374">
        <f>M12+M13</f>
        <v>254.45380799999998</v>
      </c>
      <c r="N11" s="374">
        <f>L11/M11*100</f>
        <v>105.09401454899823</v>
      </c>
    </row>
    <row r="12" spans="1:14" ht="45" customHeight="1" thickBot="1" x14ac:dyDescent="0.3">
      <c r="A12" s="476">
        <v>1.1000000000000001</v>
      </c>
      <c r="B12" s="400" t="s">
        <v>527</v>
      </c>
      <c r="C12" s="390">
        <f>C133/1000000</f>
        <v>117.76687099999999</v>
      </c>
      <c r="D12" s="390">
        <f>D133/1000000</f>
        <v>121.716397</v>
      </c>
      <c r="E12" s="392">
        <f>E133</f>
        <v>96.755140558424515</v>
      </c>
      <c r="F12" s="390">
        <f>F133/1000000</f>
        <v>15.884888</v>
      </c>
      <c r="G12" s="390">
        <f>G133/1000000</f>
        <v>15.354142</v>
      </c>
      <c r="H12" s="391">
        <f>H133</f>
        <v>103.45669591957662</v>
      </c>
      <c r="I12" s="390">
        <f>I133/1000000</f>
        <v>112.325942</v>
      </c>
      <c r="J12" s="390">
        <f>J133/1000000</f>
        <v>111.833839</v>
      </c>
      <c r="K12" s="391">
        <f>K133</f>
        <v>100.44003049917656</v>
      </c>
      <c r="L12" s="390">
        <f>L133/1000000</f>
        <v>76.343597000000003</v>
      </c>
      <c r="M12" s="390">
        <f>M133/1000000</f>
        <v>77.047591999999995</v>
      </c>
      <c r="N12" s="392">
        <f>N133</f>
        <v>99.086285525964271</v>
      </c>
    </row>
    <row r="13" spans="1:14" ht="49.5" x14ac:dyDescent="0.25">
      <c r="A13" s="353">
        <v>1.2</v>
      </c>
      <c r="B13" s="401" t="s">
        <v>350</v>
      </c>
      <c r="C13" s="379">
        <f>SUM(C14:C24)</f>
        <v>314.15091299999995</v>
      </c>
      <c r="D13" s="379">
        <f>SUM(D14:D24)</f>
        <v>283.32063599999998</v>
      </c>
      <c r="E13" s="380">
        <f t="shared" ref="E13" si="0">C13/D13*100</f>
        <v>110.88176189185172</v>
      </c>
      <c r="F13" s="379">
        <f>SUM(F14:F24)</f>
        <v>36.196963000000004</v>
      </c>
      <c r="G13" s="379">
        <f>SUM(G14:G24)</f>
        <v>37.602125000000001</v>
      </c>
      <c r="H13" s="380">
        <f t="shared" ref="H13" si="1">F13/G13*100</f>
        <v>96.263078216989072</v>
      </c>
      <c r="I13" s="379">
        <f>SUM(I14:I24)</f>
        <v>316.583685</v>
      </c>
      <c r="J13" s="379">
        <f>SUM(J14:J24)</f>
        <v>276.66842199999996</v>
      </c>
      <c r="K13" s="380">
        <f t="shared" ref="K13" si="2">I13/J13*100</f>
        <v>114.42711196003425</v>
      </c>
      <c r="L13" s="379">
        <f>SUM(L14:L24)</f>
        <v>191.07212500000003</v>
      </c>
      <c r="M13" s="379">
        <f>SUM(M14:M24)</f>
        <v>177.406216</v>
      </c>
      <c r="N13" s="380">
        <f t="shared" ref="N13" si="3">L13/M13*100</f>
        <v>107.70317371517581</v>
      </c>
    </row>
    <row r="14" spans="1:14" ht="17.25" x14ac:dyDescent="0.25">
      <c r="A14" s="483" t="s">
        <v>528</v>
      </c>
      <c r="B14" s="535" t="s">
        <v>351</v>
      </c>
      <c r="C14" s="520">
        <f>C143/1000000</f>
        <v>110.50769</v>
      </c>
      <c r="D14" s="520">
        <f>D143/1000000</f>
        <v>107.799324</v>
      </c>
      <c r="E14" s="521">
        <f>E143</f>
        <v>102.51241464185806</v>
      </c>
      <c r="F14" s="520">
        <f>F143/1000000</f>
        <v>14.811049000000001</v>
      </c>
      <c r="G14" s="520">
        <f>G143/1000000</f>
        <v>12.038186</v>
      </c>
      <c r="H14" s="521">
        <f>H143</f>
        <v>123.03389397704936</v>
      </c>
      <c r="I14" s="520">
        <f>I143/1000000</f>
        <v>112.33032</v>
      </c>
      <c r="J14" s="520">
        <f>J143/1000000</f>
        <v>105.020202</v>
      </c>
      <c r="K14" s="521">
        <f>K143</f>
        <v>106.96067790842756</v>
      </c>
      <c r="L14" s="520">
        <f>L143/1000000</f>
        <v>103.761368</v>
      </c>
      <c r="M14" s="520">
        <f>M143/1000000</f>
        <v>99.496810999999994</v>
      </c>
      <c r="N14" s="521">
        <f>N143</f>
        <v>104.2861243060343</v>
      </c>
    </row>
    <row r="15" spans="1:14" ht="17.25" x14ac:dyDescent="0.25">
      <c r="A15" s="7" t="s">
        <v>529</v>
      </c>
      <c r="B15" s="535" t="s">
        <v>352</v>
      </c>
      <c r="C15" s="520">
        <f>C153/1000000</f>
        <v>9.2233040000000006</v>
      </c>
      <c r="D15" s="520">
        <f>D153/1000000</f>
        <v>9.733644</v>
      </c>
      <c r="E15" s="521">
        <f>E153</f>
        <v>94.756948168640648</v>
      </c>
      <c r="F15" s="520">
        <f>F153/1000000</f>
        <v>1.2594270000000001</v>
      </c>
      <c r="G15" s="520">
        <f>G153/1000000</f>
        <v>1.320346</v>
      </c>
      <c r="H15" s="521">
        <f>H153</f>
        <v>95.386133634668496</v>
      </c>
      <c r="I15" s="520">
        <f>I153/1000000</f>
        <v>9.3225180000000005</v>
      </c>
      <c r="J15" s="520">
        <f>J153/1000000</f>
        <v>9.0647079999999995</v>
      </c>
      <c r="K15" s="521">
        <f>K153</f>
        <v>102.84410705783354</v>
      </c>
      <c r="L15" s="520">
        <f>L153/1000000</f>
        <v>3.894625</v>
      </c>
      <c r="M15" s="520">
        <f>M153/1000000</f>
        <v>4.204561</v>
      </c>
      <c r="N15" s="521">
        <f>N153</f>
        <v>92.628576443533589</v>
      </c>
    </row>
    <row r="16" spans="1:14" ht="34.5" x14ac:dyDescent="0.25">
      <c r="A16" s="483" t="s">
        <v>530</v>
      </c>
      <c r="B16" s="535" t="s">
        <v>353</v>
      </c>
      <c r="C16" s="520">
        <f>C236/1000000</f>
        <v>9.7530099999999997</v>
      </c>
      <c r="D16" s="520">
        <f>D236/1000000</f>
        <v>10.072407999999999</v>
      </c>
      <c r="E16" s="521">
        <f>E236</f>
        <v>96.828980716428475</v>
      </c>
      <c r="F16" s="520">
        <f>F236/1000000</f>
        <v>0.382573</v>
      </c>
      <c r="G16" s="520">
        <f>G236/1000000</f>
        <v>1.1831480000000001</v>
      </c>
      <c r="H16" s="521">
        <f>H236</f>
        <v>32.335177002369946</v>
      </c>
      <c r="I16" s="520">
        <f>I236/1000000</f>
        <v>9.5764239999999994</v>
      </c>
      <c r="J16" s="520">
        <f>J236/1000000</f>
        <v>10.086024999999999</v>
      </c>
      <c r="K16" s="521">
        <f>K236</f>
        <v>94.947454522470437</v>
      </c>
      <c r="L16" s="520">
        <f>L236/1000000</f>
        <v>5.4147660000000002</v>
      </c>
      <c r="M16" s="520">
        <f>M236/1000000</f>
        <v>5.7391860000000001</v>
      </c>
      <c r="N16" s="521">
        <f>N236</f>
        <v>94.347282001315165</v>
      </c>
    </row>
    <row r="17" spans="1:14" ht="17.25" x14ac:dyDescent="0.25">
      <c r="A17" s="7" t="s">
        <v>531</v>
      </c>
      <c r="B17" s="535" t="s">
        <v>354</v>
      </c>
      <c r="C17" s="520">
        <f>C35/1000000</f>
        <v>1.3482460000000001</v>
      </c>
      <c r="D17" s="520">
        <f>D35/1000000</f>
        <v>2.1186820000000002</v>
      </c>
      <c r="E17" s="521">
        <f>E35</f>
        <v>63.63607185976943</v>
      </c>
      <c r="F17" s="520">
        <f>F35/1000000</f>
        <v>0.17602200000000001</v>
      </c>
      <c r="G17" s="520">
        <f>G35/1000000</f>
        <v>0.31862400000000002</v>
      </c>
      <c r="H17" s="521">
        <f>H35</f>
        <v>55.24442603193733</v>
      </c>
      <c r="I17" s="520">
        <f>I35/1000000</f>
        <v>1.242629</v>
      </c>
      <c r="J17" s="520">
        <f>J35/1000000</f>
        <v>2.1700620000000002</v>
      </c>
      <c r="K17" s="521">
        <f>K35</f>
        <v>57.262373148785606</v>
      </c>
      <c r="L17" s="520">
        <f>L35/1000000</f>
        <v>0.58447400000000005</v>
      </c>
      <c r="M17" s="520">
        <f>M35/1000000</f>
        <v>1.2441759999999999</v>
      </c>
      <c r="N17" s="521">
        <f>N35</f>
        <v>46.976794279908951</v>
      </c>
    </row>
    <row r="18" spans="1:14" ht="17.25" x14ac:dyDescent="0.25">
      <c r="A18" s="483" t="s">
        <v>532</v>
      </c>
      <c r="B18" s="535" t="s">
        <v>355</v>
      </c>
      <c r="C18" s="520">
        <f>C55/1000000</f>
        <v>1.278332</v>
      </c>
      <c r="D18" s="520">
        <f>D55/1000000</f>
        <v>1.190137</v>
      </c>
      <c r="E18" s="521">
        <f>E55</f>
        <v>107.41049139720889</v>
      </c>
      <c r="F18" s="520">
        <f>F55/1000000</f>
        <v>0.22191900000000001</v>
      </c>
      <c r="G18" s="520">
        <f>G55/1000000</f>
        <v>0.18973599999999999</v>
      </c>
      <c r="H18" s="521">
        <f>H55</f>
        <v>116.96198929038242</v>
      </c>
      <c r="I18" s="520">
        <f>I55/1000000</f>
        <v>1.303579</v>
      </c>
      <c r="J18" s="520">
        <f>J55/1000000</f>
        <v>1.1835329999999999</v>
      </c>
      <c r="K18" s="521">
        <f>K55</f>
        <v>110.14302093815719</v>
      </c>
      <c r="L18" s="520">
        <f>L55/1000000</f>
        <v>0.81030000000000002</v>
      </c>
      <c r="M18" s="520">
        <f>M55/1000000</f>
        <v>0.68733100000000003</v>
      </c>
      <c r="N18" s="521">
        <f>N55</f>
        <v>117.89079788340698</v>
      </c>
    </row>
    <row r="19" spans="1:14" ht="17.25" x14ac:dyDescent="0.25">
      <c r="A19" s="7" t="s">
        <v>533</v>
      </c>
      <c r="B19" s="535" t="s">
        <v>356</v>
      </c>
      <c r="C19" s="520">
        <f>C69/1000000</f>
        <v>0.97520600000000002</v>
      </c>
      <c r="D19" s="520">
        <f>D69/1000000</f>
        <v>1.0422370000000001</v>
      </c>
      <c r="E19" s="521">
        <f>E69</f>
        <v>93.568545350049931</v>
      </c>
      <c r="F19" s="520">
        <f>F69/1000000</f>
        <v>0.18349299999999999</v>
      </c>
      <c r="G19" s="520">
        <f>G69/1000000</f>
        <v>0.12919</v>
      </c>
      <c r="H19" s="521">
        <f>H69</f>
        <v>142.03343912067496</v>
      </c>
      <c r="I19" s="520">
        <f>I69/1000000</f>
        <v>0.96762599999999999</v>
      </c>
      <c r="J19" s="520">
        <f>J69/1000000</f>
        <v>1.064265</v>
      </c>
      <c r="K19" s="521">
        <f>K69</f>
        <v>90.919648771687505</v>
      </c>
      <c r="L19" s="520">
        <f>L69/1000000</f>
        <v>0.57335800000000003</v>
      </c>
      <c r="M19" s="520">
        <f>M69/1000000</f>
        <v>0.591638</v>
      </c>
      <c r="N19" s="521">
        <f>N69</f>
        <v>96.910272835754299</v>
      </c>
    </row>
    <row r="20" spans="1:14" ht="17.25" x14ac:dyDescent="0.25">
      <c r="A20" s="483" t="s">
        <v>534</v>
      </c>
      <c r="B20" s="535" t="s">
        <v>357</v>
      </c>
      <c r="C20" s="520">
        <f>C79/1000000</f>
        <v>4.8623450000000004</v>
      </c>
      <c r="D20" s="520">
        <f>D79/1000000</f>
        <v>4.6080040000000002</v>
      </c>
      <c r="E20" s="521">
        <f>E79</f>
        <v>105.51954816011444</v>
      </c>
      <c r="F20" s="520">
        <f>F79/1000000</f>
        <v>0.57536399999999999</v>
      </c>
      <c r="G20" s="520">
        <f>G79/1000000</f>
        <v>0.45803700000000003</v>
      </c>
      <c r="H20" s="521">
        <f>H79</f>
        <v>125.6151795597299</v>
      </c>
      <c r="I20" s="520">
        <f>I79/1000000</f>
        <v>6.2773320000000004</v>
      </c>
      <c r="J20" s="520">
        <f>J79/1000000</f>
        <v>6.9884820000000003</v>
      </c>
      <c r="K20" s="521">
        <f>K79</f>
        <v>89.823970355794003</v>
      </c>
      <c r="L20" s="520">
        <f>L79/1000000</f>
        <v>2.1923520000000001</v>
      </c>
      <c r="M20" s="520">
        <f>M79/1000000</f>
        <v>2.2038709999999999</v>
      </c>
      <c r="N20" s="521">
        <f>N79</f>
        <v>99.477328754722933</v>
      </c>
    </row>
    <row r="21" spans="1:14" ht="17.25" x14ac:dyDescent="0.25">
      <c r="A21" s="7" t="s">
        <v>535</v>
      </c>
      <c r="B21" s="535" t="s">
        <v>358</v>
      </c>
      <c r="C21" s="521">
        <f>C158/1000000</f>
        <v>172.29272900000001</v>
      </c>
      <c r="D21" s="521">
        <f>D158/1000000</f>
        <v>143.89003199999999</v>
      </c>
      <c r="E21" s="521">
        <f>E158</f>
        <v>119.73916928449914</v>
      </c>
      <c r="F21" s="520">
        <f>F158/1000000</f>
        <v>18.060074</v>
      </c>
      <c r="G21" s="520">
        <f>G158/1000000</f>
        <v>21.621497999999999</v>
      </c>
      <c r="H21" s="521">
        <f>H158</f>
        <v>83.528319823168587</v>
      </c>
      <c r="I21" s="520">
        <f>I158/1000000</f>
        <v>171.75365400000001</v>
      </c>
      <c r="J21" s="520">
        <f>J158/1000000</f>
        <v>138.672776</v>
      </c>
      <c r="K21" s="521">
        <f>K158</f>
        <v>123.85535139211463</v>
      </c>
      <c r="L21" s="520">
        <f>L158/1000000</f>
        <v>71.707509000000002</v>
      </c>
      <c r="M21" s="520">
        <f>M158/1000000</f>
        <v>62.273142</v>
      </c>
      <c r="N21" s="521">
        <f>N158</f>
        <v>115.14997749752212</v>
      </c>
    </row>
    <row r="22" spans="1:14" ht="17.25" x14ac:dyDescent="0.25">
      <c r="A22" s="483" t="s">
        <v>536</v>
      </c>
      <c r="B22" s="535" t="s">
        <v>359</v>
      </c>
      <c r="C22" s="520">
        <f>C95/1000000</f>
        <v>3.0413250000000001</v>
      </c>
      <c r="D22" s="520">
        <f>D95/1000000</f>
        <v>2.0898940000000001</v>
      </c>
      <c r="E22" s="521">
        <f>E95</f>
        <v>145.52532329390868</v>
      </c>
      <c r="F22" s="520">
        <f>F95/1000000</f>
        <v>0.38691300000000001</v>
      </c>
      <c r="G22" s="520">
        <f>G95/1000000</f>
        <v>0.24058199999999999</v>
      </c>
      <c r="H22" s="521">
        <f>H95</f>
        <v>160.82375240042896</v>
      </c>
      <c r="I22" s="520">
        <f>I95/1000000</f>
        <v>3.1939890000000002</v>
      </c>
      <c r="J22" s="520">
        <f>J95/1000000</f>
        <v>2.0067529999999998</v>
      </c>
      <c r="K22" s="521">
        <f>K95</f>
        <v>159.16203937405351</v>
      </c>
      <c r="L22" s="520">
        <f>L95/1000000</f>
        <v>2.059536</v>
      </c>
      <c r="M22" s="520">
        <f>M95/1000000</f>
        <v>0.94245400000000001</v>
      </c>
      <c r="N22" s="521">
        <f>N95</f>
        <v>218.52907409804615</v>
      </c>
    </row>
    <row r="23" spans="1:14" ht="17.25" x14ac:dyDescent="0.25">
      <c r="A23" s="7" t="s">
        <v>537</v>
      </c>
      <c r="B23" s="535" t="s">
        <v>360</v>
      </c>
      <c r="C23" s="520">
        <f>C124/1000000</f>
        <v>0.106656</v>
      </c>
      <c r="D23" s="520">
        <f>D124/1000000</f>
        <v>0.13255900000000001</v>
      </c>
      <c r="E23" s="521">
        <f>E124</f>
        <v>80.459267194230492</v>
      </c>
      <c r="F23" s="520">
        <f>F124/1000000</f>
        <v>2.1933999999999999E-2</v>
      </c>
      <c r="G23" s="520">
        <f>G124/1000000</f>
        <v>2.3831999999999999E-2</v>
      </c>
      <c r="H23" s="521">
        <f>H124</f>
        <v>92.035918093319907</v>
      </c>
      <c r="I23" s="520">
        <f>I124/1000000</f>
        <v>0.112082</v>
      </c>
      <c r="J23" s="520">
        <f>J124/1000000</f>
        <v>9.5260999999999998E-2</v>
      </c>
      <c r="K23" s="521">
        <f>K124</f>
        <v>117.65780329830675</v>
      </c>
      <c r="L23" s="520">
        <f>L124/1000000</f>
        <v>5.5146000000000001E-2</v>
      </c>
      <c r="M23" s="521">
        <f>M124/1000000</f>
        <v>1.9451E-2</v>
      </c>
      <c r="N23" s="521">
        <f>N124</f>
        <v>283.51241581409698</v>
      </c>
    </row>
    <row r="24" spans="1:14" ht="35.25" thickBot="1" x14ac:dyDescent="0.3">
      <c r="A24" s="483" t="s">
        <v>538</v>
      </c>
      <c r="B24" s="535" t="s">
        <v>361</v>
      </c>
      <c r="C24" s="520">
        <f>C253/1000000</f>
        <v>0.76207000000000003</v>
      </c>
      <c r="D24" s="520">
        <f>D253/1000000</f>
        <v>0.64371500000000004</v>
      </c>
      <c r="E24" s="521">
        <f>E253</f>
        <v>118.38624235880786</v>
      </c>
      <c r="F24" s="520">
        <f>F253/1000000</f>
        <v>0.11819499999999999</v>
      </c>
      <c r="G24" s="520">
        <f>G253/1000000</f>
        <v>7.8946000000000002E-2</v>
      </c>
      <c r="H24" s="521">
        <f>H253</f>
        <v>149.71626174853699</v>
      </c>
      <c r="I24" s="520">
        <f>I253/1000000</f>
        <v>0.50353199999999998</v>
      </c>
      <c r="J24" s="520">
        <f>J253/1000000</f>
        <v>0.316355</v>
      </c>
      <c r="K24" s="521">
        <f>K253</f>
        <v>159.16675886267012</v>
      </c>
      <c r="L24" s="520">
        <f>L253/1000000</f>
        <v>1.8690999999999999E-2</v>
      </c>
      <c r="M24" s="540">
        <f>M253/1000000</f>
        <v>3.5950000000000001E-3</v>
      </c>
      <c r="N24" s="521">
        <f>N253</f>
        <v>519.91655076495135</v>
      </c>
    </row>
    <row r="25" spans="1:14" s="556" customFormat="1" ht="18" thickBot="1" x14ac:dyDescent="0.3">
      <c r="A25" s="458">
        <v>2</v>
      </c>
      <c r="B25" s="458" t="s">
        <v>322</v>
      </c>
      <c r="C25" s="526">
        <f>C265/1000000</f>
        <v>146.58551449999999</v>
      </c>
      <c r="D25" s="526">
        <f>D265/1000000</f>
        <v>118.94617029999999</v>
      </c>
      <c r="E25" s="526">
        <f t="shared" ref="E25" si="4">C25/D25*100</f>
        <v>123.23685086311687</v>
      </c>
      <c r="F25" s="526">
        <f>F265/1000000</f>
        <v>19.136209999999998</v>
      </c>
      <c r="G25" s="526">
        <f>G265/1000000</f>
        <v>17.762333000000002</v>
      </c>
      <c r="H25" s="526">
        <f t="shared" ref="H25" si="5">F25/G25*100</f>
        <v>107.73477785829147</v>
      </c>
      <c r="I25" s="526">
        <f>I265/1000000</f>
        <v>146.58551449999999</v>
      </c>
      <c r="J25" s="526">
        <f>J265/1000000</f>
        <v>118.94617029999999</v>
      </c>
      <c r="K25" s="526">
        <f t="shared" ref="K25" si="6">I25/J25*100</f>
        <v>123.23685086311687</v>
      </c>
      <c r="L25" s="526">
        <f>L265/1000000</f>
        <v>10.318562</v>
      </c>
      <c r="M25" s="526">
        <f>M265/1000000</f>
        <v>14.266999</v>
      </c>
      <c r="N25" s="526">
        <f t="shared" ref="N25" si="7">L25/M25*100</f>
        <v>72.324684399290973</v>
      </c>
    </row>
    <row r="26" spans="1:14" s="556" customFormat="1" ht="18" thickBot="1" x14ac:dyDescent="0.3">
      <c r="A26" s="458">
        <v>3</v>
      </c>
      <c r="B26" s="462" t="s">
        <v>321</v>
      </c>
      <c r="C26" s="558">
        <f>C286/1000000</f>
        <v>1.4626399999999999</v>
      </c>
      <c r="D26" s="558">
        <f>D286/1000000</f>
        <v>1.412925</v>
      </c>
      <c r="E26" s="529">
        <f>C26/D26*100</f>
        <v>103.51858732770671</v>
      </c>
      <c r="F26" s="559">
        <f>F286/1000000</f>
        <v>0.16753999999999999</v>
      </c>
      <c r="G26" s="559">
        <f>G286/1000000</f>
        <v>0.17101</v>
      </c>
      <c r="H26" s="529">
        <f>F26/G26*100</f>
        <v>97.970878895970998</v>
      </c>
      <c r="I26" s="558">
        <f>I286/1000000</f>
        <v>1.4626399999999999</v>
      </c>
      <c r="J26" s="558">
        <f>J286/1000000</f>
        <v>1.412925</v>
      </c>
      <c r="K26" s="529">
        <f>I26/J26*100</f>
        <v>103.51858732770671</v>
      </c>
      <c r="L26" s="558">
        <f>L286/1000000</f>
        <v>0.25078600000000001</v>
      </c>
      <c r="M26" s="558">
        <f>M286/1000000</f>
        <v>0.27984399999999998</v>
      </c>
      <c r="N26" s="529">
        <f>L26/M26*100</f>
        <v>89.616357684995933</v>
      </c>
    </row>
    <row r="27" spans="1:14" ht="18" thickBot="1" x14ac:dyDescent="0.3">
      <c r="A27" s="460">
        <v>4</v>
      </c>
      <c r="B27" s="461" t="s">
        <v>517</v>
      </c>
      <c r="C27" s="477">
        <f>C294/1000000</f>
        <v>0</v>
      </c>
      <c r="D27" s="477">
        <f>D294/1000000</f>
        <v>0</v>
      </c>
      <c r="E27" s="533" t="e">
        <f>C27/D27*100</f>
        <v>#DIV/0!</v>
      </c>
      <c r="F27" s="477">
        <f>F294/1000000</f>
        <v>0</v>
      </c>
      <c r="G27" s="477">
        <f>G294/1000000</f>
        <v>0</v>
      </c>
      <c r="H27" s="533" t="e">
        <f>F27/G27*100</f>
        <v>#DIV/0!</v>
      </c>
      <c r="I27" s="477">
        <f>I294/1000000</f>
        <v>0</v>
      </c>
      <c r="J27" s="477">
        <f>J294/1000000</f>
        <v>0</v>
      </c>
      <c r="K27" s="533" t="e">
        <f>I27/J27*100</f>
        <v>#DIV/0!</v>
      </c>
      <c r="L27" s="459">
        <f>L294</f>
        <v>0</v>
      </c>
      <c r="M27" s="459">
        <f>M294</f>
        <v>0</v>
      </c>
      <c r="N27" s="410">
        <v>0</v>
      </c>
    </row>
    <row r="28" spans="1:14" ht="228" customHeight="1" x14ac:dyDescent="0.25"/>
    <row r="29" spans="1:14" x14ac:dyDescent="0.25">
      <c r="A29" s="941" t="s">
        <v>749</v>
      </c>
      <c r="B29" s="1000"/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0"/>
    </row>
    <row r="30" spans="1:14" s="560" customFormat="1" ht="20.25" customHeight="1" thickBot="1" x14ac:dyDescent="0.3">
      <c r="A30" s="1000"/>
      <c r="B30" s="1000"/>
      <c r="C30" s="1000"/>
      <c r="D30" s="1000"/>
      <c r="E30" s="1000"/>
      <c r="F30" s="1000"/>
      <c r="G30" s="1000"/>
      <c r="H30" s="1000"/>
      <c r="I30" s="1000"/>
      <c r="J30" s="1000"/>
      <c r="K30" s="1000"/>
      <c r="L30" s="1000"/>
      <c r="M30" s="1000"/>
      <c r="N30" s="1000"/>
    </row>
    <row r="31" spans="1:14" x14ac:dyDescent="0.25">
      <c r="A31" s="1037" t="s">
        <v>1</v>
      </c>
      <c r="B31" s="1023" t="s">
        <v>338</v>
      </c>
      <c r="C31" s="1040" t="s">
        <v>3</v>
      </c>
      <c r="D31" s="1041"/>
      <c r="E31" s="1041"/>
      <c r="F31" s="1041"/>
      <c r="G31" s="1042"/>
      <c r="H31" s="1040" t="s">
        <v>4</v>
      </c>
      <c r="I31" s="1041"/>
      <c r="J31" s="1041"/>
      <c r="K31" s="1042"/>
      <c r="L31" s="484"/>
      <c r="M31" s="484" t="s">
        <v>5</v>
      </c>
      <c r="N31" s="484"/>
    </row>
    <row r="32" spans="1:14" ht="63" customHeight="1" thickBot="1" x14ac:dyDescent="0.3">
      <c r="A32" s="1038"/>
      <c r="B32" s="1039"/>
      <c r="C32" s="600" t="s">
        <v>765</v>
      </c>
      <c r="D32" s="600" t="s">
        <v>766</v>
      </c>
      <c r="E32" s="600" t="s">
        <v>323</v>
      </c>
      <c r="F32" s="600" t="s">
        <v>747</v>
      </c>
      <c r="G32" s="600" t="s">
        <v>748</v>
      </c>
      <c r="H32" s="600" t="s">
        <v>323</v>
      </c>
      <c r="I32" s="600" t="s">
        <v>765</v>
      </c>
      <c r="J32" s="600" t="s">
        <v>766</v>
      </c>
      <c r="K32" s="600" t="s">
        <v>323</v>
      </c>
      <c r="L32" s="600" t="s">
        <v>765</v>
      </c>
      <c r="M32" s="600" t="s">
        <v>766</v>
      </c>
      <c r="N32" s="600" t="s">
        <v>323</v>
      </c>
    </row>
    <row r="33" spans="1:16" ht="15.75" customHeight="1" thickBot="1" x14ac:dyDescent="0.3">
      <c r="A33" s="487">
        <v>1</v>
      </c>
      <c r="B33" s="488">
        <v>2</v>
      </c>
      <c r="C33" s="488">
        <v>3</v>
      </c>
      <c r="D33" s="489">
        <v>4</v>
      </c>
      <c r="E33" s="490">
        <v>5</v>
      </c>
      <c r="F33" s="489">
        <v>6</v>
      </c>
      <c r="G33" s="489">
        <v>7</v>
      </c>
      <c r="H33" s="489">
        <v>8</v>
      </c>
      <c r="I33" s="489">
        <v>9</v>
      </c>
      <c r="J33" s="489">
        <v>10</v>
      </c>
      <c r="K33" s="489">
        <v>11</v>
      </c>
      <c r="L33" s="489">
        <v>12</v>
      </c>
      <c r="M33" s="489">
        <v>13</v>
      </c>
      <c r="N33" s="489">
        <v>14</v>
      </c>
    </row>
    <row r="34" spans="1:16" ht="15" customHeight="1" x14ac:dyDescent="0.25">
      <c r="A34" s="1043" t="s">
        <v>741</v>
      </c>
      <c r="B34" s="1044" t="s">
        <v>78</v>
      </c>
      <c r="C34" s="464">
        <f>C35+C55+C69</f>
        <v>3601784</v>
      </c>
      <c r="D34" s="464">
        <f>D35+D55+D69</f>
        <v>4351056</v>
      </c>
      <c r="E34" s="465">
        <f>C34/D34*100</f>
        <v>82.779536737748259</v>
      </c>
      <c r="F34" s="464">
        <f>F35+F55+F69</f>
        <v>581434</v>
      </c>
      <c r="G34" s="464">
        <f>G35+G55+G69</f>
        <v>637550</v>
      </c>
      <c r="H34" s="465">
        <f>F34/G34*100</f>
        <v>91.198180534860001</v>
      </c>
      <c r="I34" s="464">
        <f>I35+I55+I69</f>
        <v>3513834</v>
      </c>
      <c r="J34" s="464">
        <f>J35+J55+J69</f>
        <v>4417860</v>
      </c>
      <c r="K34" s="465">
        <f>I34/J34*100</f>
        <v>79.537015659165306</v>
      </c>
      <c r="L34" s="464">
        <f>L35+L55+L69</f>
        <v>1968132</v>
      </c>
      <c r="M34" s="464">
        <f>M35+M55+M69</f>
        <v>2523145</v>
      </c>
      <c r="N34" s="465">
        <f>L34/M34*100</f>
        <v>78.003127049773198</v>
      </c>
    </row>
    <row r="35" spans="1:16" ht="17.25" x14ac:dyDescent="0.25">
      <c r="A35" s="1033" t="s">
        <v>740</v>
      </c>
      <c r="B35" s="1034"/>
      <c r="C35" s="254">
        <f>SUM(C36:C53)</f>
        <v>1348246</v>
      </c>
      <c r="D35" s="254">
        <f>SUM(D36:D53)</f>
        <v>2118682</v>
      </c>
      <c r="E35" s="452">
        <f>C35/D35*100</f>
        <v>63.63607185976943</v>
      </c>
      <c r="F35" s="254">
        <f>SUM(F36:F53)</f>
        <v>176022</v>
      </c>
      <c r="G35" s="254">
        <f>SUM(G36:G53)</f>
        <v>318624</v>
      </c>
      <c r="H35" s="254">
        <f>F35/G35*100</f>
        <v>55.24442603193733</v>
      </c>
      <c r="I35" s="254">
        <f>SUM(I36:I53)</f>
        <v>1242629</v>
      </c>
      <c r="J35" s="254">
        <f>SUM(J36:J53)</f>
        <v>2170062</v>
      </c>
      <c r="K35" s="254">
        <f>I35/J35*100</f>
        <v>57.262373148785606</v>
      </c>
      <c r="L35" s="254">
        <f>SUM(L36:L53)</f>
        <v>584474</v>
      </c>
      <c r="M35" s="254">
        <f>SUM(M36:M53)</f>
        <v>1244176</v>
      </c>
      <c r="N35" s="254">
        <f>L35/M35*100</f>
        <v>46.976794279908951</v>
      </c>
    </row>
    <row r="36" spans="1:16" ht="17.25" x14ac:dyDescent="0.25">
      <c r="A36" s="253">
        <v>1</v>
      </c>
      <c r="B36" s="544" t="s">
        <v>577</v>
      </c>
      <c r="C36" s="247">
        <v>63214</v>
      </c>
      <c r="D36" s="247">
        <v>84669</v>
      </c>
      <c r="E36" s="425">
        <f>C36/D36*100</f>
        <v>74.66014716129871</v>
      </c>
      <c r="F36" s="247">
        <v>11833</v>
      </c>
      <c r="G36" s="247">
        <v>5139</v>
      </c>
      <c r="H36" s="425">
        <f>F36/G36*100</f>
        <v>230.25880521502239</v>
      </c>
      <c r="I36" s="247">
        <v>51215</v>
      </c>
      <c r="J36" s="247">
        <v>84669</v>
      </c>
      <c r="K36" s="425">
        <f>I36/J36*100</f>
        <v>60.488490474671963</v>
      </c>
      <c r="L36" s="247">
        <v>0</v>
      </c>
      <c r="M36" s="247">
        <v>1672</v>
      </c>
      <c r="N36" s="425">
        <f>L36/M36*100</f>
        <v>0</v>
      </c>
      <c r="O36" s="126">
        <v>70</v>
      </c>
      <c r="P36" s="126">
        <v>112</v>
      </c>
    </row>
    <row r="37" spans="1:16" ht="17.25" x14ac:dyDescent="0.25">
      <c r="A37" s="253">
        <v>2</v>
      </c>
      <c r="B37" s="544" t="s">
        <v>578</v>
      </c>
      <c r="C37" s="247">
        <v>200430</v>
      </c>
      <c r="D37" s="247">
        <v>185016</v>
      </c>
      <c r="E37" s="425">
        <f t="shared" ref="E37:E53" si="8">C37/D37*100</f>
        <v>108.3311713581528</v>
      </c>
      <c r="F37" s="247">
        <v>3365</v>
      </c>
      <c r="G37" s="247">
        <v>10236</v>
      </c>
      <c r="H37" s="425">
        <f t="shared" ref="H37:H53" si="9">F37/G37*100</f>
        <v>32.874169597499026</v>
      </c>
      <c r="I37" s="247">
        <v>200430</v>
      </c>
      <c r="J37" s="247">
        <v>185016</v>
      </c>
      <c r="K37" s="425">
        <f t="shared" ref="K37:K53" si="10">I37/J37*100</f>
        <v>108.3311713581528</v>
      </c>
      <c r="L37" s="247">
        <v>67466</v>
      </c>
      <c r="M37" s="247">
        <v>119377</v>
      </c>
      <c r="N37" s="425">
        <f t="shared" ref="N37:N53" si="11">L37/M37*100</f>
        <v>56.515074092999484</v>
      </c>
      <c r="O37" s="126">
        <v>72</v>
      </c>
      <c r="P37" s="126">
        <v>215</v>
      </c>
    </row>
    <row r="38" spans="1:16" ht="17.25" x14ac:dyDescent="0.25">
      <c r="A38" s="253">
        <v>3</v>
      </c>
      <c r="B38" s="544" t="s">
        <v>579</v>
      </c>
      <c r="C38" s="247">
        <v>41059</v>
      </c>
      <c r="D38" s="247">
        <v>49517</v>
      </c>
      <c r="E38" s="425">
        <f t="shared" si="8"/>
        <v>82.918997516004595</v>
      </c>
      <c r="F38" s="247">
        <v>1000</v>
      </c>
      <c r="G38" s="247">
        <v>8844</v>
      </c>
      <c r="H38" s="425">
        <f t="shared" si="9"/>
        <v>11.307100859339664</v>
      </c>
      <c r="I38" s="247">
        <v>34302</v>
      </c>
      <c r="J38" s="247">
        <v>91852</v>
      </c>
      <c r="K38" s="425">
        <f t="shared" si="10"/>
        <v>37.344859121194965</v>
      </c>
      <c r="L38" s="247">
        <v>0</v>
      </c>
      <c r="M38" s="247">
        <v>0</v>
      </c>
      <c r="N38" s="425" t="e">
        <f t="shared" si="11"/>
        <v>#DIV/0!</v>
      </c>
      <c r="O38" s="126">
        <v>25</v>
      </c>
      <c r="P38" s="126">
        <v>90</v>
      </c>
    </row>
    <row r="39" spans="1:16" ht="34.5" x14ac:dyDescent="0.25">
      <c r="A39" s="253">
        <v>4</v>
      </c>
      <c r="B39" s="544" t="s">
        <v>580</v>
      </c>
      <c r="C39" s="247">
        <v>16000</v>
      </c>
      <c r="D39" s="247">
        <v>14430</v>
      </c>
      <c r="E39" s="425">
        <f t="shared" si="8"/>
        <v>110.88011088011088</v>
      </c>
      <c r="F39" s="247">
        <v>1440</v>
      </c>
      <c r="G39" s="247">
        <v>2800</v>
      </c>
      <c r="H39" s="425">
        <f t="shared" si="9"/>
        <v>51.428571428571423</v>
      </c>
      <c r="I39" s="247">
        <v>18026</v>
      </c>
      <c r="J39" s="247">
        <v>17004</v>
      </c>
      <c r="K39" s="425">
        <f t="shared" si="10"/>
        <v>106.01035050576336</v>
      </c>
      <c r="L39" s="247">
        <v>18026</v>
      </c>
      <c r="M39" s="247">
        <v>17004</v>
      </c>
      <c r="N39" s="425">
        <f t="shared" si="11"/>
        <v>106.01035050576336</v>
      </c>
      <c r="O39" s="126">
        <v>11</v>
      </c>
      <c r="P39" s="126">
        <v>60</v>
      </c>
    </row>
    <row r="40" spans="1:16" ht="34.5" x14ac:dyDescent="0.25">
      <c r="A40" s="253">
        <v>5</v>
      </c>
      <c r="B40" s="544" t="s">
        <v>581</v>
      </c>
      <c r="C40" s="247">
        <v>32070</v>
      </c>
      <c r="D40" s="247">
        <v>27658</v>
      </c>
      <c r="E40" s="425">
        <f t="shared" si="8"/>
        <v>115.95198495914383</v>
      </c>
      <c r="F40" s="247">
        <v>3628</v>
      </c>
      <c r="G40" s="247">
        <v>2351</v>
      </c>
      <c r="H40" s="425">
        <f t="shared" si="9"/>
        <v>154.31731178222032</v>
      </c>
      <c r="I40" s="247">
        <v>35987</v>
      </c>
      <c r="J40" s="247">
        <v>39122</v>
      </c>
      <c r="K40" s="425">
        <f t="shared" si="10"/>
        <v>91.986606001738153</v>
      </c>
      <c r="L40" s="247">
        <v>5380</v>
      </c>
      <c r="M40" s="247">
        <v>5695</v>
      </c>
      <c r="N40" s="425">
        <f t="shared" si="11"/>
        <v>94.468832309043023</v>
      </c>
      <c r="O40" s="126">
        <v>52</v>
      </c>
      <c r="P40" s="126">
        <v>65</v>
      </c>
    </row>
    <row r="41" spans="1:16" ht="17.25" x14ac:dyDescent="0.25">
      <c r="A41" s="253">
        <v>6</v>
      </c>
      <c r="B41" s="544" t="s">
        <v>582</v>
      </c>
      <c r="C41" s="247">
        <v>84729</v>
      </c>
      <c r="D41" s="247">
        <v>94829</v>
      </c>
      <c r="E41" s="425">
        <f t="shared" si="8"/>
        <v>89.349249702095349</v>
      </c>
      <c r="F41" s="247">
        <v>14733</v>
      </c>
      <c r="G41" s="247">
        <v>12501</v>
      </c>
      <c r="H41" s="425">
        <f t="shared" si="9"/>
        <v>117.85457163426926</v>
      </c>
      <c r="I41" s="247">
        <v>87450</v>
      </c>
      <c r="J41" s="247">
        <v>88249</v>
      </c>
      <c r="K41" s="425">
        <f t="shared" si="10"/>
        <v>99.094607304332058</v>
      </c>
      <c r="L41" s="247">
        <v>5327</v>
      </c>
      <c r="M41" s="247">
        <v>0</v>
      </c>
      <c r="N41" s="425" t="e">
        <f t="shared" si="11"/>
        <v>#DIV/0!</v>
      </c>
      <c r="O41" s="126">
        <v>64</v>
      </c>
      <c r="P41" s="126">
        <v>85</v>
      </c>
    </row>
    <row r="42" spans="1:16" ht="17.25" x14ac:dyDescent="0.25">
      <c r="A42" s="253">
        <v>7</v>
      </c>
      <c r="B42" s="544" t="s">
        <v>583</v>
      </c>
      <c r="C42" s="247">
        <v>0</v>
      </c>
      <c r="D42" s="247">
        <v>0</v>
      </c>
      <c r="E42" s="425" t="e">
        <f t="shared" si="8"/>
        <v>#DIV/0!</v>
      </c>
      <c r="F42" s="247">
        <v>0</v>
      </c>
      <c r="G42" s="247">
        <v>0</v>
      </c>
      <c r="H42" s="425" t="e">
        <f t="shared" si="9"/>
        <v>#DIV/0!</v>
      </c>
      <c r="I42" s="247">
        <v>0</v>
      </c>
      <c r="J42" s="247">
        <v>0</v>
      </c>
      <c r="K42" s="425" t="e">
        <f t="shared" si="10"/>
        <v>#DIV/0!</v>
      </c>
      <c r="L42" s="247">
        <v>0</v>
      </c>
      <c r="M42" s="247">
        <v>0</v>
      </c>
      <c r="N42" s="425" t="e">
        <f t="shared" si="11"/>
        <v>#DIV/0!</v>
      </c>
      <c r="O42" s="126">
        <v>0</v>
      </c>
      <c r="P42" s="126">
        <v>0</v>
      </c>
    </row>
    <row r="43" spans="1:16" ht="34.5" x14ac:dyDescent="0.25">
      <c r="A43" s="253">
        <v>8</v>
      </c>
      <c r="B43" s="544" t="s">
        <v>584</v>
      </c>
      <c r="C43" s="247">
        <v>71288</v>
      </c>
      <c r="D43" s="247">
        <v>96037</v>
      </c>
      <c r="E43" s="425">
        <f t="shared" si="8"/>
        <v>74.229723960556868</v>
      </c>
      <c r="F43" s="247">
        <v>8475</v>
      </c>
      <c r="G43" s="247">
        <v>19805</v>
      </c>
      <c r="H43" s="425">
        <f t="shared" si="9"/>
        <v>42.792224185811662</v>
      </c>
      <c r="I43" s="247">
        <v>71524</v>
      </c>
      <c r="J43" s="247">
        <v>96037</v>
      </c>
      <c r="K43" s="425">
        <f t="shared" si="10"/>
        <v>74.475462582129808</v>
      </c>
      <c r="L43" s="247">
        <v>0</v>
      </c>
      <c r="M43" s="247">
        <v>0</v>
      </c>
      <c r="N43" s="425" t="e">
        <f t="shared" si="11"/>
        <v>#DIV/0!</v>
      </c>
      <c r="O43" s="126">
        <v>38</v>
      </c>
      <c r="P43" s="126">
        <v>113</v>
      </c>
    </row>
    <row r="44" spans="1:16" ht="17.25" x14ac:dyDescent="0.25">
      <c r="A44" s="253">
        <v>9</v>
      </c>
      <c r="B44" s="544" t="s">
        <v>585</v>
      </c>
      <c r="C44" s="247">
        <v>84470</v>
      </c>
      <c r="D44" s="247">
        <v>203383</v>
      </c>
      <c r="E44" s="425">
        <f t="shared" si="8"/>
        <v>41.532478132390608</v>
      </c>
      <c r="F44" s="247">
        <v>15865</v>
      </c>
      <c r="G44" s="247">
        <v>38604</v>
      </c>
      <c r="H44" s="425">
        <f t="shared" si="9"/>
        <v>41.096777536006627</v>
      </c>
      <c r="I44" s="247">
        <v>81766</v>
      </c>
      <c r="J44" s="247">
        <v>206419</v>
      </c>
      <c r="K44" s="425">
        <f t="shared" si="10"/>
        <v>39.611663654993002</v>
      </c>
      <c r="L44" s="247">
        <v>0</v>
      </c>
      <c r="M44" s="247">
        <v>0</v>
      </c>
      <c r="N44" s="425" t="e">
        <f t="shared" si="11"/>
        <v>#DIV/0!</v>
      </c>
      <c r="O44" s="126">
        <v>56</v>
      </c>
      <c r="P44" s="126">
        <v>133</v>
      </c>
    </row>
    <row r="45" spans="1:16" ht="17.25" x14ac:dyDescent="0.25">
      <c r="A45" s="253">
        <v>10</v>
      </c>
      <c r="B45" s="544" t="s">
        <v>381</v>
      </c>
      <c r="C45" s="247">
        <v>393846</v>
      </c>
      <c r="D45" s="247">
        <v>507736</v>
      </c>
      <c r="E45" s="425">
        <f t="shared" si="8"/>
        <v>77.569051633132176</v>
      </c>
      <c r="F45" s="247">
        <v>95209</v>
      </c>
      <c r="G45" s="247">
        <v>83247</v>
      </c>
      <c r="H45" s="425">
        <f t="shared" si="9"/>
        <v>114.36928658089781</v>
      </c>
      <c r="I45" s="247">
        <v>312762</v>
      </c>
      <c r="J45" s="247">
        <v>516498</v>
      </c>
      <c r="K45" s="425">
        <f t="shared" si="10"/>
        <v>60.554348709965964</v>
      </c>
      <c r="L45" s="247">
        <v>311160</v>
      </c>
      <c r="M45" s="247">
        <v>513914</v>
      </c>
      <c r="N45" s="425">
        <f t="shared" si="11"/>
        <v>60.547095428417983</v>
      </c>
      <c r="O45" s="126">
        <v>180</v>
      </c>
      <c r="P45" s="126">
        <v>84</v>
      </c>
    </row>
    <row r="46" spans="1:16" ht="17.25" x14ac:dyDescent="0.25">
      <c r="A46" s="253">
        <v>11</v>
      </c>
      <c r="B46" s="544" t="s">
        <v>586</v>
      </c>
      <c r="C46" s="247">
        <v>0</v>
      </c>
      <c r="D46" s="247">
        <v>0</v>
      </c>
      <c r="E46" s="425" t="e">
        <f t="shared" si="8"/>
        <v>#DIV/0!</v>
      </c>
      <c r="F46" s="247">
        <v>0</v>
      </c>
      <c r="G46" s="247">
        <v>0</v>
      </c>
      <c r="H46" s="425" t="e">
        <f t="shared" si="9"/>
        <v>#DIV/0!</v>
      </c>
      <c r="I46" s="247">
        <v>0</v>
      </c>
      <c r="J46" s="247">
        <v>0</v>
      </c>
      <c r="K46" s="425" t="e">
        <f t="shared" si="10"/>
        <v>#DIV/0!</v>
      </c>
      <c r="L46" s="247">
        <v>0</v>
      </c>
      <c r="M46" s="247">
        <v>0</v>
      </c>
      <c r="N46" s="425" t="e">
        <f t="shared" si="11"/>
        <v>#DIV/0!</v>
      </c>
      <c r="O46" s="126">
        <v>0</v>
      </c>
      <c r="P46" s="126">
        <v>0</v>
      </c>
    </row>
    <row r="47" spans="1:16" ht="17.25" x14ac:dyDescent="0.25">
      <c r="A47" s="253">
        <v>12</v>
      </c>
      <c r="B47" s="544" t="s">
        <v>587</v>
      </c>
      <c r="C47" s="247">
        <v>19173</v>
      </c>
      <c r="D47" s="247">
        <v>64876</v>
      </c>
      <c r="E47" s="425">
        <f t="shared" si="8"/>
        <v>29.553301683211046</v>
      </c>
      <c r="F47" s="247">
        <v>160</v>
      </c>
      <c r="G47" s="247">
        <v>15926</v>
      </c>
      <c r="H47" s="425">
        <f t="shared" si="9"/>
        <v>1.0046464900163254</v>
      </c>
      <c r="I47" s="247">
        <v>19173</v>
      </c>
      <c r="J47" s="247">
        <v>71223</v>
      </c>
      <c r="K47" s="425">
        <f t="shared" si="10"/>
        <v>26.919674824143886</v>
      </c>
      <c r="L47" s="247">
        <v>12059</v>
      </c>
      <c r="M47" s="247">
        <v>62543</v>
      </c>
      <c r="N47" s="425">
        <f t="shared" si="11"/>
        <v>19.281134579409368</v>
      </c>
      <c r="O47" s="126">
        <v>19</v>
      </c>
      <c r="P47" s="126">
        <v>114</v>
      </c>
    </row>
    <row r="48" spans="1:16" ht="34.5" x14ac:dyDescent="0.25">
      <c r="A48" s="253">
        <v>13</v>
      </c>
      <c r="B48" s="544" t="s">
        <v>588</v>
      </c>
      <c r="C48" s="247">
        <v>134223</v>
      </c>
      <c r="D48" s="247">
        <v>227164</v>
      </c>
      <c r="E48" s="425">
        <f t="shared" si="8"/>
        <v>59.086386927506119</v>
      </c>
      <c r="F48" s="247">
        <v>19697</v>
      </c>
      <c r="G48" s="247">
        <v>36700</v>
      </c>
      <c r="H48" s="425">
        <f t="shared" si="9"/>
        <v>53.67029972752043</v>
      </c>
      <c r="I48" s="247">
        <v>139795</v>
      </c>
      <c r="J48" s="247">
        <v>212186</v>
      </c>
      <c r="K48" s="425">
        <f t="shared" si="10"/>
        <v>65.883234520656401</v>
      </c>
      <c r="L48" s="247">
        <v>0</v>
      </c>
      <c r="M48" s="247">
        <v>0</v>
      </c>
      <c r="N48" s="425" t="e">
        <f t="shared" si="11"/>
        <v>#DIV/0!</v>
      </c>
      <c r="O48" s="126">
        <v>39</v>
      </c>
      <c r="P48" s="126">
        <v>120</v>
      </c>
    </row>
    <row r="49" spans="1:16" ht="17.25" x14ac:dyDescent="0.25">
      <c r="A49" s="253">
        <v>14</v>
      </c>
      <c r="B49" s="544" t="s">
        <v>589</v>
      </c>
      <c r="C49" s="247">
        <v>12768</v>
      </c>
      <c r="D49" s="247">
        <v>12606</v>
      </c>
      <c r="E49" s="425">
        <f t="shared" si="8"/>
        <v>101.28510233222275</v>
      </c>
      <c r="F49" s="247">
        <v>412</v>
      </c>
      <c r="G49" s="247">
        <v>0</v>
      </c>
      <c r="H49" s="425" t="e">
        <f t="shared" si="9"/>
        <v>#DIV/0!</v>
      </c>
      <c r="I49" s="247">
        <v>11223</v>
      </c>
      <c r="J49" s="247">
        <v>11026</v>
      </c>
      <c r="K49" s="425">
        <f t="shared" si="10"/>
        <v>101.78668601487392</v>
      </c>
      <c r="L49" s="247">
        <v>0</v>
      </c>
      <c r="M49" s="247">
        <v>1576</v>
      </c>
      <c r="N49" s="425">
        <f t="shared" si="11"/>
        <v>0</v>
      </c>
      <c r="O49" s="126">
        <v>14</v>
      </c>
      <c r="P49" s="126">
        <v>80</v>
      </c>
    </row>
    <row r="50" spans="1:16" ht="17.25" x14ac:dyDescent="0.25">
      <c r="A50" s="253">
        <v>15</v>
      </c>
      <c r="B50" s="544" t="s">
        <v>760</v>
      </c>
      <c r="C50" s="247">
        <v>0</v>
      </c>
      <c r="D50" s="247">
        <v>0</v>
      </c>
      <c r="E50" s="425" t="e">
        <f t="shared" si="8"/>
        <v>#DIV/0!</v>
      </c>
      <c r="F50" s="247">
        <v>0</v>
      </c>
      <c r="G50" s="247">
        <v>0</v>
      </c>
      <c r="H50" s="425" t="e">
        <f t="shared" si="9"/>
        <v>#DIV/0!</v>
      </c>
      <c r="I50" s="247">
        <v>0</v>
      </c>
      <c r="J50" s="247">
        <v>0</v>
      </c>
      <c r="K50" s="425" t="e">
        <f t="shared" si="10"/>
        <v>#DIV/0!</v>
      </c>
      <c r="L50" s="247">
        <v>0</v>
      </c>
      <c r="M50" s="247">
        <v>0</v>
      </c>
      <c r="N50" s="425" t="e">
        <f t="shared" si="11"/>
        <v>#DIV/0!</v>
      </c>
      <c r="O50" s="126">
        <v>0</v>
      </c>
      <c r="P50" s="126">
        <v>0</v>
      </c>
    </row>
    <row r="51" spans="1:16" ht="17.25" x14ac:dyDescent="0.25">
      <c r="A51" s="253">
        <v>16</v>
      </c>
      <c r="B51" s="544" t="s">
        <v>591</v>
      </c>
      <c r="C51" s="247">
        <v>0</v>
      </c>
      <c r="D51" s="247">
        <v>0</v>
      </c>
      <c r="E51" s="425" t="e">
        <f t="shared" si="8"/>
        <v>#DIV/0!</v>
      </c>
      <c r="F51" s="247">
        <v>0</v>
      </c>
      <c r="G51" s="247">
        <v>0</v>
      </c>
      <c r="H51" s="425" t="e">
        <f t="shared" si="9"/>
        <v>#DIV/0!</v>
      </c>
      <c r="I51" s="247">
        <v>0</v>
      </c>
      <c r="J51" s="247">
        <v>0</v>
      </c>
      <c r="K51" s="425" t="e">
        <f t="shared" si="10"/>
        <v>#DIV/0!</v>
      </c>
      <c r="L51" s="247">
        <v>0</v>
      </c>
      <c r="M51" s="247">
        <v>0</v>
      </c>
      <c r="N51" s="425" t="e">
        <f t="shared" si="11"/>
        <v>#DIV/0!</v>
      </c>
      <c r="O51" s="126">
        <v>0</v>
      </c>
      <c r="P51" s="126">
        <v>0</v>
      </c>
    </row>
    <row r="52" spans="1:16" ht="17.25" x14ac:dyDescent="0.25">
      <c r="A52" s="253">
        <v>17</v>
      </c>
      <c r="B52" s="544" t="s">
        <v>761</v>
      </c>
      <c r="C52" s="247">
        <v>12270</v>
      </c>
      <c r="D52" s="247">
        <v>17421</v>
      </c>
      <c r="E52" s="425">
        <f t="shared" si="8"/>
        <v>70.43223695539865</v>
      </c>
      <c r="F52" s="247">
        <v>205</v>
      </c>
      <c r="G52" s="247">
        <v>500</v>
      </c>
      <c r="H52" s="425">
        <f t="shared" si="9"/>
        <v>41</v>
      </c>
      <c r="I52" s="247">
        <v>12270</v>
      </c>
      <c r="J52" s="247">
        <v>17421</v>
      </c>
      <c r="K52" s="425">
        <f t="shared" si="10"/>
        <v>70.43223695539865</v>
      </c>
      <c r="L52" s="247">
        <v>0</v>
      </c>
      <c r="M52" s="247">
        <v>0</v>
      </c>
      <c r="N52" s="425" t="e">
        <f t="shared" si="11"/>
        <v>#DIV/0!</v>
      </c>
      <c r="O52" s="126">
        <v>4</v>
      </c>
      <c r="P52" s="126">
        <v>66</v>
      </c>
    </row>
    <row r="53" spans="1:16" ht="17.25" x14ac:dyDescent="0.25">
      <c r="A53" s="253">
        <v>18</v>
      </c>
      <c r="B53" s="544" t="s">
        <v>593</v>
      </c>
      <c r="C53" s="247">
        <v>182706</v>
      </c>
      <c r="D53" s="247">
        <v>533340</v>
      </c>
      <c r="E53" s="425">
        <f t="shared" si="8"/>
        <v>34.256946788165152</v>
      </c>
      <c r="F53" s="247">
        <v>0</v>
      </c>
      <c r="G53" s="247">
        <v>81971</v>
      </c>
      <c r="H53" s="425">
        <f t="shared" si="9"/>
        <v>0</v>
      </c>
      <c r="I53" s="247">
        <v>166706</v>
      </c>
      <c r="J53" s="247">
        <v>533340</v>
      </c>
      <c r="K53" s="425">
        <f t="shared" si="10"/>
        <v>31.256984287696405</v>
      </c>
      <c r="L53" s="247">
        <v>165056</v>
      </c>
      <c r="M53" s="247">
        <v>522395</v>
      </c>
      <c r="N53" s="425">
        <f t="shared" si="11"/>
        <v>31.596014510092935</v>
      </c>
      <c r="O53" s="126">
        <v>65</v>
      </c>
      <c r="P53" s="126">
        <v>87</v>
      </c>
    </row>
    <row r="54" spans="1:16" s="561" customFormat="1" x14ac:dyDescent="0.25"/>
    <row r="55" spans="1:16" ht="17.25" x14ac:dyDescent="0.25">
      <c r="A55" s="1033" t="s">
        <v>739</v>
      </c>
      <c r="B55" s="1034"/>
      <c r="C55" s="450">
        <f>SUM(C56:C67)</f>
        <v>1278332</v>
      </c>
      <c r="D55" s="450">
        <f>SUM(D56:D67)</f>
        <v>1190137</v>
      </c>
      <c r="E55" s="453">
        <f>C55/D55*100</f>
        <v>107.41049139720889</v>
      </c>
      <c r="F55" s="450">
        <f>SUM(F56:F67)</f>
        <v>221919</v>
      </c>
      <c r="G55" s="450">
        <f>SUM(G56:G67)</f>
        <v>189736</v>
      </c>
      <c r="H55" s="453">
        <f>F55/G55*100</f>
        <v>116.96198929038242</v>
      </c>
      <c r="I55" s="450">
        <f>SUM(I56:I67)</f>
        <v>1303579</v>
      </c>
      <c r="J55" s="450">
        <f>SUM(J56:J67)</f>
        <v>1183533</v>
      </c>
      <c r="K55" s="453">
        <f>I55/J55*100</f>
        <v>110.14302093815719</v>
      </c>
      <c r="L55" s="450">
        <f>SUM(L56:L67)</f>
        <v>810300</v>
      </c>
      <c r="M55" s="450">
        <f>SUM(M56:M67)</f>
        <v>687331</v>
      </c>
      <c r="N55" s="453">
        <f>L55/M55*100</f>
        <v>117.89079788340698</v>
      </c>
    </row>
    <row r="56" spans="1:16" ht="17.25" x14ac:dyDescent="0.25">
      <c r="A56" s="253">
        <v>1</v>
      </c>
      <c r="B56" s="544" t="s">
        <v>594</v>
      </c>
      <c r="C56" s="247">
        <v>234658</v>
      </c>
      <c r="D56" s="247">
        <v>318688</v>
      </c>
      <c r="E56" s="425">
        <f t="shared" ref="E56:E67" si="12">C56/D56*100</f>
        <v>73.632518325133049</v>
      </c>
      <c r="F56" s="247">
        <v>20652</v>
      </c>
      <c r="G56" s="247">
        <v>43666</v>
      </c>
      <c r="H56" s="425">
        <f t="shared" ref="H56:H67" si="13">F56/G56*100</f>
        <v>47.295378555397797</v>
      </c>
      <c r="I56" s="247">
        <v>233831</v>
      </c>
      <c r="J56" s="247">
        <v>309849</v>
      </c>
      <c r="K56" s="425">
        <f t="shared" ref="K56:K63" si="14">I56/J56*100</f>
        <v>75.466114139467933</v>
      </c>
      <c r="L56" s="247">
        <v>232286</v>
      </c>
      <c r="M56" s="247">
        <v>307303</v>
      </c>
      <c r="N56" s="247">
        <f t="shared" ref="N56:N67" si="15">L56/M56*100</f>
        <v>75.58858846155097</v>
      </c>
      <c r="O56" s="126">
        <v>138</v>
      </c>
      <c r="P56" s="126">
        <v>94</v>
      </c>
    </row>
    <row r="57" spans="1:16" ht="17.25" x14ac:dyDescent="0.25">
      <c r="A57" s="253">
        <v>2</v>
      </c>
      <c r="B57" s="544" t="s">
        <v>595</v>
      </c>
      <c r="C57" s="247">
        <v>33124</v>
      </c>
      <c r="D57" s="247">
        <v>64636</v>
      </c>
      <c r="E57" s="425">
        <f t="shared" si="12"/>
        <v>51.246983105390186</v>
      </c>
      <c r="F57" s="247">
        <v>380</v>
      </c>
      <c r="G57" s="247">
        <v>6580</v>
      </c>
      <c r="H57" s="425">
        <f t="shared" si="13"/>
        <v>5.7750759878419453</v>
      </c>
      <c r="I57" s="247">
        <v>44209</v>
      </c>
      <c r="J57" s="247">
        <v>42714</v>
      </c>
      <c r="K57" s="425">
        <f t="shared" si="14"/>
        <v>103.50002341152785</v>
      </c>
      <c r="L57" s="247">
        <v>0</v>
      </c>
      <c r="M57" s="247">
        <v>0</v>
      </c>
      <c r="N57" s="247" t="e">
        <f t="shared" si="15"/>
        <v>#DIV/0!</v>
      </c>
      <c r="O57" s="126">
        <v>104</v>
      </c>
      <c r="P57" s="126">
        <v>105</v>
      </c>
    </row>
    <row r="58" spans="1:16" ht="17.25" x14ac:dyDescent="0.25">
      <c r="A58" s="253">
        <v>3</v>
      </c>
      <c r="B58" s="544" t="s">
        <v>596</v>
      </c>
      <c r="C58" s="247">
        <v>157877</v>
      </c>
      <c r="D58" s="247">
        <v>215795</v>
      </c>
      <c r="E58" s="425">
        <f t="shared" si="12"/>
        <v>73.160638569012264</v>
      </c>
      <c r="F58" s="247">
        <v>28632</v>
      </c>
      <c r="G58" s="247">
        <v>32915</v>
      </c>
      <c r="H58" s="425">
        <f t="shared" si="13"/>
        <v>86.98769557952302</v>
      </c>
      <c r="I58" s="247">
        <v>157877</v>
      </c>
      <c r="J58" s="247">
        <v>215795</v>
      </c>
      <c r="K58" s="425">
        <f t="shared" si="14"/>
        <v>73.160638569012264</v>
      </c>
      <c r="L58" s="247">
        <v>0</v>
      </c>
      <c r="M58" s="247">
        <v>0</v>
      </c>
      <c r="N58" s="247" t="e">
        <f t="shared" si="15"/>
        <v>#DIV/0!</v>
      </c>
      <c r="O58" s="126">
        <v>94</v>
      </c>
      <c r="P58" s="126">
        <v>121</v>
      </c>
    </row>
    <row r="59" spans="1:16" ht="17.25" x14ac:dyDescent="0.25">
      <c r="A59" s="253">
        <v>4</v>
      </c>
      <c r="B59" s="544" t="s">
        <v>597</v>
      </c>
      <c r="C59" s="247">
        <v>250189</v>
      </c>
      <c r="D59" s="247">
        <v>237803</v>
      </c>
      <c r="E59" s="425">
        <f t="shared" si="12"/>
        <v>105.20851292876876</v>
      </c>
      <c r="F59" s="247">
        <v>37034</v>
      </c>
      <c r="G59" s="247">
        <v>52704</v>
      </c>
      <c r="H59" s="425">
        <f t="shared" si="13"/>
        <v>70.267911353976928</v>
      </c>
      <c r="I59" s="247">
        <v>249999</v>
      </c>
      <c r="J59" s="247">
        <v>238867</v>
      </c>
      <c r="K59" s="425">
        <f t="shared" si="14"/>
        <v>104.66033399339381</v>
      </c>
      <c r="L59" s="247">
        <v>97904</v>
      </c>
      <c r="M59" s="247">
        <v>85105</v>
      </c>
      <c r="N59" s="247">
        <f t="shared" si="15"/>
        <v>115.03906938487751</v>
      </c>
      <c r="O59" s="126">
        <v>68</v>
      </c>
      <c r="P59" s="126">
        <v>71</v>
      </c>
    </row>
    <row r="60" spans="1:16" ht="17.25" x14ac:dyDescent="0.25">
      <c r="A60" s="253">
        <v>5</v>
      </c>
      <c r="B60" s="544" t="s">
        <v>598</v>
      </c>
      <c r="C60" s="247">
        <v>0</v>
      </c>
      <c r="D60" s="247">
        <v>0</v>
      </c>
      <c r="E60" s="425" t="e">
        <f t="shared" si="12"/>
        <v>#DIV/0!</v>
      </c>
      <c r="F60" s="247">
        <v>0</v>
      </c>
      <c r="G60" s="247">
        <v>0</v>
      </c>
      <c r="H60" s="425" t="e">
        <f t="shared" si="13"/>
        <v>#DIV/0!</v>
      </c>
      <c r="I60" s="247">
        <v>0</v>
      </c>
      <c r="J60" s="247">
        <v>0</v>
      </c>
      <c r="K60" s="425">
        <v>0</v>
      </c>
      <c r="L60" s="247">
        <v>0</v>
      </c>
      <c r="M60" s="247">
        <v>0</v>
      </c>
      <c r="N60" s="247" t="e">
        <f t="shared" si="15"/>
        <v>#DIV/0!</v>
      </c>
    </row>
    <row r="61" spans="1:16" ht="17.25" x14ac:dyDescent="0.25">
      <c r="A61" s="253">
        <v>6</v>
      </c>
      <c r="B61" s="544" t="s">
        <v>599</v>
      </c>
      <c r="C61" s="247">
        <v>45689</v>
      </c>
      <c r="D61" s="247">
        <v>34572</v>
      </c>
      <c r="E61" s="425">
        <f t="shared" si="12"/>
        <v>132.15608006479232</v>
      </c>
      <c r="F61" s="247">
        <v>10032</v>
      </c>
      <c r="G61" s="247">
        <v>1430</v>
      </c>
      <c r="H61" s="425">
        <f t="shared" si="13"/>
        <v>701.53846153846155</v>
      </c>
      <c r="I61" s="247">
        <v>38906</v>
      </c>
      <c r="J61" s="247">
        <v>36459</v>
      </c>
      <c r="K61" s="425">
        <f t="shared" si="14"/>
        <v>106.71164870128089</v>
      </c>
      <c r="L61" s="247">
        <v>38906</v>
      </c>
      <c r="M61" s="247">
        <v>36459</v>
      </c>
      <c r="N61" s="247">
        <f t="shared" si="15"/>
        <v>106.71164870128089</v>
      </c>
      <c r="O61" s="126">
        <v>32</v>
      </c>
      <c r="P61" s="126">
        <v>73</v>
      </c>
    </row>
    <row r="62" spans="1:16" ht="17.25" x14ac:dyDescent="0.25">
      <c r="A62" s="253">
        <v>7</v>
      </c>
      <c r="B62" s="544" t="s">
        <v>600</v>
      </c>
      <c r="C62" s="247">
        <v>66245</v>
      </c>
      <c r="D62" s="247">
        <v>25153</v>
      </c>
      <c r="E62" s="425">
        <f t="shared" si="12"/>
        <v>263.36818669741183</v>
      </c>
      <c r="F62" s="247">
        <v>4611</v>
      </c>
      <c r="G62" s="247">
        <v>3232</v>
      </c>
      <c r="H62" s="425">
        <f t="shared" si="13"/>
        <v>142.66707920792078</v>
      </c>
      <c r="I62" s="247">
        <v>65045</v>
      </c>
      <c r="J62" s="247">
        <v>46414</v>
      </c>
      <c r="K62" s="425">
        <f t="shared" si="14"/>
        <v>140.14090576119273</v>
      </c>
      <c r="L62" s="247">
        <v>64514</v>
      </c>
      <c r="M62" s="247">
        <v>46388</v>
      </c>
      <c r="N62" s="247">
        <f t="shared" si="15"/>
        <v>139.07476071397775</v>
      </c>
      <c r="O62" s="126">
        <v>33</v>
      </c>
      <c r="P62" s="126">
        <v>92</v>
      </c>
    </row>
    <row r="63" spans="1:16" ht="17.25" x14ac:dyDescent="0.25">
      <c r="A63" s="253">
        <v>8</v>
      </c>
      <c r="B63" s="544" t="s">
        <v>601</v>
      </c>
      <c r="C63" s="247">
        <v>149500</v>
      </c>
      <c r="D63" s="247">
        <v>137300</v>
      </c>
      <c r="E63" s="425">
        <f t="shared" si="12"/>
        <v>108.8856518572469</v>
      </c>
      <c r="F63" s="247">
        <v>0</v>
      </c>
      <c r="G63" s="247">
        <v>19500</v>
      </c>
      <c r="H63" s="425">
        <f t="shared" si="13"/>
        <v>0</v>
      </c>
      <c r="I63" s="247">
        <v>170962</v>
      </c>
      <c r="J63" s="247">
        <v>143479</v>
      </c>
      <c r="K63" s="425">
        <f t="shared" si="14"/>
        <v>119.15471950599041</v>
      </c>
      <c r="L63" s="247">
        <v>170962</v>
      </c>
      <c r="M63" s="247">
        <v>143479</v>
      </c>
      <c r="N63" s="247">
        <f t="shared" si="15"/>
        <v>119.15471950599041</v>
      </c>
      <c r="O63" s="126">
        <v>35</v>
      </c>
      <c r="P63" s="126">
        <v>85</v>
      </c>
    </row>
    <row r="64" spans="1:16" ht="17.25" x14ac:dyDescent="0.25">
      <c r="A64" s="253">
        <v>9</v>
      </c>
      <c r="B64" s="544" t="s">
        <v>602</v>
      </c>
      <c r="C64" s="247">
        <v>0</v>
      </c>
      <c r="D64" s="247">
        <v>0</v>
      </c>
      <c r="E64" s="425" t="e">
        <f t="shared" si="12"/>
        <v>#DIV/0!</v>
      </c>
      <c r="F64" s="247">
        <v>0</v>
      </c>
      <c r="G64" s="247">
        <v>0</v>
      </c>
      <c r="H64" s="425" t="e">
        <f t="shared" si="13"/>
        <v>#DIV/0!</v>
      </c>
      <c r="I64" s="247">
        <v>0</v>
      </c>
      <c r="J64" s="247">
        <v>0</v>
      </c>
      <c r="K64" s="425">
        <v>0</v>
      </c>
      <c r="L64" s="247">
        <v>0</v>
      </c>
      <c r="M64" s="247">
        <v>0</v>
      </c>
      <c r="N64" s="247" t="e">
        <f t="shared" si="15"/>
        <v>#DIV/0!</v>
      </c>
      <c r="O64" s="126">
        <v>0</v>
      </c>
      <c r="P64" s="126">
        <v>0</v>
      </c>
    </row>
    <row r="65" spans="1:16" ht="17.25" x14ac:dyDescent="0.25">
      <c r="A65" s="253">
        <v>10</v>
      </c>
      <c r="B65" s="544" t="s">
        <v>625</v>
      </c>
      <c r="C65" s="247">
        <v>131908</v>
      </c>
      <c r="D65" s="247">
        <v>89722</v>
      </c>
      <c r="E65" s="425">
        <f t="shared" si="12"/>
        <v>147.01856846704266</v>
      </c>
      <c r="F65" s="247">
        <v>33025</v>
      </c>
      <c r="G65" s="247">
        <v>19328</v>
      </c>
      <c r="H65" s="425">
        <f t="shared" si="13"/>
        <v>170.8661009933775</v>
      </c>
      <c r="I65" s="247">
        <v>133608</v>
      </c>
      <c r="J65" s="247">
        <v>83488</v>
      </c>
      <c r="K65" s="425">
        <f t="shared" ref="K65" si="16">I65/J65*100</f>
        <v>160.0325795323879</v>
      </c>
      <c r="L65" s="247">
        <v>28090</v>
      </c>
      <c r="M65" s="247">
        <v>10861</v>
      </c>
      <c r="N65" s="247">
        <f t="shared" si="15"/>
        <v>258.63180185986556</v>
      </c>
      <c r="O65" s="126">
        <v>166</v>
      </c>
      <c r="P65" s="126">
        <v>82</v>
      </c>
    </row>
    <row r="66" spans="1:16" ht="17.25" x14ac:dyDescent="0.25">
      <c r="A66" s="253">
        <v>11</v>
      </c>
      <c r="B66" s="544" t="s">
        <v>605</v>
      </c>
      <c r="C66" s="247">
        <v>63063</v>
      </c>
      <c r="D66" s="247">
        <v>57736</v>
      </c>
      <c r="E66" s="425">
        <f t="shared" si="12"/>
        <v>109.22647914645975</v>
      </c>
      <c r="F66" s="247">
        <v>8235</v>
      </c>
      <c r="G66" s="247">
        <v>6920</v>
      </c>
      <c r="H66" s="425">
        <f t="shared" si="13"/>
        <v>119.00289017341041</v>
      </c>
      <c r="I66" s="247">
        <v>63063</v>
      </c>
      <c r="J66" s="247">
        <v>57736</v>
      </c>
      <c r="K66" s="425">
        <f>I66/J66*100</f>
        <v>109.22647914645975</v>
      </c>
      <c r="L66" s="247">
        <v>63063</v>
      </c>
      <c r="M66" s="247">
        <v>57736</v>
      </c>
      <c r="N66" s="247">
        <f t="shared" si="15"/>
        <v>109.22647914645975</v>
      </c>
      <c r="O66" s="126">
        <v>68</v>
      </c>
      <c r="P66" s="126">
        <v>144</v>
      </c>
    </row>
    <row r="67" spans="1:16" ht="34.5" x14ac:dyDescent="0.25">
      <c r="A67" s="253">
        <v>12</v>
      </c>
      <c r="B67" s="544" t="s">
        <v>603</v>
      </c>
      <c r="C67" s="247">
        <v>146079</v>
      </c>
      <c r="D67" s="247">
        <v>8732</v>
      </c>
      <c r="E67" s="425">
        <f t="shared" si="12"/>
        <v>1672.9157123224918</v>
      </c>
      <c r="F67" s="247">
        <v>79318</v>
      </c>
      <c r="G67" s="247">
        <v>3461</v>
      </c>
      <c r="H67" s="425">
        <f t="shared" si="13"/>
        <v>2291.7653857266687</v>
      </c>
      <c r="I67" s="247">
        <v>146079</v>
      </c>
      <c r="J67" s="247">
        <v>8732</v>
      </c>
      <c r="K67" s="425">
        <f>I67/J67*100</f>
        <v>1672.9157123224918</v>
      </c>
      <c r="L67" s="247">
        <v>114575</v>
      </c>
      <c r="M67" s="247">
        <v>0</v>
      </c>
      <c r="N67" s="247" t="e">
        <f t="shared" si="15"/>
        <v>#DIV/0!</v>
      </c>
      <c r="O67" s="126">
        <v>59</v>
      </c>
      <c r="P67" s="126">
        <v>90</v>
      </c>
    </row>
    <row r="69" spans="1:16" ht="17.25" x14ac:dyDescent="0.25">
      <c r="A69" s="1033" t="s">
        <v>356</v>
      </c>
      <c r="B69" s="1034"/>
      <c r="C69" s="450">
        <f>SUM(C70:C77)</f>
        <v>975206</v>
      </c>
      <c r="D69" s="450">
        <f>SUM(D70:D77)</f>
        <v>1042237</v>
      </c>
      <c r="E69" s="453">
        <f>C69/D69*100</f>
        <v>93.568545350049931</v>
      </c>
      <c r="F69" s="450">
        <f>SUM(F70:F77)</f>
        <v>183493</v>
      </c>
      <c r="G69" s="450">
        <f>SUM(G70:G77)</f>
        <v>129190</v>
      </c>
      <c r="H69" s="453">
        <f>F69/G69*100</f>
        <v>142.03343912067496</v>
      </c>
      <c r="I69" s="450">
        <f>SUM(I70:I77)</f>
        <v>967626</v>
      </c>
      <c r="J69" s="450">
        <f>SUM(J70:J77)</f>
        <v>1064265</v>
      </c>
      <c r="K69" s="453">
        <f>I69/J69*100</f>
        <v>90.919648771687505</v>
      </c>
      <c r="L69" s="450">
        <f>SUM(L70:L77)</f>
        <v>573358</v>
      </c>
      <c r="M69" s="450">
        <f>SUM(M70:M77)</f>
        <v>591638</v>
      </c>
      <c r="N69" s="453">
        <f>L69/M69*100</f>
        <v>96.910272835754299</v>
      </c>
    </row>
    <row r="70" spans="1:16" ht="17.25" x14ac:dyDescent="0.25">
      <c r="A70" s="253">
        <v>1</v>
      </c>
      <c r="B70" s="544" t="s">
        <v>606</v>
      </c>
      <c r="C70" s="247">
        <v>9142</v>
      </c>
      <c r="D70" s="247">
        <v>8687</v>
      </c>
      <c r="E70" s="425">
        <f t="shared" ref="E70:E77" si="17">C70/D70*100</f>
        <v>105.23771152296536</v>
      </c>
      <c r="F70" s="247">
        <v>504</v>
      </c>
      <c r="G70" s="247">
        <v>300</v>
      </c>
      <c r="H70" s="425">
        <f t="shared" ref="H70:H77" si="18">F70/G70*100</f>
        <v>168</v>
      </c>
      <c r="I70" s="247">
        <v>32254</v>
      </c>
      <c r="J70" s="247">
        <v>16782</v>
      </c>
      <c r="K70" s="425">
        <f t="shared" ref="K70:K77" si="19">I70/J70*100</f>
        <v>192.1940173995948</v>
      </c>
      <c r="L70" s="247">
        <v>1653</v>
      </c>
      <c r="M70" s="247">
        <v>14671</v>
      </c>
      <c r="N70" s="247">
        <f t="shared" ref="N70:N77" si="20">L70/M70*100</f>
        <v>11.267125621975325</v>
      </c>
      <c r="O70" s="126">
        <v>136</v>
      </c>
      <c r="P70" s="126">
        <v>55</v>
      </c>
    </row>
    <row r="71" spans="1:16" ht="17.25" x14ac:dyDescent="0.25">
      <c r="A71" s="253">
        <v>2</v>
      </c>
      <c r="B71" s="544" t="s">
        <v>607</v>
      </c>
      <c r="C71" s="247">
        <v>41664</v>
      </c>
      <c r="D71" s="247">
        <v>406967</v>
      </c>
      <c r="E71" s="425">
        <f t="shared" si="17"/>
        <v>10.237685119432289</v>
      </c>
      <c r="F71" s="247">
        <v>0</v>
      </c>
      <c r="G71" s="247">
        <v>61671</v>
      </c>
      <c r="H71" s="425">
        <f t="shared" si="18"/>
        <v>0</v>
      </c>
      <c r="I71" s="247">
        <v>41760</v>
      </c>
      <c r="J71" s="247">
        <v>380280</v>
      </c>
      <c r="K71" s="425">
        <f t="shared" si="19"/>
        <v>10.981382139476176</v>
      </c>
      <c r="L71" s="247">
        <v>41760</v>
      </c>
      <c r="M71" s="247">
        <v>380280</v>
      </c>
      <c r="N71" s="247">
        <f t="shared" si="20"/>
        <v>10.981382139476176</v>
      </c>
      <c r="O71" s="126">
        <v>4</v>
      </c>
      <c r="P71" s="126">
        <v>113</v>
      </c>
    </row>
    <row r="72" spans="1:16" ht="17.25" x14ac:dyDescent="0.25">
      <c r="A72" s="253">
        <v>3</v>
      </c>
      <c r="B72" s="544" t="s">
        <v>608</v>
      </c>
      <c r="C72" s="247">
        <v>885</v>
      </c>
      <c r="D72" s="247">
        <v>20138</v>
      </c>
      <c r="E72" s="425">
        <f t="shared" si="17"/>
        <v>4.3946767305591417</v>
      </c>
      <c r="F72" s="247">
        <v>86</v>
      </c>
      <c r="G72" s="247">
        <v>2115</v>
      </c>
      <c r="H72" s="425">
        <f t="shared" si="18"/>
        <v>4.0661938534278965</v>
      </c>
      <c r="I72" s="247">
        <v>6751</v>
      </c>
      <c r="J72" s="247">
        <v>15596</v>
      </c>
      <c r="K72" s="425">
        <f t="shared" si="19"/>
        <v>43.286740189792255</v>
      </c>
      <c r="L72" s="247">
        <v>0</v>
      </c>
      <c r="M72" s="247">
        <v>7659</v>
      </c>
      <c r="N72" s="247">
        <f t="shared" si="20"/>
        <v>0</v>
      </c>
      <c r="O72" s="126">
        <v>4</v>
      </c>
      <c r="P72" s="126">
        <v>102</v>
      </c>
    </row>
    <row r="73" spans="1:16" ht="17.25" x14ac:dyDescent="0.25">
      <c r="A73" s="253">
        <v>4</v>
      </c>
      <c r="B73" s="544" t="s">
        <v>609</v>
      </c>
      <c r="C73" s="247">
        <v>10013</v>
      </c>
      <c r="D73" s="247">
        <v>45772</v>
      </c>
      <c r="E73" s="425">
        <f t="shared" si="17"/>
        <v>21.87581927816132</v>
      </c>
      <c r="F73" s="247">
        <v>47</v>
      </c>
      <c r="G73" s="247">
        <v>10177</v>
      </c>
      <c r="H73" s="425">
        <f t="shared" si="18"/>
        <v>0.46182568536896923</v>
      </c>
      <c r="I73" s="247">
        <v>1913</v>
      </c>
      <c r="J73" s="247">
        <v>44139</v>
      </c>
      <c r="K73" s="425">
        <f t="shared" si="19"/>
        <v>4.334035660073857</v>
      </c>
      <c r="L73" s="247">
        <v>0</v>
      </c>
      <c r="M73" s="247">
        <v>34491</v>
      </c>
      <c r="N73" s="247">
        <f t="shared" si="20"/>
        <v>0</v>
      </c>
      <c r="O73" s="126">
        <v>34</v>
      </c>
      <c r="P73" s="126">
        <v>50</v>
      </c>
    </row>
    <row r="74" spans="1:16" ht="17.25" x14ac:dyDescent="0.25">
      <c r="A74" s="253">
        <v>5</v>
      </c>
      <c r="B74" s="544" t="s">
        <v>610</v>
      </c>
      <c r="C74" s="247">
        <v>70706</v>
      </c>
      <c r="D74" s="247">
        <v>59712</v>
      </c>
      <c r="E74" s="425">
        <f t="shared" si="17"/>
        <v>118.41170953912112</v>
      </c>
      <c r="F74" s="247">
        <v>2768</v>
      </c>
      <c r="G74" s="247">
        <v>2327</v>
      </c>
      <c r="H74" s="425">
        <f t="shared" si="18"/>
        <v>118.95143962183067</v>
      </c>
      <c r="I74" s="247">
        <v>70706</v>
      </c>
      <c r="J74" s="247">
        <v>59712</v>
      </c>
      <c r="K74" s="425">
        <f t="shared" si="19"/>
        <v>118.41170953912112</v>
      </c>
      <c r="L74" s="247">
        <v>56925</v>
      </c>
      <c r="M74" s="247">
        <v>47792</v>
      </c>
      <c r="N74" s="247">
        <f t="shared" si="20"/>
        <v>119.10989286909943</v>
      </c>
      <c r="O74" s="126">
        <v>66</v>
      </c>
      <c r="P74" s="126">
        <v>128</v>
      </c>
    </row>
    <row r="75" spans="1:16" ht="17.25" x14ac:dyDescent="0.25">
      <c r="A75" s="252">
        <v>6</v>
      </c>
      <c r="B75" s="544" t="s">
        <v>611</v>
      </c>
      <c r="C75" s="247">
        <v>202</v>
      </c>
      <c r="D75" s="247">
        <v>36003</v>
      </c>
      <c r="E75" s="425">
        <f t="shared" si="17"/>
        <v>0.56106435574813207</v>
      </c>
      <c r="F75" s="247">
        <v>0</v>
      </c>
      <c r="G75" s="247">
        <v>168</v>
      </c>
      <c r="H75" s="425">
        <f t="shared" si="18"/>
        <v>0</v>
      </c>
      <c r="I75" s="247">
        <v>653</v>
      </c>
      <c r="J75" s="247">
        <v>55314</v>
      </c>
      <c r="K75" s="425">
        <f t="shared" si="19"/>
        <v>1.180532957298333</v>
      </c>
      <c r="L75" s="247">
        <v>53</v>
      </c>
      <c r="M75" s="247">
        <v>33961</v>
      </c>
      <c r="N75" s="247">
        <f t="shared" si="20"/>
        <v>0.1560613645063455</v>
      </c>
      <c r="O75" s="126">
        <v>8</v>
      </c>
      <c r="P75" s="126">
        <v>70</v>
      </c>
    </row>
    <row r="76" spans="1:16" ht="17.25" x14ac:dyDescent="0.25">
      <c r="A76" s="253">
        <v>7</v>
      </c>
      <c r="B76" s="544" t="s">
        <v>612</v>
      </c>
      <c r="C76" s="247">
        <v>753437</v>
      </c>
      <c r="D76" s="247">
        <v>388690</v>
      </c>
      <c r="E76" s="425">
        <f t="shared" si="17"/>
        <v>193.84007821142814</v>
      </c>
      <c r="F76" s="247">
        <v>167201</v>
      </c>
      <c r="G76" s="247">
        <v>38967</v>
      </c>
      <c r="H76" s="425">
        <f t="shared" si="18"/>
        <v>429.08358354505094</v>
      </c>
      <c r="I76" s="247">
        <v>724432</v>
      </c>
      <c r="J76" s="247">
        <v>416174</v>
      </c>
      <c r="K76" s="425">
        <f t="shared" si="19"/>
        <v>174.06949977653579</v>
      </c>
      <c r="L76" s="247">
        <v>472967</v>
      </c>
      <c r="M76" s="247">
        <v>71739</v>
      </c>
      <c r="N76" s="247">
        <f t="shared" si="20"/>
        <v>659.28853203975518</v>
      </c>
      <c r="O76" s="126">
        <v>131</v>
      </c>
      <c r="P76" s="126">
        <v>251</v>
      </c>
    </row>
    <row r="77" spans="1:16" ht="34.5" x14ac:dyDescent="0.25">
      <c r="A77" s="253">
        <v>8</v>
      </c>
      <c r="B77" s="544" t="s">
        <v>613</v>
      </c>
      <c r="C77" s="247">
        <v>89157</v>
      </c>
      <c r="D77" s="247">
        <v>76268</v>
      </c>
      <c r="E77" s="425">
        <f t="shared" si="17"/>
        <v>116.89961713956049</v>
      </c>
      <c r="F77" s="247">
        <v>12887</v>
      </c>
      <c r="G77" s="247">
        <v>13465</v>
      </c>
      <c r="H77" s="425">
        <f t="shared" si="18"/>
        <v>95.707389528406978</v>
      </c>
      <c r="I77" s="247">
        <v>89157</v>
      </c>
      <c r="J77" s="247">
        <v>76268</v>
      </c>
      <c r="K77" s="425">
        <f t="shared" si="19"/>
        <v>116.89961713956049</v>
      </c>
      <c r="L77" s="247">
        <v>0</v>
      </c>
      <c r="M77" s="247">
        <v>1045</v>
      </c>
      <c r="N77" s="247">
        <f t="shared" si="20"/>
        <v>0</v>
      </c>
      <c r="O77" s="126">
        <v>30</v>
      </c>
      <c r="P77" s="126">
        <v>40</v>
      </c>
    </row>
    <row r="78" spans="1:16" s="127" customFormat="1" x14ac:dyDescent="0.25"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</row>
    <row r="79" spans="1:16" ht="17.25" x14ac:dyDescent="0.25">
      <c r="A79" s="1033" t="s">
        <v>731</v>
      </c>
      <c r="B79" s="1034"/>
      <c r="C79" s="450">
        <f>SUM(C80:C93)</f>
        <v>4862345</v>
      </c>
      <c r="D79" s="450">
        <f>SUM(D80:D93)</f>
        <v>4608004</v>
      </c>
      <c r="E79" s="453">
        <f>C79/D79*100</f>
        <v>105.51954816011444</v>
      </c>
      <c r="F79" s="450">
        <f>SUM(F80:F93)</f>
        <v>575364</v>
      </c>
      <c r="G79" s="450">
        <f>SUM(G80:G93)</f>
        <v>458037</v>
      </c>
      <c r="H79" s="453">
        <f>F79/G79*100</f>
        <v>125.6151795597299</v>
      </c>
      <c r="I79" s="450">
        <f>SUM(I80:I93)</f>
        <v>6277332</v>
      </c>
      <c r="J79" s="450">
        <f>SUM(J80:J93)</f>
        <v>6988482</v>
      </c>
      <c r="K79" s="453">
        <f>I79/J79*100</f>
        <v>89.823970355794003</v>
      </c>
      <c r="L79" s="450">
        <f>SUM(L80:L93)</f>
        <v>2192352</v>
      </c>
      <c r="M79" s="450">
        <f>SUM(M80:M93)</f>
        <v>2203871</v>
      </c>
      <c r="N79" s="453">
        <f>L79/M79*100</f>
        <v>99.477328754722933</v>
      </c>
    </row>
    <row r="80" spans="1:16" ht="17.25" x14ac:dyDescent="0.25">
      <c r="A80" s="260">
        <v>1</v>
      </c>
      <c r="B80" s="544" t="s">
        <v>614</v>
      </c>
      <c r="C80" s="247">
        <v>1272</v>
      </c>
      <c r="D80" s="247">
        <v>3097</v>
      </c>
      <c r="E80" s="425">
        <f t="shared" ref="E80:E92" si="21">C80/D80*100</f>
        <v>41.072005166289962</v>
      </c>
      <c r="F80" s="247">
        <v>226</v>
      </c>
      <c r="G80" s="247">
        <v>203</v>
      </c>
      <c r="H80" s="425">
        <f t="shared" ref="H80:H92" si="22">F80/G80*100</f>
        <v>111.33004926108374</v>
      </c>
      <c r="I80" s="247">
        <v>1272</v>
      </c>
      <c r="J80" s="247">
        <v>3097</v>
      </c>
      <c r="K80" s="425">
        <f t="shared" ref="K80:K92" si="23">I80/J80*100</f>
        <v>41.072005166289962</v>
      </c>
      <c r="L80" s="247">
        <v>0</v>
      </c>
      <c r="M80" s="247">
        <v>0</v>
      </c>
      <c r="N80" s="247" t="e">
        <f t="shared" ref="N80:N92" si="24">L80/M80*100</f>
        <v>#DIV/0!</v>
      </c>
      <c r="O80" s="126">
        <v>2267</v>
      </c>
      <c r="P80" s="126">
        <v>113</v>
      </c>
    </row>
    <row r="81" spans="1:16" ht="17.25" x14ac:dyDescent="0.25">
      <c r="A81" s="261">
        <v>2</v>
      </c>
      <c r="B81" s="544" t="s">
        <v>615</v>
      </c>
      <c r="C81" s="247">
        <v>4107</v>
      </c>
      <c r="D81" s="247">
        <v>323614</v>
      </c>
      <c r="E81" s="425">
        <f t="shared" si="21"/>
        <v>1.2691045504829828</v>
      </c>
      <c r="F81" s="247">
        <v>0</v>
      </c>
      <c r="G81" s="247">
        <v>1765</v>
      </c>
      <c r="H81" s="425">
        <f t="shared" si="22"/>
        <v>0</v>
      </c>
      <c r="I81" s="247">
        <v>5742</v>
      </c>
      <c r="J81" s="247">
        <v>373942</v>
      </c>
      <c r="K81" s="425">
        <f t="shared" si="23"/>
        <v>1.5355322483165839</v>
      </c>
      <c r="L81" s="247">
        <v>0</v>
      </c>
      <c r="M81" s="247">
        <v>361588</v>
      </c>
      <c r="N81" s="247">
        <f t="shared" si="24"/>
        <v>0</v>
      </c>
      <c r="O81" s="126">
        <v>379</v>
      </c>
      <c r="P81" s="126">
        <v>115</v>
      </c>
    </row>
    <row r="82" spans="1:16" ht="17.25" x14ac:dyDescent="0.25">
      <c r="A82" s="260">
        <v>3</v>
      </c>
      <c r="B82" s="544" t="s">
        <v>616</v>
      </c>
      <c r="C82" s="247">
        <v>866187</v>
      </c>
      <c r="D82" s="247">
        <v>809597</v>
      </c>
      <c r="E82" s="425">
        <f t="shared" si="21"/>
        <v>106.98989744280179</v>
      </c>
      <c r="F82" s="247">
        <v>142046</v>
      </c>
      <c r="G82" s="247">
        <v>74137</v>
      </c>
      <c r="H82" s="425">
        <f t="shared" si="22"/>
        <v>191.59933636375899</v>
      </c>
      <c r="I82" s="247">
        <v>1048479</v>
      </c>
      <c r="J82" s="247">
        <v>889216</v>
      </c>
      <c r="K82" s="425">
        <f t="shared" si="23"/>
        <v>117.91049643731107</v>
      </c>
      <c r="L82" s="247">
        <v>182149</v>
      </c>
      <c r="M82" s="247">
        <v>230937</v>
      </c>
      <c r="N82" s="247">
        <f t="shared" si="24"/>
        <v>78.873892013839281</v>
      </c>
      <c r="O82" s="126">
        <v>32</v>
      </c>
      <c r="P82" s="126">
        <v>365</v>
      </c>
    </row>
    <row r="83" spans="1:16" ht="17.25" x14ac:dyDescent="0.25">
      <c r="A83" s="261">
        <v>4</v>
      </c>
      <c r="B83" s="544" t="s">
        <v>604</v>
      </c>
      <c r="C83" s="247">
        <v>45410</v>
      </c>
      <c r="D83" s="247">
        <v>56612</v>
      </c>
      <c r="E83" s="425">
        <f>C83/D83*100</f>
        <v>80.212675757789867</v>
      </c>
      <c r="F83" s="247">
        <v>5079</v>
      </c>
      <c r="G83" s="247">
        <v>1040</v>
      </c>
      <c r="H83" s="425">
        <f>F83/G83*100</f>
        <v>488.36538461538464</v>
      </c>
      <c r="I83" s="247">
        <v>45410</v>
      </c>
      <c r="J83" s="247">
        <v>56612</v>
      </c>
      <c r="K83" s="425">
        <f>I83/J83*100</f>
        <v>80.212675757789867</v>
      </c>
      <c r="L83" s="247">
        <v>45410</v>
      </c>
      <c r="M83" s="247">
        <v>56612</v>
      </c>
      <c r="N83" s="247">
        <f>L83/M83*100</f>
        <v>80.212675757789867</v>
      </c>
      <c r="O83" s="126">
        <v>45</v>
      </c>
      <c r="P83" s="126">
        <v>70</v>
      </c>
    </row>
    <row r="84" spans="1:16" ht="17.25" x14ac:dyDescent="0.25">
      <c r="A84" s="260">
        <v>5</v>
      </c>
      <c r="B84" s="544" t="s">
        <v>618</v>
      </c>
      <c r="C84" s="247">
        <v>186545</v>
      </c>
      <c r="D84" s="247">
        <v>246735</v>
      </c>
      <c r="E84" s="425">
        <f t="shared" si="21"/>
        <v>75.605406610330917</v>
      </c>
      <c r="F84" s="247">
        <v>20943</v>
      </c>
      <c r="G84" s="247">
        <v>38318</v>
      </c>
      <c r="H84" s="425">
        <f t="shared" si="22"/>
        <v>54.65577535361971</v>
      </c>
      <c r="I84" s="247">
        <v>183066</v>
      </c>
      <c r="J84" s="247">
        <v>246781</v>
      </c>
      <c r="K84" s="425">
        <f t="shared" si="23"/>
        <v>74.181561789602924</v>
      </c>
      <c r="L84" s="247">
        <v>93181</v>
      </c>
      <c r="M84" s="247">
        <v>135721</v>
      </c>
      <c r="N84" s="247">
        <f t="shared" si="24"/>
        <v>68.656287531037947</v>
      </c>
      <c r="O84" s="126">
        <v>84</v>
      </c>
      <c r="P84" s="126">
        <v>72</v>
      </c>
    </row>
    <row r="85" spans="1:16" ht="17.25" x14ac:dyDescent="0.25">
      <c r="A85" s="261">
        <v>6</v>
      </c>
      <c r="B85" s="544" t="s">
        <v>619</v>
      </c>
      <c r="C85" s="247">
        <v>0</v>
      </c>
      <c r="D85" s="247">
        <v>0</v>
      </c>
      <c r="E85" s="425" t="e">
        <f t="shared" si="21"/>
        <v>#DIV/0!</v>
      </c>
      <c r="F85" s="247">
        <v>0</v>
      </c>
      <c r="G85" s="247">
        <v>0</v>
      </c>
      <c r="H85" s="425" t="e">
        <f t="shared" si="22"/>
        <v>#DIV/0!</v>
      </c>
      <c r="I85" s="247">
        <v>0</v>
      </c>
      <c r="J85" s="247">
        <v>0</v>
      </c>
      <c r="K85" s="425" t="e">
        <f t="shared" si="23"/>
        <v>#DIV/0!</v>
      </c>
      <c r="L85" s="247">
        <v>0</v>
      </c>
      <c r="M85" s="247">
        <v>0</v>
      </c>
      <c r="N85" s="247" t="e">
        <f t="shared" si="24"/>
        <v>#DIV/0!</v>
      </c>
    </row>
    <row r="86" spans="1:16" ht="17.25" x14ac:dyDescent="0.25">
      <c r="A86" s="260">
        <v>7</v>
      </c>
      <c r="B86" s="544" t="s">
        <v>620</v>
      </c>
      <c r="C86" s="247">
        <v>539071</v>
      </c>
      <c r="D86" s="247">
        <v>442129</v>
      </c>
      <c r="E86" s="425">
        <f t="shared" si="21"/>
        <v>121.92617991581642</v>
      </c>
      <c r="F86" s="247">
        <v>109796</v>
      </c>
      <c r="G86" s="247">
        <v>93560</v>
      </c>
      <c r="H86" s="425">
        <f t="shared" si="22"/>
        <v>117.35356990166738</v>
      </c>
      <c r="I86" s="247">
        <v>700397</v>
      </c>
      <c r="J86" s="247">
        <v>734997</v>
      </c>
      <c r="K86" s="425">
        <f t="shared" si="23"/>
        <v>95.292497792508001</v>
      </c>
      <c r="L86" s="247">
        <v>109241</v>
      </c>
      <c r="M86" s="247">
        <v>211940</v>
      </c>
      <c r="N86" s="247">
        <f t="shared" si="24"/>
        <v>51.543361328677925</v>
      </c>
      <c r="O86" s="126">
        <v>65</v>
      </c>
      <c r="P86" s="126">
        <v>70</v>
      </c>
    </row>
    <row r="87" spans="1:16" ht="17.25" x14ac:dyDescent="0.25">
      <c r="A87" s="261">
        <v>8</v>
      </c>
      <c r="B87" s="544" t="s">
        <v>621</v>
      </c>
      <c r="C87" s="247">
        <v>1297463</v>
      </c>
      <c r="D87" s="247">
        <v>988007</v>
      </c>
      <c r="E87" s="425">
        <f t="shared" si="21"/>
        <v>131.32123557829044</v>
      </c>
      <c r="F87" s="247">
        <v>45366</v>
      </c>
      <c r="G87" s="247">
        <v>47437</v>
      </c>
      <c r="H87" s="425">
        <f t="shared" si="22"/>
        <v>95.634209583236725</v>
      </c>
      <c r="I87" s="247">
        <v>1238938</v>
      </c>
      <c r="J87" s="247">
        <v>989826</v>
      </c>
      <c r="K87" s="425">
        <f t="shared" si="23"/>
        <v>125.16725161796114</v>
      </c>
      <c r="L87" s="247">
        <v>794865</v>
      </c>
      <c r="M87" s="247">
        <v>579617</v>
      </c>
      <c r="N87" s="247">
        <f t="shared" si="24"/>
        <v>137.13624686646526</v>
      </c>
      <c r="O87" s="126">
        <v>105</v>
      </c>
      <c r="P87" s="126">
        <v>253</v>
      </c>
    </row>
    <row r="88" spans="1:16" ht="17.25" x14ac:dyDescent="0.25">
      <c r="A88" s="260">
        <v>9</v>
      </c>
      <c r="B88" s="544" t="s">
        <v>622</v>
      </c>
      <c r="C88" s="247">
        <v>573966</v>
      </c>
      <c r="D88" s="247">
        <v>671263</v>
      </c>
      <c r="E88" s="425">
        <f t="shared" si="21"/>
        <v>85.505383135969055</v>
      </c>
      <c r="F88" s="247">
        <v>53380</v>
      </c>
      <c r="G88" s="247">
        <v>65690</v>
      </c>
      <c r="H88" s="425">
        <f t="shared" si="22"/>
        <v>81.260465824326374</v>
      </c>
      <c r="I88" s="247">
        <v>523746</v>
      </c>
      <c r="J88" s="247">
        <v>560165</v>
      </c>
      <c r="K88" s="425">
        <f t="shared" si="23"/>
        <v>93.498522756687763</v>
      </c>
      <c r="L88" s="247">
        <v>144686</v>
      </c>
      <c r="M88" s="247">
        <v>53382</v>
      </c>
      <c r="N88" s="247">
        <f t="shared" si="24"/>
        <v>271.03892697913153</v>
      </c>
      <c r="O88" s="126">
        <v>98</v>
      </c>
      <c r="P88" s="126">
        <v>146</v>
      </c>
    </row>
    <row r="89" spans="1:16" ht="17.25" x14ac:dyDescent="0.25">
      <c r="A89" s="261">
        <v>10</v>
      </c>
      <c r="B89" s="544" t="s">
        <v>623</v>
      </c>
      <c r="C89" s="247">
        <v>101346</v>
      </c>
      <c r="D89" s="247">
        <v>141459</v>
      </c>
      <c r="E89" s="425">
        <f t="shared" si="21"/>
        <v>71.6433736983861</v>
      </c>
      <c r="F89" s="247">
        <v>18727</v>
      </c>
      <c r="G89" s="247">
        <v>9073</v>
      </c>
      <c r="H89" s="425">
        <f t="shared" si="22"/>
        <v>206.40361512178993</v>
      </c>
      <c r="I89" s="247">
        <v>101346</v>
      </c>
      <c r="J89" s="247">
        <v>141459</v>
      </c>
      <c r="K89" s="425">
        <f t="shared" si="23"/>
        <v>71.6433736983861</v>
      </c>
      <c r="L89" s="247">
        <v>102500</v>
      </c>
      <c r="M89" s="247">
        <v>80753</v>
      </c>
      <c r="N89" s="247">
        <f t="shared" si="24"/>
        <v>126.93026884450114</v>
      </c>
      <c r="O89" s="126">
        <v>30</v>
      </c>
      <c r="P89" s="126">
        <v>142</v>
      </c>
    </row>
    <row r="90" spans="1:16" ht="17.25" x14ac:dyDescent="0.25">
      <c r="A90" s="260">
        <v>11</v>
      </c>
      <c r="B90" s="544" t="s">
        <v>624</v>
      </c>
      <c r="C90" s="247">
        <v>281870</v>
      </c>
      <c r="D90" s="247">
        <v>236469</v>
      </c>
      <c r="E90" s="425">
        <f t="shared" si="21"/>
        <v>119.19955681294377</v>
      </c>
      <c r="F90" s="247">
        <v>42652</v>
      </c>
      <c r="G90" s="247">
        <v>24013</v>
      </c>
      <c r="H90" s="425">
        <f t="shared" si="22"/>
        <v>177.62045558655728</v>
      </c>
      <c r="I90" s="247">
        <v>1547038</v>
      </c>
      <c r="J90" s="247">
        <v>2300347</v>
      </c>
      <c r="K90" s="425">
        <f t="shared" si="23"/>
        <v>67.252375402493627</v>
      </c>
      <c r="L90" s="247">
        <v>32406</v>
      </c>
      <c r="M90" s="247">
        <v>9009</v>
      </c>
      <c r="N90" s="247">
        <f t="shared" si="24"/>
        <v>359.70695970695971</v>
      </c>
      <c r="O90" s="126">
        <v>51</v>
      </c>
      <c r="P90" s="126">
        <v>250</v>
      </c>
    </row>
    <row r="91" spans="1:16" ht="17.25" x14ac:dyDescent="0.25">
      <c r="A91" s="260">
        <v>12</v>
      </c>
      <c r="B91" s="544" t="s">
        <v>762</v>
      </c>
      <c r="C91" s="247">
        <v>34874</v>
      </c>
      <c r="D91" s="247">
        <v>7370</v>
      </c>
      <c r="E91" s="425">
        <f t="shared" si="21"/>
        <v>473.18860244233383</v>
      </c>
      <c r="F91" s="247">
        <v>22788</v>
      </c>
      <c r="G91" s="247">
        <v>0</v>
      </c>
      <c r="H91" s="425" t="e">
        <f t="shared" si="22"/>
        <v>#DIV/0!</v>
      </c>
      <c r="I91" s="247">
        <v>15769</v>
      </c>
      <c r="J91" s="247">
        <v>10347</v>
      </c>
      <c r="K91" s="425">
        <f t="shared" si="23"/>
        <v>152.40166231757996</v>
      </c>
      <c r="L91" s="247">
        <v>10232</v>
      </c>
      <c r="M91" s="247">
        <v>8676</v>
      </c>
      <c r="N91" s="247">
        <f t="shared" si="24"/>
        <v>117.93453204241587</v>
      </c>
    </row>
    <row r="92" spans="1:16" ht="17.25" x14ac:dyDescent="0.25">
      <c r="A92" s="261">
        <v>13</v>
      </c>
      <c r="B92" s="544" t="s">
        <v>626</v>
      </c>
      <c r="C92" s="247">
        <v>131942</v>
      </c>
      <c r="D92" s="247">
        <v>0</v>
      </c>
      <c r="E92" s="425" t="e">
        <f t="shared" si="21"/>
        <v>#DIV/0!</v>
      </c>
      <c r="F92" s="247">
        <v>17150</v>
      </c>
      <c r="G92" s="247">
        <v>0</v>
      </c>
      <c r="H92" s="425" t="e">
        <f t="shared" si="22"/>
        <v>#DIV/0!</v>
      </c>
      <c r="I92" s="247">
        <v>130078</v>
      </c>
      <c r="J92" s="247">
        <v>0</v>
      </c>
      <c r="K92" s="425" t="e">
        <f t="shared" si="23"/>
        <v>#DIV/0!</v>
      </c>
      <c r="L92" s="247">
        <v>130078</v>
      </c>
      <c r="M92" s="247">
        <v>0</v>
      </c>
      <c r="N92" s="247" t="e">
        <f t="shared" si="24"/>
        <v>#DIV/0!</v>
      </c>
      <c r="O92" s="126">
        <v>28</v>
      </c>
    </row>
    <row r="93" spans="1:16" ht="17.25" x14ac:dyDescent="0.25">
      <c r="A93" s="598">
        <v>14</v>
      </c>
      <c r="B93" s="544" t="s">
        <v>617</v>
      </c>
      <c r="C93" s="247">
        <v>798292</v>
      </c>
      <c r="D93" s="247">
        <v>681652</v>
      </c>
      <c r="E93" s="425">
        <f t="shared" ref="E93" si="25">C93/D93*100</f>
        <v>117.11137061139702</v>
      </c>
      <c r="F93" s="247">
        <v>97211</v>
      </c>
      <c r="G93" s="247">
        <v>102801</v>
      </c>
      <c r="H93" s="425">
        <f t="shared" ref="H93" si="26">F93/G93*100</f>
        <v>94.562309705158512</v>
      </c>
      <c r="I93" s="247">
        <v>736051</v>
      </c>
      <c r="J93" s="247">
        <v>681693</v>
      </c>
      <c r="K93" s="425">
        <f t="shared" ref="K93" si="27">I93/J93*100</f>
        <v>107.97397068768493</v>
      </c>
      <c r="L93" s="247">
        <v>547604</v>
      </c>
      <c r="M93" s="247">
        <v>475636</v>
      </c>
      <c r="N93" s="247">
        <f t="shared" ref="N93" si="28">L93/M93*100</f>
        <v>115.13089841811805</v>
      </c>
      <c r="O93" s="126">
        <v>186</v>
      </c>
      <c r="P93" s="126">
        <v>40</v>
      </c>
    </row>
    <row r="94" spans="1:16" x14ac:dyDescent="0.25">
      <c r="A94" s="538"/>
      <c r="B94" s="537"/>
    </row>
    <row r="95" spans="1:16" ht="17.25" x14ac:dyDescent="0.25">
      <c r="A95" s="1033" t="s">
        <v>738</v>
      </c>
      <c r="B95" s="1034"/>
      <c r="C95" s="450">
        <f>SUM(C96:C122)</f>
        <v>3041325</v>
      </c>
      <c r="D95" s="450">
        <f>SUM(D96:D122)</f>
        <v>2089894</v>
      </c>
      <c r="E95" s="453">
        <f>C95/D95*100</f>
        <v>145.52532329390868</v>
      </c>
      <c r="F95" s="450">
        <f>SUM(F96:F122)</f>
        <v>386913</v>
      </c>
      <c r="G95" s="450">
        <f>SUM(G96:G122)</f>
        <v>240582</v>
      </c>
      <c r="H95" s="453">
        <f>F95/G95*100</f>
        <v>160.82375240042896</v>
      </c>
      <c r="I95" s="450">
        <f>SUM(I96:I122)</f>
        <v>3193989</v>
      </c>
      <c r="J95" s="450">
        <f>SUM(J96:J122)</f>
        <v>2006753</v>
      </c>
      <c r="K95" s="453">
        <f>I95/J95*100</f>
        <v>159.16203937405351</v>
      </c>
      <c r="L95" s="450">
        <f>SUM(L96:L122)</f>
        <v>2059536</v>
      </c>
      <c r="M95" s="450">
        <f>SUM(M96:M122)</f>
        <v>942454</v>
      </c>
      <c r="N95" s="453">
        <f>L95/M95*100</f>
        <v>218.52907409804615</v>
      </c>
    </row>
    <row r="96" spans="1:16" ht="17.25" x14ac:dyDescent="0.25">
      <c r="A96" s="265">
        <v>1</v>
      </c>
      <c r="B96" s="544" t="s">
        <v>627</v>
      </c>
      <c r="C96" s="247">
        <v>389571</v>
      </c>
      <c r="D96" s="247">
        <v>242139</v>
      </c>
      <c r="E96" s="425">
        <f t="shared" ref="E96:E122" si="29">C96/D96*100</f>
        <v>160.88734156827277</v>
      </c>
      <c r="F96" s="247">
        <v>34970</v>
      </c>
      <c r="G96" s="247">
        <v>45685</v>
      </c>
      <c r="H96" s="425">
        <f t="shared" ref="H96:H122" si="30">F96/G96*100</f>
        <v>76.545912225019151</v>
      </c>
      <c r="I96" s="247">
        <v>382290</v>
      </c>
      <c r="J96" s="247">
        <v>234613</v>
      </c>
      <c r="K96" s="425">
        <f t="shared" ref="K96:K122" si="31">I96/J96*100</f>
        <v>162.94493485015749</v>
      </c>
      <c r="L96" s="247">
        <v>374364</v>
      </c>
      <c r="M96" s="247">
        <v>234593</v>
      </c>
      <c r="N96" s="425">
        <f t="shared" ref="N96:N122" si="32">L96/M96*100</f>
        <v>159.58020912814962</v>
      </c>
      <c r="O96" s="126">
        <v>318</v>
      </c>
      <c r="P96" s="126">
        <v>104</v>
      </c>
    </row>
    <row r="97" spans="1:16" ht="17.25" x14ac:dyDescent="0.25">
      <c r="A97" s="265">
        <v>2</v>
      </c>
      <c r="B97" s="544" t="s">
        <v>628</v>
      </c>
      <c r="C97" s="247">
        <v>0</v>
      </c>
      <c r="D97" s="247">
        <v>0</v>
      </c>
      <c r="E97" s="425" t="e">
        <f t="shared" si="29"/>
        <v>#DIV/0!</v>
      </c>
      <c r="F97" s="247">
        <v>0</v>
      </c>
      <c r="G97" s="247">
        <v>0</v>
      </c>
      <c r="H97" s="425" t="e">
        <f t="shared" si="30"/>
        <v>#DIV/0!</v>
      </c>
      <c r="I97" s="247">
        <v>0</v>
      </c>
      <c r="J97" s="247">
        <v>0</v>
      </c>
      <c r="K97" s="425" t="e">
        <f t="shared" si="31"/>
        <v>#DIV/0!</v>
      </c>
      <c r="L97" s="247">
        <v>0</v>
      </c>
      <c r="M97" s="247">
        <v>0</v>
      </c>
      <c r="N97" s="425" t="e">
        <f t="shared" si="32"/>
        <v>#DIV/0!</v>
      </c>
    </row>
    <row r="98" spans="1:16" ht="17.25" x14ac:dyDescent="0.25">
      <c r="A98" s="265">
        <v>3</v>
      </c>
      <c r="B98" s="544" t="s">
        <v>629</v>
      </c>
      <c r="C98" s="247">
        <v>0</v>
      </c>
      <c r="D98" s="247">
        <v>0</v>
      </c>
      <c r="E98" s="425" t="e">
        <f t="shared" si="29"/>
        <v>#DIV/0!</v>
      </c>
      <c r="F98" s="247">
        <v>0</v>
      </c>
      <c r="G98" s="247">
        <v>0</v>
      </c>
      <c r="H98" s="425" t="e">
        <f t="shared" si="30"/>
        <v>#DIV/0!</v>
      </c>
      <c r="I98" s="247">
        <v>0</v>
      </c>
      <c r="J98" s="247">
        <v>0</v>
      </c>
      <c r="K98" s="425" t="e">
        <f t="shared" si="31"/>
        <v>#DIV/0!</v>
      </c>
      <c r="L98" s="247">
        <v>0</v>
      </c>
      <c r="M98" s="247">
        <v>0</v>
      </c>
      <c r="N98" s="425" t="e">
        <f t="shared" si="32"/>
        <v>#DIV/0!</v>
      </c>
      <c r="O98" s="562"/>
    </row>
    <row r="99" spans="1:16" ht="17.25" x14ac:dyDescent="0.25">
      <c r="A99" s="265">
        <v>4</v>
      </c>
      <c r="B99" s="544" t="s">
        <v>630</v>
      </c>
      <c r="C99" s="247">
        <v>47153</v>
      </c>
      <c r="D99" s="247">
        <v>20625</v>
      </c>
      <c r="E99" s="425">
        <f t="shared" si="29"/>
        <v>228.62060606060606</v>
      </c>
      <c r="F99" s="247">
        <v>9455</v>
      </c>
      <c r="G99" s="247">
        <v>0</v>
      </c>
      <c r="H99" s="425" t="e">
        <f t="shared" si="30"/>
        <v>#DIV/0!</v>
      </c>
      <c r="I99" s="247">
        <v>17365</v>
      </c>
      <c r="J99" s="247">
        <v>11207</v>
      </c>
      <c r="K99" s="425">
        <f t="shared" si="31"/>
        <v>154.94780048184171</v>
      </c>
      <c r="L99" s="247">
        <v>0</v>
      </c>
      <c r="M99" s="247">
        <v>0</v>
      </c>
      <c r="N99" s="425" t="e">
        <f t="shared" si="32"/>
        <v>#DIV/0!</v>
      </c>
      <c r="O99" s="126">
        <v>20</v>
      </c>
      <c r="P99" s="126">
        <v>140</v>
      </c>
    </row>
    <row r="100" spans="1:16" ht="17.25" x14ac:dyDescent="0.25">
      <c r="A100" s="265">
        <v>5</v>
      </c>
      <c r="B100" s="544" t="s">
        <v>631</v>
      </c>
      <c r="C100" s="247">
        <v>294645</v>
      </c>
      <c r="D100" s="247">
        <v>390881</v>
      </c>
      <c r="E100" s="425">
        <f t="shared" si="29"/>
        <v>75.37971914725965</v>
      </c>
      <c r="F100" s="247">
        <v>45026</v>
      </c>
      <c r="G100" s="247">
        <v>14549</v>
      </c>
      <c r="H100" s="425">
        <f t="shared" si="30"/>
        <v>309.4783146608014</v>
      </c>
      <c r="I100" s="247">
        <v>341323</v>
      </c>
      <c r="J100" s="247">
        <v>371503</v>
      </c>
      <c r="K100" s="425">
        <f t="shared" si="31"/>
        <v>91.876243260485111</v>
      </c>
      <c r="L100" s="247">
        <v>341323</v>
      </c>
      <c r="M100" s="247">
        <v>371503</v>
      </c>
      <c r="N100" s="425">
        <f t="shared" si="32"/>
        <v>91.876243260485111</v>
      </c>
      <c r="O100" s="126">
        <v>359</v>
      </c>
      <c r="P100" s="126">
        <v>52</v>
      </c>
    </row>
    <row r="101" spans="1:16" ht="17.25" x14ac:dyDescent="0.25">
      <c r="A101" s="265">
        <v>6</v>
      </c>
      <c r="B101" s="544" t="s">
        <v>632</v>
      </c>
      <c r="C101" s="247">
        <v>0</v>
      </c>
      <c r="D101" s="247">
        <v>0</v>
      </c>
      <c r="E101" s="425" t="e">
        <f t="shared" si="29"/>
        <v>#DIV/0!</v>
      </c>
      <c r="F101" s="247">
        <v>0</v>
      </c>
      <c r="G101" s="247">
        <v>0</v>
      </c>
      <c r="H101" s="425" t="e">
        <f t="shared" si="30"/>
        <v>#DIV/0!</v>
      </c>
      <c r="I101" s="247">
        <v>0</v>
      </c>
      <c r="J101" s="247">
        <v>0</v>
      </c>
      <c r="K101" s="425" t="e">
        <f t="shared" si="31"/>
        <v>#DIV/0!</v>
      </c>
      <c r="L101" s="247">
        <v>0</v>
      </c>
      <c r="M101" s="247">
        <v>0</v>
      </c>
      <c r="N101" s="425" t="e">
        <f t="shared" si="32"/>
        <v>#DIV/0!</v>
      </c>
    </row>
    <row r="102" spans="1:16" ht="17.25" x14ac:dyDescent="0.25">
      <c r="A102" s="265">
        <v>7</v>
      </c>
      <c r="B102" s="544" t="s">
        <v>633</v>
      </c>
      <c r="C102" s="247">
        <v>0</v>
      </c>
      <c r="D102" s="247">
        <v>0</v>
      </c>
      <c r="E102" s="425" t="e">
        <f t="shared" si="29"/>
        <v>#DIV/0!</v>
      </c>
      <c r="F102" s="247">
        <v>0</v>
      </c>
      <c r="G102" s="247">
        <v>0</v>
      </c>
      <c r="H102" s="425" t="e">
        <f t="shared" si="30"/>
        <v>#DIV/0!</v>
      </c>
      <c r="I102" s="247">
        <v>0</v>
      </c>
      <c r="J102" s="247">
        <v>0</v>
      </c>
      <c r="K102" s="425" t="e">
        <f t="shared" si="31"/>
        <v>#DIV/0!</v>
      </c>
      <c r="L102" s="247">
        <v>0</v>
      </c>
      <c r="M102" s="247">
        <v>0</v>
      </c>
      <c r="N102" s="425" t="e">
        <f t="shared" si="32"/>
        <v>#DIV/0!</v>
      </c>
    </row>
    <row r="103" spans="1:16" ht="17.25" x14ac:dyDescent="0.25">
      <c r="A103" s="265">
        <v>8</v>
      </c>
      <c r="B103" s="544" t="s">
        <v>634</v>
      </c>
      <c r="C103" s="247">
        <v>123692</v>
      </c>
      <c r="D103" s="247">
        <v>277285</v>
      </c>
      <c r="E103" s="425">
        <f t="shared" si="29"/>
        <v>44.608255044448853</v>
      </c>
      <c r="F103" s="247">
        <v>13542</v>
      </c>
      <c r="G103" s="247">
        <v>24475</v>
      </c>
      <c r="H103" s="425">
        <f t="shared" si="30"/>
        <v>55.329928498467829</v>
      </c>
      <c r="I103" s="247">
        <v>165498</v>
      </c>
      <c r="J103" s="247">
        <v>282350</v>
      </c>
      <c r="K103" s="425">
        <f t="shared" si="31"/>
        <v>58.614485567557992</v>
      </c>
      <c r="L103" s="247">
        <v>10196</v>
      </c>
      <c r="M103" s="247">
        <v>91744</v>
      </c>
      <c r="N103" s="425">
        <f t="shared" si="32"/>
        <v>11.113533310080223</v>
      </c>
      <c r="O103" s="126">
        <v>103</v>
      </c>
      <c r="P103" s="126">
        <v>90</v>
      </c>
    </row>
    <row r="104" spans="1:16" ht="17.25" x14ac:dyDescent="0.25">
      <c r="A104" s="265">
        <v>9</v>
      </c>
      <c r="B104" s="544" t="s">
        <v>635</v>
      </c>
      <c r="C104" s="247">
        <v>0</v>
      </c>
      <c r="D104" s="247">
        <v>0</v>
      </c>
      <c r="E104" s="425" t="e">
        <f t="shared" si="29"/>
        <v>#DIV/0!</v>
      </c>
      <c r="F104" s="247">
        <v>0</v>
      </c>
      <c r="G104" s="247">
        <v>0</v>
      </c>
      <c r="H104" s="425" t="e">
        <f t="shared" si="30"/>
        <v>#DIV/0!</v>
      </c>
      <c r="I104" s="247">
        <v>0</v>
      </c>
      <c r="J104" s="247">
        <v>0</v>
      </c>
      <c r="K104" s="425" t="e">
        <f t="shared" si="31"/>
        <v>#DIV/0!</v>
      </c>
      <c r="L104" s="247">
        <v>0</v>
      </c>
      <c r="M104" s="247">
        <v>0</v>
      </c>
      <c r="N104" s="425" t="e">
        <f t="shared" si="32"/>
        <v>#DIV/0!</v>
      </c>
    </row>
    <row r="105" spans="1:16" ht="17.25" x14ac:dyDescent="0.25">
      <c r="A105" s="265">
        <v>10</v>
      </c>
      <c r="B105" s="544" t="s">
        <v>636</v>
      </c>
      <c r="C105" s="247">
        <v>60558</v>
      </c>
      <c r="D105" s="247">
        <v>105063</v>
      </c>
      <c r="E105" s="425">
        <f t="shared" si="29"/>
        <v>57.63970189314982</v>
      </c>
      <c r="F105" s="247">
        <v>0</v>
      </c>
      <c r="G105" s="247">
        <v>0</v>
      </c>
      <c r="H105" s="425" t="e">
        <f t="shared" si="30"/>
        <v>#DIV/0!</v>
      </c>
      <c r="I105" s="247">
        <v>60558</v>
      </c>
      <c r="J105" s="247">
        <v>105063</v>
      </c>
      <c r="K105" s="425">
        <f t="shared" si="31"/>
        <v>57.63970189314982</v>
      </c>
      <c r="L105" s="247">
        <v>60558</v>
      </c>
      <c r="M105" s="247">
        <v>105063</v>
      </c>
      <c r="N105" s="425">
        <f t="shared" si="32"/>
        <v>57.63970189314982</v>
      </c>
      <c r="O105" s="126">
        <v>80</v>
      </c>
      <c r="P105" s="126">
        <v>69</v>
      </c>
    </row>
    <row r="106" spans="1:16" ht="17.25" x14ac:dyDescent="0.25">
      <c r="A106" s="265">
        <v>11</v>
      </c>
      <c r="B106" s="544" t="s">
        <v>637</v>
      </c>
      <c r="C106" s="247">
        <v>0</v>
      </c>
      <c r="D106" s="247">
        <v>0</v>
      </c>
      <c r="E106" s="425" t="e">
        <f t="shared" si="29"/>
        <v>#DIV/0!</v>
      </c>
      <c r="F106" s="247">
        <v>0</v>
      </c>
      <c r="G106" s="247">
        <v>0</v>
      </c>
      <c r="H106" s="425" t="e">
        <f t="shared" si="30"/>
        <v>#DIV/0!</v>
      </c>
      <c r="I106" s="247">
        <v>0</v>
      </c>
      <c r="J106" s="247">
        <v>0</v>
      </c>
      <c r="K106" s="425" t="e">
        <f t="shared" si="31"/>
        <v>#DIV/0!</v>
      </c>
      <c r="L106" s="247">
        <v>0</v>
      </c>
      <c r="M106" s="247">
        <v>0</v>
      </c>
      <c r="N106" s="425" t="e">
        <f t="shared" si="32"/>
        <v>#DIV/0!</v>
      </c>
    </row>
    <row r="107" spans="1:16" ht="17.25" x14ac:dyDescent="0.25">
      <c r="A107" s="265">
        <v>12</v>
      </c>
      <c r="B107" s="544" t="s">
        <v>638</v>
      </c>
      <c r="C107" s="247">
        <v>0</v>
      </c>
      <c r="D107" s="247">
        <v>55230</v>
      </c>
      <c r="E107" s="425">
        <f t="shared" si="29"/>
        <v>0</v>
      </c>
      <c r="F107" s="247">
        <v>0</v>
      </c>
      <c r="G107" s="247">
        <v>8500</v>
      </c>
      <c r="H107" s="425">
        <f t="shared" si="30"/>
        <v>0</v>
      </c>
      <c r="I107" s="247">
        <v>0</v>
      </c>
      <c r="J107" s="247">
        <v>51200</v>
      </c>
      <c r="K107" s="425">
        <f t="shared" si="31"/>
        <v>0</v>
      </c>
      <c r="L107" s="247">
        <v>0</v>
      </c>
      <c r="M107" s="247">
        <v>0</v>
      </c>
      <c r="N107" s="425" t="e">
        <f t="shared" si="32"/>
        <v>#DIV/0!</v>
      </c>
      <c r="O107" s="126">
        <v>15</v>
      </c>
      <c r="P107" s="126">
        <v>58</v>
      </c>
    </row>
    <row r="108" spans="1:16" ht="17.25" x14ac:dyDescent="0.25">
      <c r="A108" s="265">
        <v>13</v>
      </c>
      <c r="B108" s="544" t="s">
        <v>639</v>
      </c>
      <c r="C108" s="247">
        <v>44907</v>
      </c>
      <c r="D108" s="247">
        <v>16902</v>
      </c>
      <c r="E108" s="425">
        <f t="shared" si="29"/>
        <v>265.69045083422077</v>
      </c>
      <c r="F108" s="247">
        <v>11962</v>
      </c>
      <c r="G108" s="247">
        <v>4301</v>
      </c>
      <c r="H108" s="425">
        <f t="shared" si="30"/>
        <v>278.12136712392464</v>
      </c>
      <c r="I108" s="247">
        <v>55046</v>
      </c>
      <c r="J108" s="247">
        <v>10068</v>
      </c>
      <c r="K108" s="425">
        <f t="shared" si="31"/>
        <v>546.74215335717122</v>
      </c>
      <c r="L108" s="247">
        <v>52934</v>
      </c>
      <c r="M108" s="247">
        <v>1529</v>
      </c>
      <c r="N108" s="425">
        <f t="shared" si="32"/>
        <v>3462.0013080444737</v>
      </c>
      <c r="O108" s="126">
        <v>70</v>
      </c>
      <c r="P108" s="126">
        <v>65</v>
      </c>
    </row>
    <row r="109" spans="1:16" ht="17.25" x14ac:dyDescent="0.25">
      <c r="A109" s="265">
        <v>14</v>
      </c>
      <c r="B109" s="544" t="s">
        <v>640</v>
      </c>
      <c r="C109" s="247">
        <v>0</v>
      </c>
      <c r="D109" s="247">
        <v>0</v>
      </c>
      <c r="E109" s="425" t="e">
        <f t="shared" si="29"/>
        <v>#DIV/0!</v>
      </c>
      <c r="F109" s="247">
        <v>0</v>
      </c>
      <c r="G109" s="247">
        <v>0</v>
      </c>
      <c r="H109" s="425" t="e">
        <f t="shared" si="30"/>
        <v>#DIV/0!</v>
      </c>
      <c r="I109" s="247">
        <v>0</v>
      </c>
      <c r="J109" s="247">
        <v>0</v>
      </c>
      <c r="K109" s="425" t="e">
        <f t="shared" si="31"/>
        <v>#DIV/0!</v>
      </c>
      <c r="L109" s="247">
        <v>0</v>
      </c>
      <c r="M109" s="247">
        <v>0</v>
      </c>
      <c r="N109" s="425" t="e">
        <f t="shared" si="32"/>
        <v>#DIV/0!</v>
      </c>
    </row>
    <row r="110" spans="1:16" ht="17.25" x14ac:dyDescent="0.25">
      <c r="A110" s="265">
        <v>15</v>
      </c>
      <c r="B110" s="544" t="s">
        <v>641</v>
      </c>
      <c r="C110" s="247">
        <v>80643</v>
      </c>
      <c r="D110" s="247">
        <v>98237</v>
      </c>
      <c r="E110" s="425">
        <f t="shared" si="29"/>
        <v>82.090251127375637</v>
      </c>
      <c r="F110" s="247">
        <v>5256</v>
      </c>
      <c r="G110" s="247">
        <v>10914</v>
      </c>
      <c r="H110" s="425">
        <f t="shared" si="30"/>
        <v>48.158328752061571</v>
      </c>
      <c r="I110" s="247">
        <v>80643</v>
      </c>
      <c r="J110" s="247">
        <v>98237</v>
      </c>
      <c r="K110" s="425">
        <f t="shared" si="31"/>
        <v>82.090251127375637</v>
      </c>
      <c r="L110" s="247">
        <v>80643</v>
      </c>
      <c r="M110" s="247">
        <v>98237</v>
      </c>
      <c r="N110" s="425">
        <f t="shared" si="32"/>
        <v>82.090251127375637</v>
      </c>
      <c r="O110" s="126">
        <v>63</v>
      </c>
      <c r="P110" s="126">
        <v>95</v>
      </c>
    </row>
    <row r="111" spans="1:16" ht="17.25" x14ac:dyDescent="0.25">
      <c r="A111" s="265">
        <v>16</v>
      </c>
      <c r="B111" s="544" t="s">
        <v>642</v>
      </c>
      <c r="C111" s="247">
        <v>126356</v>
      </c>
      <c r="D111" s="247">
        <v>153889</v>
      </c>
      <c r="E111" s="425">
        <f t="shared" si="29"/>
        <v>82.108532773622542</v>
      </c>
      <c r="F111" s="247">
        <v>7515</v>
      </c>
      <c r="G111" s="247">
        <v>12615</v>
      </c>
      <c r="H111" s="425">
        <f t="shared" si="30"/>
        <v>59.571938168846614</v>
      </c>
      <c r="I111" s="247">
        <v>124135</v>
      </c>
      <c r="J111" s="247">
        <v>152847</v>
      </c>
      <c r="K111" s="425">
        <f t="shared" si="31"/>
        <v>81.215202130234815</v>
      </c>
      <c r="L111" s="247">
        <v>0</v>
      </c>
      <c r="M111" s="247">
        <v>0</v>
      </c>
      <c r="N111" s="425" t="e">
        <f t="shared" si="32"/>
        <v>#DIV/0!</v>
      </c>
      <c r="O111" s="126">
        <v>19</v>
      </c>
      <c r="P111" s="126">
        <v>65</v>
      </c>
    </row>
    <row r="112" spans="1:16" ht="34.5" x14ac:dyDescent="0.25">
      <c r="A112" s="265">
        <v>17</v>
      </c>
      <c r="B112" s="544" t="s">
        <v>643</v>
      </c>
      <c r="C112" s="247">
        <v>449559</v>
      </c>
      <c r="D112" s="247">
        <v>441236</v>
      </c>
      <c r="E112" s="425">
        <f t="shared" si="29"/>
        <v>101.88629214298017</v>
      </c>
      <c r="F112" s="247">
        <v>99476</v>
      </c>
      <c r="G112" s="247">
        <v>73376</v>
      </c>
      <c r="H112" s="425">
        <f t="shared" si="30"/>
        <v>135.57021369385086</v>
      </c>
      <c r="I112" s="247">
        <v>480291</v>
      </c>
      <c r="J112" s="247">
        <v>326311</v>
      </c>
      <c r="K112" s="425">
        <f t="shared" si="31"/>
        <v>147.18811195454643</v>
      </c>
      <c r="L112" s="247">
        <v>0</v>
      </c>
      <c r="M112" s="247">
        <v>0</v>
      </c>
      <c r="N112" s="425" t="e">
        <f t="shared" si="32"/>
        <v>#DIV/0!</v>
      </c>
      <c r="O112" s="126">
        <v>170</v>
      </c>
      <c r="P112" s="126">
        <v>60</v>
      </c>
    </row>
    <row r="113" spans="1:16" ht="34.5" x14ac:dyDescent="0.25">
      <c r="A113" s="265">
        <v>18</v>
      </c>
      <c r="B113" s="544" t="s">
        <v>644</v>
      </c>
      <c r="C113" s="247">
        <v>1100194</v>
      </c>
      <c r="D113" s="247">
        <v>0</v>
      </c>
      <c r="E113" s="425" t="e">
        <f t="shared" si="29"/>
        <v>#DIV/0!</v>
      </c>
      <c r="F113" s="247">
        <v>116055</v>
      </c>
      <c r="G113" s="247">
        <v>0</v>
      </c>
      <c r="H113" s="425" t="e">
        <f t="shared" si="30"/>
        <v>#DIV/0!</v>
      </c>
      <c r="I113" s="247">
        <v>1100194</v>
      </c>
      <c r="J113" s="247">
        <v>0</v>
      </c>
      <c r="K113" s="425" t="e">
        <f t="shared" si="31"/>
        <v>#DIV/0!</v>
      </c>
      <c r="L113" s="247">
        <v>1100194</v>
      </c>
      <c r="M113" s="247">
        <v>0</v>
      </c>
      <c r="N113" s="425" t="e">
        <f t="shared" si="32"/>
        <v>#DIV/0!</v>
      </c>
      <c r="O113" s="126">
        <v>981</v>
      </c>
      <c r="P113" s="126">
        <v>73</v>
      </c>
    </row>
    <row r="114" spans="1:16" ht="17.25" x14ac:dyDescent="0.25">
      <c r="A114" s="265">
        <v>19</v>
      </c>
      <c r="B114" s="544" t="s">
        <v>645</v>
      </c>
      <c r="C114" s="247">
        <v>0</v>
      </c>
      <c r="D114" s="247">
        <v>0</v>
      </c>
      <c r="E114" s="425" t="e">
        <f t="shared" si="29"/>
        <v>#DIV/0!</v>
      </c>
      <c r="F114" s="247">
        <v>0</v>
      </c>
      <c r="G114" s="247">
        <v>0</v>
      </c>
      <c r="H114" s="425" t="e">
        <f t="shared" si="30"/>
        <v>#DIV/0!</v>
      </c>
      <c r="I114" s="247">
        <v>0</v>
      </c>
      <c r="J114" s="247">
        <v>0</v>
      </c>
      <c r="K114" s="425" t="e">
        <f t="shared" si="31"/>
        <v>#DIV/0!</v>
      </c>
      <c r="L114" s="247">
        <v>0</v>
      </c>
      <c r="M114" s="247">
        <v>0</v>
      </c>
      <c r="N114" s="425" t="e">
        <f t="shared" si="32"/>
        <v>#DIV/0!</v>
      </c>
    </row>
    <row r="115" spans="1:16" ht="34.5" x14ac:dyDescent="0.25">
      <c r="A115" s="265">
        <v>20</v>
      </c>
      <c r="B115" s="544" t="s">
        <v>646</v>
      </c>
      <c r="C115" s="247">
        <v>0</v>
      </c>
      <c r="D115" s="247">
        <v>0</v>
      </c>
      <c r="E115" s="425" t="e">
        <f t="shared" si="29"/>
        <v>#DIV/0!</v>
      </c>
      <c r="F115" s="247">
        <v>0</v>
      </c>
      <c r="G115" s="247">
        <v>0</v>
      </c>
      <c r="H115" s="425" t="e">
        <f t="shared" si="30"/>
        <v>#DIV/0!</v>
      </c>
      <c r="I115" s="247">
        <v>0</v>
      </c>
      <c r="J115" s="247">
        <v>0</v>
      </c>
      <c r="K115" s="425" t="e">
        <f t="shared" si="31"/>
        <v>#DIV/0!</v>
      </c>
      <c r="L115" s="247">
        <v>0</v>
      </c>
      <c r="M115" s="247">
        <v>0</v>
      </c>
      <c r="N115" s="425" t="e">
        <f t="shared" si="32"/>
        <v>#DIV/0!</v>
      </c>
    </row>
    <row r="116" spans="1:16" ht="17.25" x14ac:dyDescent="0.25">
      <c r="A116" s="265">
        <v>21</v>
      </c>
      <c r="B116" s="544" t="s">
        <v>647</v>
      </c>
      <c r="C116" s="247">
        <v>40624</v>
      </c>
      <c r="D116" s="247">
        <v>51100</v>
      </c>
      <c r="E116" s="425">
        <f t="shared" si="29"/>
        <v>79.499021526418787</v>
      </c>
      <c r="F116" s="247">
        <v>6873</v>
      </c>
      <c r="G116" s="247">
        <v>11261</v>
      </c>
      <c r="H116" s="425">
        <f t="shared" si="30"/>
        <v>61.033655980818757</v>
      </c>
      <c r="I116" s="247">
        <v>41024</v>
      </c>
      <c r="J116" s="247">
        <v>51100</v>
      </c>
      <c r="K116" s="425">
        <f t="shared" si="31"/>
        <v>80.281800391389439</v>
      </c>
      <c r="L116" s="247">
        <v>39324</v>
      </c>
      <c r="M116" s="247">
        <v>39785</v>
      </c>
      <c r="N116" s="425">
        <f t="shared" si="32"/>
        <v>98.841271836119134</v>
      </c>
      <c r="O116" s="126">
        <v>15</v>
      </c>
      <c r="P116" s="126">
        <v>67</v>
      </c>
    </row>
    <row r="117" spans="1:16" ht="17.25" x14ac:dyDescent="0.25">
      <c r="A117" s="265">
        <v>22</v>
      </c>
      <c r="B117" s="544" t="s">
        <v>648</v>
      </c>
      <c r="C117" s="247">
        <v>19530</v>
      </c>
      <c r="D117" s="247">
        <v>18410</v>
      </c>
      <c r="E117" s="425">
        <f t="shared" si="29"/>
        <v>106.08365019011407</v>
      </c>
      <c r="F117" s="247">
        <v>3640</v>
      </c>
      <c r="G117" s="247">
        <v>3840</v>
      </c>
      <c r="H117" s="425">
        <f t="shared" si="30"/>
        <v>94.791666666666657</v>
      </c>
      <c r="I117" s="247">
        <v>24918</v>
      </c>
      <c r="J117" s="247">
        <v>28354</v>
      </c>
      <c r="K117" s="425">
        <f t="shared" si="31"/>
        <v>87.881780348451727</v>
      </c>
      <c r="L117" s="247">
        <v>0</v>
      </c>
      <c r="M117" s="247">
        <v>0</v>
      </c>
      <c r="N117" s="425" t="e">
        <f t="shared" si="32"/>
        <v>#DIV/0!</v>
      </c>
      <c r="O117" s="126">
        <v>13</v>
      </c>
      <c r="P117" s="126">
        <v>94</v>
      </c>
    </row>
    <row r="118" spans="1:16" ht="17.25" x14ac:dyDescent="0.25">
      <c r="A118" s="265">
        <v>23</v>
      </c>
      <c r="B118" s="544" t="s">
        <v>649</v>
      </c>
      <c r="C118" s="247">
        <v>106665</v>
      </c>
      <c r="D118" s="247">
        <v>90660</v>
      </c>
      <c r="E118" s="425">
        <f t="shared" si="29"/>
        <v>117.65387160820649</v>
      </c>
      <c r="F118" s="247">
        <v>17562</v>
      </c>
      <c r="G118" s="247">
        <v>15399</v>
      </c>
      <c r="H118" s="425">
        <f t="shared" si="30"/>
        <v>114.04636664718488</v>
      </c>
      <c r="I118" s="247">
        <v>108122</v>
      </c>
      <c r="J118" s="247">
        <v>91362</v>
      </c>
      <c r="K118" s="425">
        <f t="shared" si="31"/>
        <v>118.34460716709354</v>
      </c>
      <c r="L118" s="247">
        <v>0</v>
      </c>
      <c r="M118" s="247">
        <v>0</v>
      </c>
      <c r="N118" s="425" t="e">
        <f t="shared" si="32"/>
        <v>#DIV/0!</v>
      </c>
      <c r="O118" s="126">
        <v>34</v>
      </c>
      <c r="P118" s="126">
        <v>75</v>
      </c>
    </row>
    <row r="119" spans="1:16" ht="17.25" x14ac:dyDescent="0.25">
      <c r="A119" s="265">
        <v>24</v>
      </c>
      <c r="B119" s="544" t="s">
        <v>650</v>
      </c>
      <c r="C119" s="247">
        <v>44887</v>
      </c>
      <c r="D119" s="247">
        <v>36614</v>
      </c>
      <c r="E119" s="425">
        <f t="shared" si="29"/>
        <v>122.59518217075436</v>
      </c>
      <c r="F119" s="247">
        <v>2112</v>
      </c>
      <c r="G119" s="247">
        <v>3960</v>
      </c>
      <c r="H119" s="425">
        <f t="shared" si="30"/>
        <v>53.333333333333336</v>
      </c>
      <c r="I119" s="247">
        <v>106480</v>
      </c>
      <c r="J119" s="247">
        <v>91127</v>
      </c>
      <c r="K119" s="425">
        <f t="shared" si="31"/>
        <v>116.84791554643519</v>
      </c>
      <c r="L119" s="247">
        <v>0</v>
      </c>
      <c r="M119" s="247">
        <v>0</v>
      </c>
      <c r="N119" s="425" t="e">
        <f t="shared" si="32"/>
        <v>#DIV/0!</v>
      </c>
      <c r="O119" s="126">
        <v>50</v>
      </c>
      <c r="P119" s="126">
        <v>70</v>
      </c>
    </row>
    <row r="120" spans="1:16" ht="34.5" x14ac:dyDescent="0.25">
      <c r="A120" s="265">
        <v>25</v>
      </c>
      <c r="B120" s="544" t="s">
        <v>651</v>
      </c>
      <c r="C120" s="247">
        <v>23151</v>
      </c>
      <c r="D120" s="247">
        <v>26726</v>
      </c>
      <c r="E120" s="425">
        <f t="shared" si="29"/>
        <v>86.623512684277486</v>
      </c>
      <c r="F120" s="247">
        <v>6218</v>
      </c>
      <c r="G120" s="247">
        <v>1604</v>
      </c>
      <c r="H120" s="425">
        <f t="shared" si="30"/>
        <v>387.65586034912718</v>
      </c>
      <c r="I120" s="247">
        <v>20072</v>
      </c>
      <c r="J120" s="247">
        <v>27267</v>
      </c>
      <c r="K120" s="425">
        <f t="shared" si="31"/>
        <v>73.612792019657462</v>
      </c>
      <c r="L120" s="247">
        <v>0</v>
      </c>
      <c r="M120" s="247">
        <v>0</v>
      </c>
      <c r="N120" s="425" t="e">
        <f t="shared" si="32"/>
        <v>#DIV/0!</v>
      </c>
      <c r="O120" s="126">
        <v>22</v>
      </c>
      <c r="P120" s="126">
        <v>64</v>
      </c>
    </row>
    <row r="121" spans="1:16" ht="17.25" x14ac:dyDescent="0.25">
      <c r="A121" s="265">
        <v>26</v>
      </c>
      <c r="B121" s="544" t="s">
        <v>228</v>
      </c>
      <c r="C121" s="247">
        <v>27650</v>
      </c>
      <c r="D121" s="247">
        <v>15203</v>
      </c>
      <c r="E121" s="425">
        <f t="shared" si="29"/>
        <v>181.87199894757612</v>
      </c>
      <c r="F121" s="247">
        <v>4017</v>
      </c>
      <c r="G121" s="247">
        <v>4912</v>
      </c>
      <c r="H121" s="425">
        <f t="shared" si="30"/>
        <v>81.779315960912044</v>
      </c>
      <c r="I121" s="247">
        <v>24490</v>
      </c>
      <c r="J121" s="247">
        <v>24450</v>
      </c>
      <c r="K121" s="425">
        <f t="shared" si="31"/>
        <v>100.16359918200408</v>
      </c>
      <c r="L121" s="247">
        <v>0</v>
      </c>
      <c r="M121" s="247">
        <v>0</v>
      </c>
      <c r="N121" s="425" t="e">
        <f t="shared" si="32"/>
        <v>#DIV/0!</v>
      </c>
      <c r="O121" s="126">
        <v>18</v>
      </c>
      <c r="P121" s="126">
        <v>65</v>
      </c>
    </row>
    <row r="122" spans="1:16" s="563" customFormat="1" ht="17.25" x14ac:dyDescent="0.25">
      <c r="A122" s="265">
        <v>27</v>
      </c>
      <c r="B122" s="544" t="s">
        <v>238</v>
      </c>
      <c r="C122" s="247">
        <v>61540</v>
      </c>
      <c r="D122" s="247">
        <v>49694</v>
      </c>
      <c r="E122" s="425">
        <f t="shared" si="29"/>
        <v>123.83788787378758</v>
      </c>
      <c r="F122" s="247">
        <v>3234</v>
      </c>
      <c r="G122" s="247">
        <v>5191</v>
      </c>
      <c r="H122" s="425">
        <f t="shared" si="30"/>
        <v>62.300134848776736</v>
      </c>
      <c r="I122" s="247">
        <v>61540</v>
      </c>
      <c r="J122" s="247">
        <v>49694</v>
      </c>
      <c r="K122" s="425">
        <f t="shared" si="31"/>
        <v>123.83788787378758</v>
      </c>
      <c r="L122" s="247">
        <v>0</v>
      </c>
      <c r="M122" s="247">
        <v>0</v>
      </c>
      <c r="N122" s="425" t="e">
        <f t="shared" si="32"/>
        <v>#DIV/0!</v>
      </c>
      <c r="O122" s="563">
        <v>35</v>
      </c>
      <c r="P122" s="563">
        <v>75</v>
      </c>
    </row>
    <row r="124" spans="1:16" ht="17.25" x14ac:dyDescent="0.25">
      <c r="A124" s="353"/>
      <c r="B124" s="592" t="s">
        <v>360</v>
      </c>
      <c r="C124" s="463">
        <f>SUM(C125:C130)</f>
        <v>106656</v>
      </c>
      <c r="D124" s="454">
        <f>SUM(D125:D130)</f>
        <v>132559</v>
      </c>
      <c r="E124" s="453">
        <f>C124/D124*100</f>
        <v>80.459267194230492</v>
      </c>
      <c r="F124" s="454">
        <f>SUM(F125:F130)</f>
        <v>21934</v>
      </c>
      <c r="G124" s="454">
        <f>SUM(G125:G130)</f>
        <v>23832</v>
      </c>
      <c r="H124" s="453">
        <f>F124/G124*100</f>
        <v>92.035918093319907</v>
      </c>
      <c r="I124" s="454">
        <f>SUM(I125:I130)</f>
        <v>112082</v>
      </c>
      <c r="J124" s="454">
        <f>SUM(J125:J130)</f>
        <v>95261</v>
      </c>
      <c r="K124" s="453">
        <f>I124/J124*100</f>
        <v>117.65780329830675</v>
      </c>
      <c r="L124" s="454">
        <f>SUM(L125:L130)</f>
        <v>55146</v>
      </c>
      <c r="M124" s="454">
        <f>SUM(M125:M130)</f>
        <v>19451</v>
      </c>
      <c r="N124" s="453">
        <f>L124/M124*100</f>
        <v>283.51241581409698</v>
      </c>
    </row>
    <row r="125" spans="1:16" ht="17.25" x14ac:dyDescent="0.25">
      <c r="A125" s="252">
        <v>1</v>
      </c>
      <c r="B125" s="544" t="s">
        <v>652</v>
      </c>
      <c r="C125" s="247">
        <v>74372</v>
      </c>
      <c r="D125" s="247">
        <v>104173</v>
      </c>
      <c r="E125" s="425">
        <f t="shared" ref="E125:E130" si="33">C125/D125*100</f>
        <v>71.392779319017407</v>
      </c>
      <c r="F125" s="247">
        <v>19450</v>
      </c>
      <c r="G125" s="247">
        <v>17352</v>
      </c>
      <c r="H125" s="425">
        <f t="shared" ref="H125:H130" si="34">F125/G125*100</f>
        <v>112.09082526509913</v>
      </c>
      <c r="I125" s="247">
        <v>74283</v>
      </c>
      <c r="J125" s="247">
        <v>62889</v>
      </c>
      <c r="K125" s="425">
        <f t="shared" ref="K125:K130" si="35">I125/J125*100</f>
        <v>118.11763583456568</v>
      </c>
      <c r="L125" s="247">
        <v>44880</v>
      </c>
      <c r="M125" s="247">
        <v>19451</v>
      </c>
      <c r="N125" s="453">
        <f t="shared" ref="N125:N130" si="36">L125/M125*100</f>
        <v>230.73363837334838</v>
      </c>
      <c r="O125" s="126">
        <v>72</v>
      </c>
      <c r="P125" s="126">
        <v>80</v>
      </c>
    </row>
    <row r="126" spans="1:16" ht="17.25" x14ac:dyDescent="0.25">
      <c r="A126" s="252">
        <v>2</v>
      </c>
      <c r="B126" s="544" t="s">
        <v>653</v>
      </c>
      <c r="C126" s="247">
        <v>0</v>
      </c>
      <c r="D126" s="247">
        <v>0</v>
      </c>
      <c r="E126" s="425" t="e">
        <f t="shared" si="33"/>
        <v>#DIV/0!</v>
      </c>
      <c r="F126" s="247">
        <v>0</v>
      </c>
      <c r="G126" s="247">
        <v>0</v>
      </c>
      <c r="H126" s="425" t="e">
        <f t="shared" si="34"/>
        <v>#DIV/0!</v>
      </c>
      <c r="I126" s="247">
        <v>0</v>
      </c>
      <c r="J126" s="247">
        <v>0</v>
      </c>
      <c r="K126" s="425" t="e">
        <f t="shared" si="35"/>
        <v>#DIV/0!</v>
      </c>
      <c r="L126" s="247">
        <v>0</v>
      </c>
      <c r="M126" s="247">
        <v>0</v>
      </c>
      <c r="N126" s="453" t="e">
        <f t="shared" si="36"/>
        <v>#DIV/0!</v>
      </c>
    </row>
    <row r="127" spans="1:16" ht="17.25" x14ac:dyDescent="0.25">
      <c r="A127" s="252">
        <v>3</v>
      </c>
      <c r="B127" s="544" t="s">
        <v>654</v>
      </c>
      <c r="C127" s="247">
        <v>0</v>
      </c>
      <c r="D127" s="247">
        <v>0</v>
      </c>
      <c r="E127" s="425" t="e">
        <f t="shared" si="33"/>
        <v>#DIV/0!</v>
      </c>
      <c r="F127" s="247">
        <v>0</v>
      </c>
      <c r="G127" s="247">
        <v>0</v>
      </c>
      <c r="H127" s="425" t="e">
        <f t="shared" si="34"/>
        <v>#DIV/0!</v>
      </c>
      <c r="I127" s="247">
        <v>0</v>
      </c>
      <c r="J127" s="247">
        <v>0</v>
      </c>
      <c r="K127" s="425" t="e">
        <f t="shared" si="35"/>
        <v>#DIV/0!</v>
      </c>
      <c r="L127" s="247">
        <v>0</v>
      </c>
      <c r="M127" s="247">
        <v>0</v>
      </c>
      <c r="N127" s="453" t="e">
        <f t="shared" si="36"/>
        <v>#DIV/0!</v>
      </c>
    </row>
    <row r="128" spans="1:16" ht="17.25" x14ac:dyDescent="0.25">
      <c r="A128" s="252">
        <v>4</v>
      </c>
      <c r="B128" s="544" t="s">
        <v>655</v>
      </c>
      <c r="C128" s="247">
        <v>4300</v>
      </c>
      <c r="D128" s="247">
        <v>1050</v>
      </c>
      <c r="E128" s="425">
        <f t="shared" si="33"/>
        <v>409.52380952380952</v>
      </c>
      <c r="F128" s="247">
        <v>1050</v>
      </c>
      <c r="G128" s="247">
        <v>0</v>
      </c>
      <c r="H128" s="425" t="e">
        <f t="shared" si="34"/>
        <v>#DIV/0!</v>
      </c>
      <c r="I128" s="247">
        <v>9815</v>
      </c>
      <c r="J128" s="247">
        <v>5036</v>
      </c>
      <c r="K128" s="425">
        <f t="shared" si="35"/>
        <v>194.89674344718031</v>
      </c>
      <c r="L128" s="247">
        <v>0</v>
      </c>
      <c r="M128" s="247">
        <v>0</v>
      </c>
      <c r="N128" s="453" t="e">
        <f t="shared" si="36"/>
        <v>#DIV/0!</v>
      </c>
      <c r="O128" s="126">
        <v>8</v>
      </c>
      <c r="P128" s="126">
        <v>70</v>
      </c>
    </row>
    <row r="129" spans="1:16" ht="17.25" x14ac:dyDescent="0.25">
      <c r="A129" s="252">
        <v>5</v>
      </c>
      <c r="B129" s="544" t="s">
        <v>656</v>
      </c>
      <c r="C129" s="247">
        <v>0</v>
      </c>
      <c r="D129" s="247">
        <v>0</v>
      </c>
      <c r="E129" s="425" t="e">
        <f t="shared" si="33"/>
        <v>#DIV/0!</v>
      </c>
      <c r="F129" s="247">
        <v>0</v>
      </c>
      <c r="G129" s="247">
        <v>0</v>
      </c>
      <c r="H129" s="425" t="e">
        <f t="shared" si="34"/>
        <v>#DIV/0!</v>
      </c>
      <c r="I129" s="247">
        <v>0</v>
      </c>
      <c r="J129" s="247">
        <v>0</v>
      </c>
      <c r="K129" s="425" t="e">
        <f t="shared" si="35"/>
        <v>#DIV/0!</v>
      </c>
      <c r="L129" s="247">
        <v>0</v>
      </c>
      <c r="M129" s="247">
        <v>0</v>
      </c>
      <c r="N129" s="453" t="e">
        <f t="shared" si="36"/>
        <v>#DIV/0!</v>
      </c>
    </row>
    <row r="130" spans="1:16" ht="17.25" x14ac:dyDescent="0.25">
      <c r="A130" s="252">
        <v>6</v>
      </c>
      <c r="B130" s="544" t="s">
        <v>657</v>
      </c>
      <c r="C130" s="247">
        <v>27984</v>
      </c>
      <c r="D130" s="247">
        <v>27336</v>
      </c>
      <c r="E130" s="425">
        <f t="shared" si="33"/>
        <v>102.37050043898157</v>
      </c>
      <c r="F130" s="247">
        <v>1434</v>
      </c>
      <c r="G130" s="247">
        <v>6480</v>
      </c>
      <c r="H130" s="425">
        <f t="shared" si="34"/>
        <v>22.12962962962963</v>
      </c>
      <c r="I130" s="247">
        <v>27984</v>
      </c>
      <c r="J130" s="247">
        <v>27336</v>
      </c>
      <c r="K130" s="425">
        <f t="shared" si="35"/>
        <v>102.37050043898157</v>
      </c>
      <c r="L130" s="247">
        <v>10266</v>
      </c>
      <c r="M130" s="247">
        <v>0</v>
      </c>
      <c r="N130" s="453" t="e">
        <f t="shared" si="36"/>
        <v>#DIV/0!</v>
      </c>
      <c r="O130" s="126">
        <v>21</v>
      </c>
      <c r="P130" s="126">
        <v>100</v>
      </c>
    </row>
    <row r="131" spans="1:16" ht="12.75" customHeight="1" x14ac:dyDescent="0.25">
      <c r="A131" s="564"/>
      <c r="B131" s="565"/>
      <c r="C131" s="445"/>
      <c r="D131" s="445"/>
      <c r="E131" s="439"/>
      <c r="F131" s="445"/>
      <c r="G131" s="445"/>
      <c r="H131" s="439"/>
      <c r="I131" s="445"/>
      <c r="J131" s="445"/>
      <c r="K131" s="439"/>
      <c r="L131" s="445"/>
      <c r="M131" s="445"/>
      <c r="N131" s="439"/>
    </row>
    <row r="132" spans="1:16" s="599" customFormat="1" x14ac:dyDescent="0.25">
      <c r="A132" s="1043" t="s">
        <v>737</v>
      </c>
      <c r="B132" s="1044" t="s">
        <v>78</v>
      </c>
      <c r="C132" s="345">
        <f>C133+C143</f>
        <v>228274561</v>
      </c>
      <c r="D132" s="345">
        <f>D133+D143</f>
        <v>229515721</v>
      </c>
      <c r="E132" s="467">
        <f>C132/D132*100</f>
        <v>99.459226586051599</v>
      </c>
      <c r="F132" s="345">
        <f>F133+F143</f>
        <v>30695937</v>
      </c>
      <c r="G132" s="345">
        <f>G133+G143</f>
        <v>27392328</v>
      </c>
      <c r="H132" s="467">
        <f>F132/G132*100</f>
        <v>112.06034404961855</v>
      </c>
      <c r="I132" s="345">
        <f>I133+I143</f>
        <v>224656262</v>
      </c>
      <c r="J132" s="345">
        <f>J133+J143</f>
        <v>216854041</v>
      </c>
      <c r="K132" s="467">
        <f>I132/J132*100</f>
        <v>103.59791358464932</v>
      </c>
      <c r="L132" s="345">
        <f>L133+L143</f>
        <v>180104965</v>
      </c>
      <c r="M132" s="345">
        <f>M133+M143</f>
        <v>176544403</v>
      </c>
      <c r="N132" s="467">
        <f>L132/M132*100</f>
        <v>102.01680820207027</v>
      </c>
    </row>
    <row r="133" spans="1:16" x14ac:dyDescent="0.25">
      <c r="A133" s="1033" t="s">
        <v>365</v>
      </c>
      <c r="B133" s="1034" t="s">
        <v>135</v>
      </c>
      <c r="C133" s="254">
        <f>SUM(C134:C141)</f>
        <v>117766871</v>
      </c>
      <c r="D133" s="254">
        <f>SUM(D134:D141)</f>
        <v>121716397</v>
      </c>
      <c r="E133" s="451">
        <f>C133/D133*100</f>
        <v>96.755140558424515</v>
      </c>
      <c r="F133" s="254">
        <f>SUM(F134:F141)</f>
        <v>15884888</v>
      </c>
      <c r="G133" s="254">
        <f>SUM(G134:G141)</f>
        <v>15354142</v>
      </c>
      <c r="H133" s="451">
        <f>F133/G133*100</f>
        <v>103.45669591957662</v>
      </c>
      <c r="I133" s="254">
        <f>SUM(I134:I141)</f>
        <v>112325942</v>
      </c>
      <c r="J133" s="254">
        <f>SUM(J134:J141)</f>
        <v>111833839</v>
      </c>
      <c r="K133" s="451">
        <f>I133/J133*100</f>
        <v>100.44003049917656</v>
      </c>
      <c r="L133" s="254">
        <f>SUM(L134:L141)</f>
        <v>76343597</v>
      </c>
      <c r="M133" s="254">
        <f>SUM(M134:M141)</f>
        <v>77047592</v>
      </c>
      <c r="N133" s="451">
        <f>L133/M133*100</f>
        <v>99.086285525964271</v>
      </c>
    </row>
    <row r="134" spans="1:16" ht="17.25" x14ac:dyDescent="0.25">
      <c r="A134" s="272">
        <v>1</v>
      </c>
      <c r="B134" s="544" t="s">
        <v>658</v>
      </c>
      <c r="C134" s="247">
        <v>82411647</v>
      </c>
      <c r="D134" s="247">
        <v>83064581</v>
      </c>
      <c r="E134" s="425">
        <f t="shared" ref="E134:E141" si="37">C134/D134*100</f>
        <v>99.213944147867309</v>
      </c>
      <c r="F134" s="247">
        <v>10921119</v>
      </c>
      <c r="G134" s="247">
        <v>10574058</v>
      </c>
      <c r="H134" s="425">
        <f t="shared" ref="H134:H141" si="38">F134/G134*100</f>
        <v>103.28219308046162</v>
      </c>
      <c r="I134" s="247">
        <v>81542848</v>
      </c>
      <c r="J134" s="247">
        <v>79044739</v>
      </c>
      <c r="K134" s="425">
        <f t="shared" ref="K134:K141" si="39">I134/J134*100</f>
        <v>103.16037351960894</v>
      </c>
      <c r="L134" s="247">
        <v>45599061</v>
      </c>
      <c r="M134" s="247">
        <v>44230702</v>
      </c>
      <c r="N134" s="425">
        <f t="shared" ref="N134:N141" si="40">L134/M134*100</f>
        <v>103.09368591979391</v>
      </c>
      <c r="O134" s="126">
        <v>3030</v>
      </c>
      <c r="P134" s="126">
        <v>145</v>
      </c>
    </row>
    <row r="135" spans="1:16" ht="17.25" x14ac:dyDescent="0.25">
      <c r="A135" s="272">
        <v>2</v>
      </c>
      <c r="B135" s="544" t="s">
        <v>659</v>
      </c>
      <c r="C135" s="247">
        <v>18038081</v>
      </c>
      <c r="D135" s="247">
        <v>17002082</v>
      </c>
      <c r="E135" s="425">
        <f t="shared" si="37"/>
        <v>106.09336550664794</v>
      </c>
      <c r="F135" s="247">
        <v>2283861</v>
      </c>
      <c r="G135" s="247">
        <v>2290396</v>
      </c>
      <c r="H135" s="425">
        <f t="shared" si="38"/>
        <v>99.714678160457836</v>
      </c>
      <c r="I135" s="247">
        <v>14775783</v>
      </c>
      <c r="J135" s="247">
        <v>13300941</v>
      </c>
      <c r="K135" s="425">
        <f t="shared" si="39"/>
        <v>111.08825307923702</v>
      </c>
      <c r="L135" s="247">
        <v>14775783</v>
      </c>
      <c r="M135" s="247">
        <v>13300941</v>
      </c>
      <c r="N135" s="425">
        <f t="shared" si="40"/>
        <v>111.08825307923702</v>
      </c>
      <c r="O135" s="126">
        <v>1019</v>
      </c>
      <c r="P135" s="126">
        <v>120</v>
      </c>
    </row>
    <row r="136" spans="1:16" ht="34.5" x14ac:dyDescent="0.25">
      <c r="A136" s="272">
        <v>3</v>
      </c>
      <c r="B136" s="544" t="s">
        <v>660</v>
      </c>
      <c r="C136" s="247">
        <v>10886797</v>
      </c>
      <c r="D136" s="247">
        <v>16034663</v>
      </c>
      <c r="E136" s="425">
        <f t="shared" si="37"/>
        <v>67.895390130743621</v>
      </c>
      <c r="F136" s="247">
        <v>1841228</v>
      </c>
      <c r="G136" s="247">
        <v>1744243</v>
      </c>
      <c r="H136" s="425">
        <f t="shared" si="38"/>
        <v>105.56029177127269</v>
      </c>
      <c r="I136" s="247">
        <v>10498451</v>
      </c>
      <c r="J136" s="247">
        <v>14078069</v>
      </c>
      <c r="K136" s="425">
        <f t="shared" si="39"/>
        <v>74.573089533798992</v>
      </c>
      <c r="L136" s="247">
        <v>10498451</v>
      </c>
      <c r="M136" s="247">
        <v>14078069</v>
      </c>
      <c r="N136" s="425">
        <f t="shared" si="40"/>
        <v>74.573089533798992</v>
      </c>
      <c r="O136" s="126">
        <v>1066</v>
      </c>
      <c r="P136" s="126">
        <v>306</v>
      </c>
    </row>
    <row r="137" spans="1:16" ht="17.25" x14ac:dyDescent="0.25">
      <c r="A137" s="272">
        <v>4</v>
      </c>
      <c r="B137" s="544" t="s">
        <v>661</v>
      </c>
      <c r="C137" s="247">
        <v>4347889</v>
      </c>
      <c r="D137" s="247">
        <v>3492216</v>
      </c>
      <c r="E137" s="425">
        <f t="shared" si="37"/>
        <v>124.50229309985407</v>
      </c>
      <c r="F137" s="247">
        <v>533578</v>
      </c>
      <c r="G137" s="247">
        <v>504247</v>
      </c>
      <c r="H137" s="425">
        <f t="shared" si="38"/>
        <v>105.81679216733069</v>
      </c>
      <c r="I137" s="247">
        <v>3971742</v>
      </c>
      <c r="J137" s="247">
        <v>3541774</v>
      </c>
      <c r="K137" s="425">
        <f t="shared" si="39"/>
        <v>112.13990503064284</v>
      </c>
      <c r="L137" s="247">
        <v>3971742</v>
      </c>
      <c r="M137" s="247">
        <v>3591774</v>
      </c>
      <c r="N137" s="425">
        <f t="shared" si="40"/>
        <v>110.5788393145003</v>
      </c>
      <c r="O137" s="126">
        <v>703</v>
      </c>
      <c r="P137" s="126">
        <v>166</v>
      </c>
    </row>
    <row r="138" spans="1:16" ht="17.25" x14ac:dyDescent="0.25">
      <c r="A138" s="272">
        <v>5</v>
      </c>
      <c r="B138" s="544" t="s">
        <v>662</v>
      </c>
      <c r="C138" s="247">
        <v>2043899</v>
      </c>
      <c r="D138" s="247">
        <v>2100945</v>
      </c>
      <c r="E138" s="425">
        <f t="shared" si="37"/>
        <v>97.284745673970519</v>
      </c>
      <c r="F138" s="247">
        <v>295645</v>
      </c>
      <c r="G138" s="247">
        <v>238782</v>
      </c>
      <c r="H138" s="425">
        <f t="shared" si="38"/>
        <v>123.81377155732008</v>
      </c>
      <c r="I138" s="247">
        <v>1498560</v>
      </c>
      <c r="J138" s="247">
        <v>1846406</v>
      </c>
      <c r="K138" s="425">
        <f t="shared" si="39"/>
        <v>81.160914771724094</v>
      </c>
      <c r="L138" s="247">
        <v>1498560</v>
      </c>
      <c r="M138" s="247">
        <v>1846106</v>
      </c>
      <c r="N138" s="425">
        <f t="shared" si="40"/>
        <v>81.174103762189162</v>
      </c>
      <c r="O138" s="126">
        <v>380</v>
      </c>
      <c r="P138" s="126">
        <v>189</v>
      </c>
    </row>
    <row r="139" spans="1:16" ht="17.25" x14ac:dyDescent="0.25">
      <c r="A139" s="272">
        <v>6</v>
      </c>
      <c r="B139" s="544" t="s">
        <v>663</v>
      </c>
      <c r="C139" s="247"/>
      <c r="D139" s="247"/>
      <c r="E139" s="425" t="e">
        <f t="shared" si="37"/>
        <v>#DIV/0!</v>
      </c>
      <c r="F139" s="247"/>
      <c r="G139" s="247"/>
      <c r="H139" s="425" t="e">
        <f t="shared" si="38"/>
        <v>#DIV/0!</v>
      </c>
      <c r="I139" s="247"/>
      <c r="J139" s="247"/>
      <c r="K139" s="425" t="e">
        <f t="shared" si="39"/>
        <v>#DIV/0!</v>
      </c>
      <c r="L139" s="247"/>
      <c r="M139" s="247"/>
      <c r="N139" s="425" t="e">
        <f t="shared" si="40"/>
        <v>#DIV/0!</v>
      </c>
    </row>
    <row r="140" spans="1:16" ht="17.25" x14ac:dyDescent="0.25">
      <c r="A140" s="272">
        <v>7</v>
      </c>
      <c r="B140" s="544" t="s">
        <v>664</v>
      </c>
      <c r="C140" s="247">
        <v>0</v>
      </c>
      <c r="D140" s="247">
        <v>0</v>
      </c>
      <c r="E140" s="425" t="e">
        <f t="shared" si="37"/>
        <v>#DIV/0!</v>
      </c>
      <c r="F140" s="247">
        <v>0</v>
      </c>
      <c r="G140" s="247">
        <v>0</v>
      </c>
      <c r="H140" s="425" t="e">
        <f t="shared" si="38"/>
        <v>#DIV/0!</v>
      </c>
      <c r="I140" s="247">
        <v>0</v>
      </c>
      <c r="J140" s="247">
        <v>0</v>
      </c>
      <c r="K140" s="425" t="e">
        <f t="shared" si="39"/>
        <v>#DIV/0!</v>
      </c>
      <c r="L140" s="247">
        <v>0</v>
      </c>
      <c r="M140" s="247">
        <v>0</v>
      </c>
      <c r="N140" s="425" t="e">
        <f t="shared" si="40"/>
        <v>#DIV/0!</v>
      </c>
    </row>
    <row r="141" spans="1:16" ht="17.25" x14ac:dyDescent="0.25">
      <c r="A141" s="272">
        <v>8</v>
      </c>
      <c r="B141" s="544" t="s">
        <v>665</v>
      </c>
      <c r="C141" s="247">
        <v>38558</v>
      </c>
      <c r="D141" s="247">
        <v>21910</v>
      </c>
      <c r="E141" s="425">
        <f t="shared" si="37"/>
        <v>175.98356914650844</v>
      </c>
      <c r="F141" s="247">
        <v>9457</v>
      </c>
      <c r="G141" s="247">
        <v>2416</v>
      </c>
      <c r="H141" s="425">
        <f t="shared" si="38"/>
        <v>391.43211920529802</v>
      </c>
      <c r="I141" s="247">
        <v>38558</v>
      </c>
      <c r="J141" s="247">
        <v>21910</v>
      </c>
      <c r="K141" s="425">
        <f t="shared" si="39"/>
        <v>175.98356914650844</v>
      </c>
      <c r="L141" s="247">
        <v>0</v>
      </c>
      <c r="M141" s="247">
        <v>0</v>
      </c>
      <c r="N141" s="425" t="e">
        <f t="shared" si="40"/>
        <v>#DIV/0!</v>
      </c>
      <c r="O141" s="126">
        <v>35</v>
      </c>
      <c r="P141" s="126">
        <v>95</v>
      </c>
    </row>
    <row r="142" spans="1:16" ht="9.75" customHeight="1" x14ac:dyDescent="0.25">
      <c r="B142" s="566"/>
    </row>
    <row r="143" spans="1:16" ht="17.25" x14ac:dyDescent="0.25">
      <c r="A143" s="492"/>
      <c r="B143" s="495" t="s">
        <v>15</v>
      </c>
      <c r="C143" s="254">
        <f>SUM(C144:C151)</f>
        <v>110507690</v>
      </c>
      <c r="D143" s="254">
        <f>SUM(D144:D151)</f>
        <v>107799324</v>
      </c>
      <c r="E143" s="451">
        <f>C143/D143*100</f>
        <v>102.51241464185806</v>
      </c>
      <c r="F143" s="254">
        <f>SUM(F144:F151)</f>
        <v>14811049</v>
      </c>
      <c r="G143" s="254">
        <f>SUM(G144:G151)</f>
        <v>12038186</v>
      </c>
      <c r="H143" s="451">
        <f>F143/G143*100</f>
        <v>123.03389397704936</v>
      </c>
      <c r="I143" s="254">
        <f>SUM(I144:I151)</f>
        <v>112330320</v>
      </c>
      <c r="J143" s="254">
        <f>SUM(J144:J151)</f>
        <v>105020202</v>
      </c>
      <c r="K143" s="451">
        <f>I143/J143*100</f>
        <v>106.96067790842756</v>
      </c>
      <c r="L143" s="254">
        <f>SUM(L144:L151)</f>
        <v>103761368</v>
      </c>
      <c r="M143" s="254">
        <f>SUM(M144:M151)</f>
        <v>99496811</v>
      </c>
      <c r="N143" s="451">
        <f>L143/M143*100</f>
        <v>104.2861243060343</v>
      </c>
    </row>
    <row r="144" spans="1:16" ht="17.25" x14ac:dyDescent="0.25">
      <c r="A144" s="272">
        <v>1</v>
      </c>
      <c r="B144" s="544" t="s">
        <v>666</v>
      </c>
      <c r="C144" s="247">
        <v>14933912</v>
      </c>
      <c r="D144" s="247">
        <v>13625870</v>
      </c>
      <c r="E144" s="425">
        <f t="shared" ref="E144:E151" si="41">C144/D144*100</f>
        <v>109.59969528551206</v>
      </c>
      <c r="F144" s="247">
        <v>2000896</v>
      </c>
      <c r="G144" s="247">
        <v>1478440</v>
      </c>
      <c r="H144" s="425">
        <f t="shared" ref="H144:H151" si="42">F144/G144*100</f>
        <v>135.33832959064961</v>
      </c>
      <c r="I144" s="247">
        <v>15910802</v>
      </c>
      <c r="J144" s="247">
        <v>13311352</v>
      </c>
      <c r="K144" s="425">
        <f t="shared" ref="K144:K151" si="43">I144/J144*100</f>
        <v>119.52806897451138</v>
      </c>
      <c r="L144" s="247">
        <v>15910802</v>
      </c>
      <c r="M144" s="247">
        <v>13311352</v>
      </c>
      <c r="N144" s="425">
        <f t="shared" ref="N144:N151" si="44">L144/M144*100</f>
        <v>119.52806897451138</v>
      </c>
      <c r="O144" s="126">
        <v>517</v>
      </c>
      <c r="P144" s="126">
        <v>150</v>
      </c>
    </row>
    <row r="145" spans="1:16" ht="34.5" x14ac:dyDescent="0.25">
      <c r="A145" s="272">
        <v>2</v>
      </c>
      <c r="B145" s="544" t="s">
        <v>667</v>
      </c>
      <c r="C145" s="247">
        <v>19579271</v>
      </c>
      <c r="D145" s="247">
        <v>25720102</v>
      </c>
      <c r="E145" s="425">
        <f t="shared" si="41"/>
        <v>76.124390953037434</v>
      </c>
      <c r="F145" s="247">
        <v>2374128</v>
      </c>
      <c r="G145" s="247">
        <v>2168541</v>
      </c>
      <c r="H145" s="425">
        <f t="shared" si="42"/>
        <v>109.48042946847674</v>
      </c>
      <c r="I145" s="247">
        <v>19882226</v>
      </c>
      <c r="J145" s="247">
        <v>25113976</v>
      </c>
      <c r="K145" s="425">
        <f t="shared" si="43"/>
        <v>79.167974039634345</v>
      </c>
      <c r="L145" s="247">
        <v>19847163</v>
      </c>
      <c r="M145" s="247">
        <v>25035392</v>
      </c>
      <c r="N145" s="425">
        <f t="shared" si="44"/>
        <v>79.276421954966793</v>
      </c>
      <c r="O145" s="126">
        <v>637</v>
      </c>
      <c r="P145" s="126">
        <v>176</v>
      </c>
    </row>
    <row r="146" spans="1:16" ht="17.25" x14ac:dyDescent="0.25">
      <c r="A146" s="272">
        <v>3</v>
      </c>
      <c r="B146" s="544" t="s">
        <v>668</v>
      </c>
      <c r="C146" s="247">
        <v>21889231</v>
      </c>
      <c r="D146" s="247">
        <v>20239289</v>
      </c>
      <c r="E146" s="425">
        <f t="shared" si="41"/>
        <v>108.15217372507502</v>
      </c>
      <c r="F146" s="247">
        <v>2914849</v>
      </c>
      <c r="G146" s="247">
        <v>2146830</v>
      </c>
      <c r="H146" s="425">
        <f t="shared" si="42"/>
        <v>135.77456063125632</v>
      </c>
      <c r="I146" s="247">
        <v>23202892</v>
      </c>
      <c r="J146" s="247">
        <v>19453247</v>
      </c>
      <c r="K146" s="425">
        <f t="shared" si="43"/>
        <v>119.27516265022493</v>
      </c>
      <c r="L146" s="247">
        <v>23202892</v>
      </c>
      <c r="M146" s="247">
        <v>19453247</v>
      </c>
      <c r="N146" s="425">
        <f t="shared" si="44"/>
        <v>119.27516265022493</v>
      </c>
      <c r="O146" s="126">
        <v>563</v>
      </c>
      <c r="P146" s="126">
        <v>180</v>
      </c>
    </row>
    <row r="147" spans="1:16" ht="17.25" x14ac:dyDescent="0.25">
      <c r="A147" s="272">
        <v>4</v>
      </c>
      <c r="B147" s="544" t="s">
        <v>669</v>
      </c>
      <c r="C147" s="247">
        <v>4053420</v>
      </c>
      <c r="D147" s="247">
        <v>3176988</v>
      </c>
      <c r="E147" s="425">
        <f t="shared" si="41"/>
        <v>127.58688418086565</v>
      </c>
      <c r="F147" s="247">
        <v>546821</v>
      </c>
      <c r="G147" s="247">
        <v>467105</v>
      </c>
      <c r="H147" s="425">
        <f t="shared" si="42"/>
        <v>117.06597017801137</v>
      </c>
      <c r="I147" s="247">
        <v>3748090</v>
      </c>
      <c r="J147" s="247">
        <v>3445865</v>
      </c>
      <c r="K147" s="425">
        <f t="shared" si="43"/>
        <v>108.77065700484494</v>
      </c>
      <c r="L147" s="247">
        <v>0</v>
      </c>
      <c r="M147" s="247">
        <v>0</v>
      </c>
      <c r="N147" s="425" t="e">
        <f t="shared" si="44"/>
        <v>#DIV/0!</v>
      </c>
      <c r="O147" s="126">
        <v>377</v>
      </c>
      <c r="P147" s="126">
        <v>58</v>
      </c>
    </row>
    <row r="148" spans="1:16" ht="34.5" x14ac:dyDescent="0.25">
      <c r="A148" s="272">
        <v>5</v>
      </c>
      <c r="B148" s="544" t="s">
        <v>670</v>
      </c>
      <c r="C148" s="247">
        <v>22565479</v>
      </c>
      <c r="D148" s="247">
        <v>20388644</v>
      </c>
      <c r="E148" s="425">
        <f t="shared" si="41"/>
        <v>110.67670316868548</v>
      </c>
      <c r="F148" s="247">
        <v>2896546</v>
      </c>
      <c r="G148" s="247">
        <v>2747786</v>
      </c>
      <c r="H148" s="425">
        <f t="shared" si="42"/>
        <v>105.41381315721092</v>
      </c>
      <c r="I148" s="247">
        <v>21227757</v>
      </c>
      <c r="J148" s="247">
        <v>19179205</v>
      </c>
      <c r="K148" s="425">
        <f t="shared" si="43"/>
        <v>110.68111008772262</v>
      </c>
      <c r="L148" s="247">
        <v>21227757</v>
      </c>
      <c r="M148" s="247">
        <v>19179205</v>
      </c>
      <c r="N148" s="425">
        <f t="shared" si="44"/>
        <v>110.68111008772262</v>
      </c>
      <c r="O148" s="126">
        <v>1009</v>
      </c>
      <c r="P148" s="126">
        <v>100</v>
      </c>
    </row>
    <row r="149" spans="1:16" ht="17.25" x14ac:dyDescent="0.25">
      <c r="A149" s="272">
        <v>6</v>
      </c>
      <c r="B149" s="544" t="s">
        <v>231</v>
      </c>
      <c r="C149" s="247">
        <v>22750502</v>
      </c>
      <c r="D149" s="247">
        <v>22354400</v>
      </c>
      <c r="E149" s="425">
        <f t="shared" si="41"/>
        <v>101.77191962208782</v>
      </c>
      <c r="F149" s="247">
        <v>3114534</v>
      </c>
      <c r="G149" s="247">
        <v>2749882</v>
      </c>
      <c r="H149" s="425">
        <f t="shared" si="42"/>
        <v>113.26064172935419</v>
      </c>
      <c r="I149" s="247">
        <v>23603239</v>
      </c>
      <c r="J149" s="247">
        <v>22545708</v>
      </c>
      <c r="K149" s="425">
        <f t="shared" si="43"/>
        <v>104.69060896202507</v>
      </c>
      <c r="L149" s="247">
        <v>23572754</v>
      </c>
      <c r="M149" s="247">
        <v>22517615</v>
      </c>
      <c r="N149" s="425">
        <f t="shared" si="44"/>
        <v>104.68583817602352</v>
      </c>
      <c r="O149" s="126">
        <v>638</v>
      </c>
      <c r="P149" s="126">
        <v>130</v>
      </c>
    </row>
    <row r="150" spans="1:16" ht="17.25" x14ac:dyDescent="0.25">
      <c r="A150" s="272">
        <v>7</v>
      </c>
      <c r="B150" s="544" t="s">
        <v>671</v>
      </c>
      <c r="C150" s="247">
        <v>2124405</v>
      </c>
      <c r="D150" s="247">
        <v>2294031</v>
      </c>
      <c r="E150" s="425">
        <f t="shared" si="41"/>
        <v>92.605766879349062</v>
      </c>
      <c r="F150" s="247">
        <v>331892</v>
      </c>
      <c r="G150" s="247">
        <v>279602</v>
      </c>
      <c r="H150" s="425">
        <f t="shared" si="42"/>
        <v>118.70158296435649</v>
      </c>
      <c r="I150" s="247">
        <v>2269508</v>
      </c>
      <c r="J150" s="247">
        <v>1970849</v>
      </c>
      <c r="K150" s="425">
        <f t="shared" si="43"/>
        <v>115.15382457002032</v>
      </c>
      <c r="L150" s="247">
        <v>0</v>
      </c>
      <c r="M150" s="247">
        <v>0</v>
      </c>
      <c r="N150" s="425" t="e">
        <f t="shared" si="44"/>
        <v>#DIV/0!</v>
      </c>
      <c r="O150" s="126">
        <v>30</v>
      </c>
      <c r="P150" s="126">
        <v>130</v>
      </c>
    </row>
    <row r="151" spans="1:16" ht="17.25" x14ac:dyDescent="0.25">
      <c r="A151" s="272">
        <v>8</v>
      </c>
      <c r="B151" s="544" t="s">
        <v>672</v>
      </c>
      <c r="C151" s="247">
        <v>2611470</v>
      </c>
      <c r="D151" s="247">
        <v>0</v>
      </c>
      <c r="E151" s="425" t="e">
        <f t="shared" si="41"/>
        <v>#DIV/0!</v>
      </c>
      <c r="F151" s="247">
        <v>631383</v>
      </c>
      <c r="G151" s="247">
        <v>0</v>
      </c>
      <c r="H151" s="425" t="e">
        <f t="shared" si="42"/>
        <v>#DIV/0!</v>
      </c>
      <c r="I151" s="247">
        <v>2485806</v>
      </c>
      <c r="J151" s="247">
        <v>0</v>
      </c>
      <c r="K151" s="425" t="e">
        <f t="shared" si="43"/>
        <v>#DIV/0!</v>
      </c>
      <c r="L151" s="247">
        <v>0</v>
      </c>
      <c r="M151" s="247">
        <v>0</v>
      </c>
      <c r="N151" s="425" t="e">
        <f t="shared" si="44"/>
        <v>#DIV/0!</v>
      </c>
      <c r="O151" s="126">
        <v>321</v>
      </c>
      <c r="P151" s="126">
        <v>175</v>
      </c>
    </row>
    <row r="153" spans="1:16" ht="33" x14ac:dyDescent="0.25">
      <c r="A153" s="494"/>
      <c r="B153" s="493" t="s">
        <v>544</v>
      </c>
      <c r="C153" s="469">
        <f>SUM(C154:C156)</f>
        <v>9223304</v>
      </c>
      <c r="D153" s="469">
        <f>SUM(D154:D156)</f>
        <v>9733644</v>
      </c>
      <c r="E153" s="470">
        <f>C153/D153*100</f>
        <v>94.756948168640648</v>
      </c>
      <c r="F153" s="469">
        <f>SUM(F154:F156)</f>
        <v>1259427</v>
      </c>
      <c r="G153" s="469">
        <f>SUM(G154:G156)</f>
        <v>1320346</v>
      </c>
      <c r="H153" s="470">
        <f>F153/G153*100</f>
        <v>95.386133634668496</v>
      </c>
      <c r="I153" s="469">
        <f>SUM(I154:I156)</f>
        <v>9322518</v>
      </c>
      <c r="J153" s="469">
        <f>SUM(J154:J156)</f>
        <v>9064708</v>
      </c>
      <c r="K153" s="470">
        <f>I153/J153*100</f>
        <v>102.84410705783354</v>
      </c>
      <c r="L153" s="469">
        <f>SUM(L154:L156)</f>
        <v>3894625</v>
      </c>
      <c r="M153" s="469">
        <f>SUM(M154:M156)</f>
        <v>4204561</v>
      </c>
      <c r="N153" s="470">
        <f>L153/M153*100</f>
        <v>92.628576443533589</v>
      </c>
    </row>
    <row r="154" spans="1:16" ht="17.25" x14ac:dyDescent="0.25">
      <c r="A154" s="272">
        <v>1</v>
      </c>
      <c r="B154" s="567" t="s">
        <v>673</v>
      </c>
      <c r="C154" s="247">
        <v>1542062</v>
      </c>
      <c r="D154" s="247">
        <v>1345125</v>
      </c>
      <c r="E154" s="425">
        <f>C154/D154*100</f>
        <v>114.64079546510548</v>
      </c>
      <c r="F154" s="247">
        <v>247215</v>
      </c>
      <c r="G154" s="247">
        <v>214226</v>
      </c>
      <c r="H154" s="425">
        <f>F154/G154*100</f>
        <v>115.39915789866777</v>
      </c>
      <c r="I154" s="247">
        <v>1513721</v>
      </c>
      <c r="J154" s="247">
        <v>1405593</v>
      </c>
      <c r="K154" s="425">
        <f>I154/J154*100</f>
        <v>107.69269624991018</v>
      </c>
      <c r="L154" s="247">
        <v>24037</v>
      </c>
      <c r="M154" s="247">
        <v>9660</v>
      </c>
      <c r="N154" s="425">
        <f>L154/M154*100</f>
        <v>248.83022774327122</v>
      </c>
      <c r="O154" s="126">
        <v>128</v>
      </c>
      <c r="P154" s="126">
        <v>145</v>
      </c>
    </row>
    <row r="155" spans="1:16" ht="17.25" x14ac:dyDescent="0.25">
      <c r="A155" s="272">
        <v>2</v>
      </c>
      <c r="B155" s="550" t="s">
        <v>674</v>
      </c>
      <c r="C155" s="247">
        <v>6343168</v>
      </c>
      <c r="D155" s="247">
        <v>6622621</v>
      </c>
      <c r="E155" s="425">
        <f t="shared" ref="E155:E156" si="45">C155/D155*100</f>
        <v>95.780326248474736</v>
      </c>
      <c r="F155" s="247">
        <v>1011855</v>
      </c>
      <c r="G155" s="247">
        <v>799498</v>
      </c>
      <c r="H155" s="425">
        <f t="shared" ref="H155:H156" si="46">F155/G155*100</f>
        <v>126.56129221086232</v>
      </c>
      <c r="I155" s="247">
        <v>6552881</v>
      </c>
      <c r="J155" s="247">
        <v>6056398</v>
      </c>
      <c r="K155" s="425">
        <f t="shared" ref="K155:K156" si="47">I155/J155*100</f>
        <v>108.19766138222752</v>
      </c>
      <c r="L155" s="247">
        <v>2895643</v>
      </c>
      <c r="M155" s="247">
        <v>2880263</v>
      </c>
      <c r="N155" s="425">
        <f t="shared" ref="N155:N156" si="48">L155/M155*100</f>
        <v>100.53397901511076</v>
      </c>
      <c r="O155" s="126">
        <v>632</v>
      </c>
      <c r="P155" s="126">
        <v>110</v>
      </c>
    </row>
    <row r="156" spans="1:16" ht="34.5" x14ac:dyDescent="0.25">
      <c r="A156" s="272">
        <v>3</v>
      </c>
      <c r="B156" s="549" t="s">
        <v>675</v>
      </c>
      <c r="C156" s="247">
        <v>1338074</v>
      </c>
      <c r="D156" s="247">
        <v>1765898</v>
      </c>
      <c r="E156" s="425">
        <f t="shared" si="45"/>
        <v>75.773006141917591</v>
      </c>
      <c r="F156" s="247">
        <v>357</v>
      </c>
      <c r="G156" s="247">
        <v>306622</v>
      </c>
      <c r="H156" s="425">
        <f t="shared" si="46"/>
        <v>0.11643000176112608</v>
      </c>
      <c r="I156" s="247">
        <v>1255916</v>
      </c>
      <c r="J156" s="247">
        <v>1602717</v>
      </c>
      <c r="K156" s="425">
        <f t="shared" si="47"/>
        <v>78.361682068637194</v>
      </c>
      <c r="L156" s="247">
        <v>974945</v>
      </c>
      <c r="M156" s="247">
        <v>1314638</v>
      </c>
      <c r="N156" s="425">
        <f t="shared" si="48"/>
        <v>74.160719528874111</v>
      </c>
      <c r="O156" s="126">
        <v>295</v>
      </c>
      <c r="P156" s="126">
        <v>193</v>
      </c>
    </row>
    <row r="157" spans="1:16" x14ac:dyDescent="0.25">
      <c r="A157" s="568"/>
      <c r="B157" s="569"/>
      <c r="C157" s="570"/>
      <c r="D157" s="54"/>
      <c r="E157" s="43"/>
      <c r="F157" s="54"/>
      <c r="G157" s="54"/>
      <c r="H157" s="425"/>
      <c r="I157" s="54"/>
      <c r="J157" s="54"/>
      <c r="K157" s="43"/>
      <c r="L157" s="54"/>
      <c r="M157" s="571"/>
      <c r="N157" s="343"/>
    </row>
    <row r="158" spans="1:16" ht="17.25" x14ac:dyDescent="0.25">
      <c r="A158" s="1043" t="s">
        <v>735</v>
      </c>
      <c r="B158" s="1044"/>
      <c r="C158" s="345">
        <f>C159+C188+C194</f>
        <v>172292729</v>
      </c>
      <c r="D158" s="345">
        <f>D159+D188+D194</f>
        <v>143890032</v>
      </c>
      <c r="E158" s="467">
        <f>C158/D158*100</f>
        <v>119.73916928449914</v>
      </c>
      <c r="F158" s="345">
        <f>F159+F188+F194</f>
        <v>18060074</v>
      </c>
      <c r="G158" s="345">
        <f>G159+G188+G194</f>
        <v>21621498</v>
      </c>
      <c r="H158" s="467">
        <f>F158/G158*100</f>
        <v>83.528319823168587</v>
      </c>
      <c r="I158" s="345">
        <f>I159+I188+I194</f>
        <v>171753654</v>
      </c>
      <c r="J158" s="345">
        <f>J159+J188+J194</f>
        <v>138672776</v>
      </c>
      <c r="K158" s="467">
        <f>I158/J158*100</f>
        <v>123.85535139211463</v>
      </c>
      <c r="L158" s="345">
        <f>L159+L188+L194</f>
        <v>71707509</v>
      </c>
      <c r="M158" s="345">
        <f>M159+M188+M194</f>
        <v>62273142</v>
      </c>
      <c r="N158" s="467">
        <f>L158/M158*100</f>
        <v>115.14997749752212</v>
      </c>
    </row>
    <row r="159" spans="1:16" ht="17.25" x14ac:dyDescent="0.25">
      <c r="A159" s="1062" t="s">
        <v>736</v>
      </c>
      <c r="B159" s="1063" t="s">
        <v>119</v>
      </c>
      <c r="C159" s="254">
        <f>SUM(C160:C186)</f>
        <v>56739734</v>
      </c>
      <c r="D159" s="254">
        <f>SUM(D160:D186)</f>
        <v>50762602</v>
      </c>
      <c r="E159" s="451">
        <f>C159/D159*100</f>
        <v>111.77467616809713</v>
      </c>
      <c r="F159" s="254">
        <f>SUM(F160:F186)</f>
        <v>6744975</v>
      </c>
      <c r="G159" s="254">
        <f>SUM(G160:G186)</f>
        <v>8719413</v>
      </c>
      <c r="H159" s="451">
        <f>F159/G159*100</f>
        <v>77.355838059282206</v>
      </c>
      <c r="I159" s="254">
        <f>SUM(I160:I186)</f>
        <v>55291291</v>
      </c>
      <c r="J159" s="254">
        <f>SUM(J160:J186)</f>
        <v>49155535</v>
      </c>
      <c r="K159" s="451">
        <f>I159/J159*100</f>
        <v>112.48232981290917</v>
      </c>
      <c r="L159" s="254">
        <f>SUM(L160:L186)</f>
        <v>37376590</v>
      </c>
      <c r="M159" s="254">
        <f>SUM(M160:M186)</f>
        <v>37855548</v>
      </c>
      <c r="N159" s="451">
        <f>L159/M159*100</f>
        <v>98.734774622731663</v>
      </c>
    </row>
    <row r="160" spans="1:16" ht="34.5" x14ac:dyDescent="0.25">
      <c r="A160" s="7">
        <v>1</v>
      </c>
      <c r="B160" s="545" t="s">
        <v>676</v>
      </c>
      <c r="C160" s="247">
        <v>14196680</v>
      </c>
      <c r="D160" s="247">
        <v>15453585</v>
      </c>
      <c r="E160" s="425">
        <f t="shared" ref="E160:E186" si="49">C160/D160*100</f>
        <v>91.866579825975663</v>
      </c>
      <c r="F160" s="247">
        <v>673827</v>
      </c>
      <c r="G160" s="247">
        <v>1463048</v>
      </c>
      <c r="H160" s="425">
        <f t="shared" ref="H160:H186" si="50">F160/G160*100</f>
        <v>46.056383659319451</v>
      </c>
      <c r="I160" s="247">
        <v>13672366</v>
      </c>
      <c r="J160" s="247">
        <v>14430668</v>
      </c>
      <c r="K160" s="425">
        <f t="shared" ref="K160:K186" si="51">I160/J160*100</f>
        <v>94.745205142270621</v>
      </c>
      <c r="L160" s="247">
        <v>11717377</v>
      </c>
      <c r="M160" s="247">
        <v>12788185</v>
      </c>
      <c r="N160" s="425">
        <f t="shared" ref="N160:N186" si="52">L160/M160*100</f>
        <v>91.626583444014926</v>
      </c>
      <c r="O160" s="126">
        <v>272</v>
      </c>
      <c r="P160" s="126">
        <v>190</v>
      </c>
    </row>
    <row r="161" spans="1:16" ht="17.25" x14ac:dyDescent="0.25">
      <c r="A161" s="7">
        <v>2</v>
      </c>
      <c r="B161" s="572" t="s">
        <v>677</v>
      </c>
      <c r="C161" s="247">
        <v>1653384</v>
      </c>
      <c r="D161" s="247">
        <v>2690651</v>
      </c>
      <c r="E161" s="425">
        <f t="shared" si="49"/>
        <v>61.449218051690835</v>
      </c>
      <c r="F161" s="247">
        <v>91637</v>
      </c>
      <c r="G161" s="247">
        <v>1073827</v>
      </c>
      <c r="H161" s="425">
        <f t="shared" si="50"/>
        <v>8.5336837311783</v>
      </c>
      <c r="I161" s="247">
        <v>1613980</v>
      </c>
      <c r="J161" s="247">
        <v>2707683</v>
      </c>
      <c r="K161" s="425">
        <f t="shared" si="51"/>
        <v>59.607420809599944</v>
      </c>
      <c r="L161" s="247">
        <v>1207268</v>
      </c>
      <c r="M161" s="247">
        <v>2241497</v>
      </c>
      <c r="N161" s="425">
        <f t="shared" si="52"/>
        <v>53.859898094889267</v>
      </c>
      <c r="O161" s="126">
        <v>132</v>
      </c>
      <c r="P161" s="126">
        <v>152</v>
      </c>
    </row>
    <row r="162" spans="1:16" ht="17.25" x14ac:dyDescent="0.25">
      <c r="A162" s="7">
        <v>3</v>
      </c>
      <c r="B162" s="572" t="s">
        <v>678</v>
      </c>
      <c r="C162" s="247">
        <v>356928</v>
      </c>
      <c r="D162" s="247">
        <v>659284</v>
      </c>
      <c r="E162" s="425">
        <f t="shared" si="49"/>
        <v>54.138732321730842</v>
      </c>
      <c r="F162" s="247">
        <v>21748</v>
      </c>
      <c r="G162" s="247">
        <v>24514</v>
      </c>
      <c r="H162" s="425">
        <f t="shared" si="50"/>
        <v>88.716651709227378</v>
      </c>
      <c r="I162" s="247">
        <v>440612</v>
      </c>
      <c r="J162" s="247">
        <v>723670</v>
      </c>
      <c r="K162" s="425">
        <f t="shared" si="51"/>
        <v>60.885762847706829</v>
      </c>
      <c r="L162" s="247">
        <v>375897</v>
      </c>
      <c r="M162" s="247">
        <v>654950</v>
      </c>
      <c r="N162" s="425">
        <f t="shared" si="52"/>
        <v>57.393236124895033</v>
      </c>
      <c r="O162" s="126">
        <v>63</v>
      </c>
      <c r="P162" s="126">
        <v>146</v>
      </c>
    </row>
    <row r="163" spans="1:16" ht="17.25" x14ac:dyDescent="0.2">
      <c r="A163" s="7">
        <v>4</v>
      </c>
      <c r="B163" s="572" t="s">
        <v>679</v>
      </c>
      <c r="C163" s="247">
        <v>911307</v>
      </c>
      <c r="D163" s="256">
        <v>510954</v>
      </c>
      <c r="E163" s="425">
        <f t="shared" si="49"/>
        <v>178.35402012705646</v>
      </c>
      <c r="F163" s="247">
        <v>135194</v>
      </c>
      <c r="G163" s="256">
        <v>264487</v>
      </c>
      <c r="H163" s="425">
        <f t="shared" si="50"/>
        <v>51.115555774007795</v>
      </c>
      <c r="I163" s="247">
        <v>1302684</v>
      </c>
      <c r="J163" s="256">
        <v>682510</v>
      </c>
      <c r="K163" s="425">
        <f t="shared" si="51"/>
        <v>190.86665396844003</v>
      </c>
      <c r="L163" s="247">
        <v>768800</v>
      </c>
      <c r="M163" s="256">
        <v>644891</v>
      </c>
      <c r="N163" s="425">
        <f t="shared" si="52"/>
        <v>119.21394468212458</v>
      </c>
      <c r="O163" s="126">
        <v>214</v>
      </c>
      <c r="P163" s="126">
        <v>127</v>
      </c>
    </row>
    <row r="164" spans="1:16" ht="37.5" customHeight="1" x14ac:dyDescent="0.25">
      <c r="A164" s="7">
        <v>5</v>
      </c>
      <c r="B164" s="545" t="s">
        <v>680</v>
      </c>
      <c r="C164" s="247">
        <v>3735779</v>
      </c>
      <c r="D164" s="247">
        <v>6953684</v>
      </c>
      <c r="E164" s="425">
        <f t="shared" si="49"/>
        <v>53.723738380979057</v>
      </c>
      <c r="F164" s="247">
        <v>833078</v>
      </c>
      <c r="G164" s="247">
        <v>1124162</v>
      </c>
      <c r="H164" s="425">
        <f t="shared" si="50"/>
        <v>74.106578945027508</v>
      </c>
      <c r="I164" s="247">
        <v>3509910</v>
      </c>
      <c r="J164" s="247">
        <v>6438987</v>
      </c>
      <c r="K164" s="425">
        <f t="shared" si="51"/>
        <v>54.510282440390078</v>
      </c>
      <c r="L164" s="247">
        <v>3509910</v>
      </c>
      <c r="M164" s="247">
        <v>6438987</v>
      </c>
      <c r="N164" s="425">
        <f t="shared" si="52"/>
        <v>54.510282440390078</v>
      </c>
      <c r="O164" s="126">
        <v>291</v>
      </c>
      <c r="P164" s="126">
        <v>190</v>
      </c>
    </row>
    <row r="165" spans="1:16" ht="34.5" x14ac:dyDescent="0.25">
      <c r="A165" s="7">
        <v>6</v>
      </c>
      <c r="B165" s="545" t="s">
        <v>681</v>
      </c>
      <c r="C165" s="247">
        <v>5470806</v>
      </c>
      <c r="D165" s="247">
        <v>4749664</v>
      </c>
      <c r="E165" s="425">
        <f t="shared" si="49"/>
        <v>115.18301084034577</v>
      </c>
      <c r="F165" s="247">
        <v>685475</v>
      </c>
      <c r="G165" s="247">
        <v>792026</v>
      </c>
      <c r="H165" s="425">
        <f t="shared" si="50"/>
        <v>86.547032546911339</v>
      </c>
      <c r="I165" s="247">
        <v>5251505</v>
      </c>
      <c r="J165" s="247">
        <v>4749664</v>
      </c>
      <c r="K165" s="425">
        <f t="shared" si="51"/>
        <v>110.56582107702778</v>
      </c>
      <c r="L165" s="247">
        <v>4057109</v>
      </c>
      <c r="M165" s="247">
        <v>3722652</v>
      </c>
      <c r="N165" s="425">
        <f t="shared" si="52"/>
        <v>108.98437458027234</v>
      </c>
      <c r="O165" s="126">
        <v>257</v>
      </c>
      <c r="P165" s="126">
        <v>100</v>
      </c>
    </row>
    <row r="166" spans="1:16" ht="17.25" x14ac:dyDescent="0.25">
      <c r="A166" s="7">
        <v>7</v>
      </c>
      <c r="B166" s="572" t="s">
        <v>233</v>
      </c>
      <c r="C166" s="247">
        <v>2377125</v>
      </c>
      <c r="D166" s="247">
        <v>296949</v>
      </c>
      <c r="E166" s="425">
        <f t="shared" si="49"/>
        <v>800.51625026519696</v>
      </c>
      <c r="F166" s="247">
        <v>280988</v>
      </c>
      <c r="G166" s="247">
        <v>184652</v>
      </c>
      <c r="H166" s="425">
        <f t="shared" si="50"/>
        <v>152.17165262222991</v>
      </c>
      <c r="I166" s="247">
        <v>2891356</v>
      </c>
      <c r="J166" s="247">
        <v>384302</v>
      </c>
      <c r="K166" s="425">
        <f t="shared" si="51"/>
        <v>752.36558748067932</v>
      </c>
      <c r="L166" s="247">
        <v>1449123</v>
      </c>
      <c r="M166" s="247">
        <v>322779</v>
      </c>
      <c r="N166" s="425">
        <f t="shared" si="52"/>
        <v>448.95206937254278</v>
      </c>
      <c r="O166" s="126">
        <v>226</v>
      </c>
      <c r="P166" s="127">
        <v>93</v>
      </c>
    </row>
    <row r="167" spans="1:16" s="573" customFormat="1" ht="17.25" x14ac:dyDescent="0.25">
      <c r="A167" s="7">
        <v>8</v>
      </c>
      <c r="B167" s="546" t="s">
        <v>682</v>
      </c>
      <c r="C167" s="247">
        <v>2543160</v>
      </c>
      <c r="D167" s="247">
        <v>1564337</v>
      </c>
      <c r="E167" s="425">
        <f t="shared" si="49"/>
        <v>162.57110839927714</v>
      </c>
      <c r="F167" s="247">
        <v>406585</v>
      </c>
      <c r="G167" s="247">
        <v>533450</v>
      </c>
      <c r="H167" s="425">
        <f t="shared" si="50"/>
        <v>76.218014809260467</v>
      </c>
      <c r="I167" s="247">
        <v>2510989</v>
      </c>
      <c r="J167" s="247">
        <v>1567678</v>
      </c>
      <c r="K167" s="425">
        <f t="shared" si="51"/>
        <v>160.17249715821745</v>
      </c>
      <c r="L167" s="247">
        <v>6898</v>
      </c>
      <c r="M167" s="247">
        <v>16014</v>
      </c>
      <c r="N167" s="425">
        <f t="shared" si="52"/>
        <v>43.074809541651057</v>
      </c>
      <c r="O167" s="573">
        <v>274</v>
      </c>
      <c r="P167" s="574">
        <v>85</v>
      </c>
    </row>
    <row r="168" spans="1:16" s="573" customFormat="1" ht="36.75" customHeight="1" x14ac:dyDescent="0.25">
      <c r="A168" s="7">
        <v>9</v>
      </c>
      <c r="B168" s="547" t="s">
        <v>683</v>
      </c>
      <c r="C168" s="247">
        <v>8834200</v>
      </c>
      <c r="D168" s="247">
        <v>7073135</v>
      </c>
      <c r="E168" s="425">
        <f t="shared" si="49"/>
        <v>124.89794129477241</v>
      </c>
      <c r="F168" s="247">
        <v>1076069</v>
      </c>
      <c r="G168" s="247">
        <v>854405</v>
      </c>
      <c r="H168" s="425">
        <f t="shared" si="50"/>
        <v>125.94366840081695</v>
      </c>
      <c r="I168" s="247">
        <v>8834200</v>
      </c>
      <c r="J168" s="247">
        <v>7073135</v>
      </c>
      <c r="K168" s="425">
        <f t="shared" si="51"/>
        <v>124.89794129477241</v>
      </c>
      <c r="L168" s="247">
        <v>8834200</v>
      </c>
      <c r="M168" s="247">
        <v>6983570</v>
      </c>
      <c r="N168" s="425">
        <f t="shared" si="52"/>
        <v>126.49977017485325</v>
      </c>
      <c r="O168" s="573">
        <v>83</v>
      </c>
      <c r="P168" s="574">
        <v>235</v>
      </c>
    </row>
    <row r="169" spans="1:16" s="573" customFormat="1" ht="38.25" customHeight="1" x14ac:dyDescent="0.25">
      <c r="A169" s="7">
        <v>10</v>
      </c>
      <c r="B169" s="547" t="s">
        <v>539</v>
      </c>
      <c r="C169" s="247">
        <v>541415</v>
      </c>
      <c r="D169" s="247">
        <v>851323</v>
      </c>
      <c r="E169" s="425">
        <f t="shared" si="49"/>
        <v>63.596895655350551</v>
      </c>
      <c r="F169" s="247">
        <v>72970</v>
      </c>
      <c r="G169" s="247">
        <v>156076</v>
      </c>
      <c r="H169" s="425">
        <f t="shared" si="50"/>
        <v>46.752863989338529</v>
      </c>
      <c r="I169" s="247">
        <v>553253</v>
      </c>
      <c r="J169" s="247">
        <v>843294</v>
      </c>
      <c r="K169" s="425">
        <f t="shared" si="51"/>
        <v>65.606182422737504</v>
      </c>
      <c r="L169" s="247">
        <v>285498</v>
      </c>
      <c r="M169" s="247">
        <v>553214</v>
      </c>
      <c r="N169" s="425">
        <f t="shared" si="52"/>
        <v>51.60715383197099</v>
      </c>
      <c r="O169" s="573">
        <v>202</v>
      </c>
      <c r="P169" s="574"/>
    </row>
    <row r="170" spans="1:16" s="575" customFormat="1" ht="34.5" x14ac:dyDescent="0.25">
      <c r="A170" s="7">
        <v>11</v>
      </c>
      <c r="B170" s="547" t="s">
        <v>684</v>
      </c>
      <c r="C170" s="247">
        <v>40607</v>
      </c>
      <c r="D170" s="247">
        <v>48159</v>
      </c>
      <c r="E170" s="425">
        <f t="shared" si="49"/>
        <v>84.318611266845238</v>
      </c>
      <c r="F170" s="247">
        <v>2314</v>
      </c>
      <c r="G170" s="247">
        <v>2591</v>
      </c>
      <c r="H170" s="425">
        <f t="shared" si="50"/>
        <v>89.30914704747201</v>
      </c>
      <c r="I170" s="247">
        <v>40607</v>
      </c>
      <c r="J170" s="247">
        <v>48159</v>
      </c>
      <c r="K170" s="425">
        <f t="shared" si="51"/>
        <v>84.318611266845238</v>
      </c>
      <c r="L170" s="247">
        <v>13668</v>
      </c>
      <c r="M170" s="247">
        <v>25597</v>
      </c>
      <c r="N170" s="425">
        <f t="shared" si="52"/>
        <v>53.396882447161772</v>
      </c>
      <c r="O170" s="575">
        <v>9</v>
      </c>
      <c r="P170" s="574">
        <v>70</v>
      </c>
    </row>
    <row r="171" spans="1:16" s="573" customFormat="1" ht="17.25" x14ac:dyDescent="0.25">
      <c r="A171" s="7">
        <v>12</v>
      </c>
      <c r="B171" s="546" t="s">
        <v>301</v>
      </c>
      <c r="C171" s="247">
        <v>3586719</v>
      </c>
      <c r="D171" s="247">
        <v>2875784</v>
      </c>
      <c r="E171" s="425">
        <f t="shared" si="49"/>
        <v>124.72143248588907</v>
      </c>
      <c r="F171" s="247">
        <v>617791</v>
      </c>
      <c r="G171" s="247">
        <v>635202</v>
      </c>
      <c r="H171" s="425">
        <f t="shared" si="50"/>
        <v>97.258982182046026</v>
      </c>
      <c r="I171" s="247">
        <v>3488835</v>
      </c>
      <c r="J171" s="247">
        <v>2851761</v>
      </c>
      <c r="K171" s="425">
        <f t="shared" si="51"/>
        <v>122.33967011962082</v>
      </c>
      <c r="L171" s="247">
        <v>416339</v>
      </c>
      <c r="M171" s="247">
        <v>641573</v>
      </c>
      <c r="N171" s="425">
        <f t="shared" si="52"/>
        <v>64.893472761478435</v>
      </c>
      <c r="O171" s="573">
        <v>658</v>
      </c>
      <c r="P171" s="574"/>
    </row>
    <row r="172" spans="1:16" s="573" customFormat="1" ht="34.5" x14ac:dyDescent="0.25">
      <c r="A172" s="7">
        <v>13</v>
      </c>
      <c r="B172" s="547" t="s">
        <v>750</v>
      </c>
      <c r="C172" s="247">
        <v>71894</v>
      </c>
      <c r="D172" s="247">
        <v>11683</v>
      </c>
      <c r="E172" s="425">
        <f t="shared" si="49"/>
        <v>615.37276384490292</v>
      </c>
      <c r="F172" s="247">
        <v>1470</v>
      </c>
      <c r="G172" s="247">
        <v>11683</v>
      </c>
      <c r="H172" s="425">
        <f t="shared" si="50"/>
        <v>12.582384661473936</v>
      </c>
      <c r="I172" s="247">
        <v>71894</v>
      </c>
      <c r="J172" s="247">
        <v>11683</v>
      </c>
      <c r="K172" s="425">
        <f t="shared" si="51"/>
        <v>615.37276384490292</v>
      </c>
      <c r="L172" s="247">
        <v>56363</v>
      </c>
      <c r="M172" s="247">
        <v>11683</v>
      </c>
      <c r="N172" s="425">
        <f t="shared" si="52"/>
        <v>482.43601814602408</v>
      </c>
      <c r="P172" s="574"/>
    </row>
    <row r="173" spans="1:16" s="573" customFormat="1" ht="17.25" x14ac:dyDescent="0.25">
      <c r="A173" s="7">
        <v>14</v>
      </c>
      <c r="B173" s="546" t="s">
        <v>237</v>
      </c>
      <c r="C173" s="247">
        <v>963465</v>
      </c>
      <c r="D173" s="247">
        <v>245958</v>
      </c>
      <c r="E173" s="425">
        <f t="shared" si="49"/>
        <v>391.71931793232989</v>
      </c>
      <c r="F173" s="247">
        <v>79363</v>
      </c>
      <c r="G173" s="247">
        <v>71003</v>
      </c>
      <c r="H173" s="425">
        <f t="shared" si="50"/>
        <v>111.77415038801178</v>
      </c>
      <c r="I173" s="247">
        <v>963465</v>
      </c>
      <c r="J173" s="247">
        <v>245958</v>
      </c>
      <c r="K173" s="425">
        <f t="shared" si="51"/>
        <v>391.71931793232989</v>
      </c>
      <c r="L173" s="247">
        <v>898436</v>
      </c>
      <c r="M173" s="247">
        <v>158598</v>
      </c>
      <c r="N173" s="425">
        <f t="shared" si="52"/>
        <v>566.48633652378976</v>
      </c>
      <c r="O173" s="573">
        <v>32</v>
      </c>
      <c r="P173" s="574">
        <v>110</v>
      </c>
    </row>
    <row r="174" spans="1:16" s="573" customFormat="1" ht="17.25" x14ac:dyDescent="0.25">
      <c r="A174" s="7">
        <v>15</v>
      </c>
      <c r="B174" s="546" t="s">
        <v>229</v>
      </c>
      <c r="C174" s="247">
        <v>4658167</v>
      </c>
      <c r="D174" s="247">
        <v>2016784</v>
      </c>
      <c r="E174" s="425">
        <f t="shared" si="49"/>
        <v>230.97004934588932</v>
      </c>
      <c r="F174" s="247">
        <v>608801</v>
      </c>
      <c r="G174" s="247">
        <v>490703</v>
      </c>
      <c r="H174" s="425">
        <f t="shared" si="50"/>
        <v>124.06710372669416</v>
      </c>
      <c r="I174" s="247">
        <v>4491710</v>
      </c>
      <c r="J174" s="247">
        <v>2301919</v>
      </c>
      <c r="K174" s="425">
        <f t="shared" si="51"/>
        <v>195.12893372877153</v>
      </c>
      <c r="L174" s="247">
        <v>1309329</v>
      </c>
      <c r="M174" s="247">
        <v>679952</v>
      </c>
      <c r="N174" s="425">
        <f t="shared" si="52"/>
        <v>192.56197496293856</v>
      </c>
      <c r="O174" s="573">
        <v>346</v>
      </c>
      <c r="P174" s="574">
        <v>115</v>
      </c>
    </row>
    <row r="175" spans="1:16" ht="36.75" customHeight="1" x14ac:dyDescent="0.25">
      <c r="A175" s="7">
        <v>16</v>
      </c>
      <c r="B175" s="545" t="s">
        <v>230</v>
      </c>
      <c r="C175" s="247">
        <v>1530324</v>
      </c>
      <c r="D175" s="247">
        <v>1142121</v>
      </c>
      <c r="E175" s="425">
        <f t="shared" si="49"/>
        <v>133.98965608722719</v>
      </c>
      <c r="F175" s="247">
        <v>328400</v>
      </c>
      <c r="G175" s="247">
        <v>274011</v>
      </c>
      <c r="H175" s="425">
        <f t="shared" si="50"/>
        <v>119.84920313418075</v>
      </c>
      <c r="I175" s="247">
        <v>1486521</v>
      </c>
      <c r="J175" s="247">
        <v>1075336</v>
      </c>
      <c r="K175" s="425">
        <f t="shared" si="51"/>
        <v>138.23781590126251</v>
      </c>
      <c r="L175" s="247">
        <v>5218</v>
      </c>
      <c r="M175" s="247">
        <v>7217</v>
      </c>
      <c r="N175" s="425">
        <f t="shared" si="52"/>
        <v>72.301510322848827</v>
      </c>
      <c r="O175" s="573">
        <v>50</v>
      </c>
      <c r="P175" s="576">
        <v>85</v>
      </c>
    </row>
    <row r="176" spans="1:16" ht="27" customHeight="1" x14ac:dyDescent="0.25">
      <c r="A176" s="7">
        <v>17</v>
      </c>
      <c r="B176" s="572" t="s">
        <v>298</v>
      </c>
      <c r="C176" s="247">
        <v>107421</v>
      </c>
      <c r="D176" s="247">
        <v>80255</v>
      </c>
      <c r="E176" s="425">
        <f t="shared" si="49"/>
        <v>133.84960438601956</v>
      </c>
      <c r="F176" s="247">
        <v>32706</v>
      </c>
      <c r="G176" s="247">
        <v>7075</v>
      </c>
      <c r="H176" s="425">
        <f t="shared" si="50"/>
        <v>462.27561837455829</v>
      </c>
      <c r="I176" s="247">
        <v>107421</v>
      </c>
      <c r="J176" s="247">
        <v>80255</v>
      </c>
      <c r="K176" s="425">
        <f t="shared" si="51"/>
        <v>133.84960438601956</v>
      </c>
      <c r="L176" s="247">
        <v>65143</v>
      </c>
      <c r="M176" s="247">
        <v>59029</v>
      </c>
      <c r="N176" s="425">
        <f t="shared" si="52"/>
        <v>110.35762083043927</v>
      </c>
      <c r="O176" s="126">
        <v>10</v>
      </c>
      <c r="P176" s="576">
        <v>80</v>
      </c>
    </row>
    <row r="177" spans="1:16" ht="34.5" x14ac:dyDescent="0.25">
      <c r="A177" s="7">
        <v>18</v>
      </c>
      <c r="B177" s="545" t="s">
        <v>239</v>
      </c>
      <c r="C177" s="247">
        <v>2073139</v>
      </c>
      <c r="D177" s="247">
        <v>981615</v>
      </c>
      <c r="E177" s="425">
        <f t="shared" si="49"/>
        <v>211.19675229086758</v>
      </c>
      <c r="F177" s="247">
        <v>376483</v>
      </c>
      <c r="G177" s="247">
        <v>278695</v>
      </c>
      <c r="H177" s="425">
        <f t="shared" si="50"/>
        <v>135.08782001829957</v>
      </c>
      <c r="I177" s="247">
        <v>1992939</v>
      </c>
      <c r="J177" s="247">
        <v>1025195</v>
      </c>
      <c r="K177" s="425">
        <f t="shared" si="51"/>
        <v>194.39609049985614</v>
      </c>
      <c r="L177" s="247">
        <v>192267</v>
      </c>
      <c r="M177" s="247">
        <v>221942</v>
      </c>
      <c r="N177" s="425">
        <f t="shared" si="52"/>
        <v>86.62938966036171</v>
      </c>
      <c r="O177" s="126">
        <v>321</v>
      </c>
      <c r="P177" s="127"/>
    </row>
    <row r="178" spans="1:16" ht="17.25" x14ac:dyDescent="0.25">
      <c r="A178" s="7">
        <v>19</v>
      </c>
      <c r="B178" s="545" t="s">
        <v>751</v>
      </c>
      <c r="C178" s="247">
        <v>219543</v>
      </c>
      <c r="D178" s="247">
        <v>45174</v>
      </c>
      <c r="E178" s="425">
        <f t="shared" si="49"/>
        <v>485.99415593040243</v>
      </c>
      <c r="F178" s="247">
        <v>50287</v>
      </c>
      <c r="G178" s="247">
        <v>10400</v>
      </c>
      <c r="H178" s="425">
        <f t="shared" si="50"/>
        <v>483.52884615384619</v>
      </c>
      <c r="I178" s="247">
        <v>21274</v>
      </c>
      <c r="J178" s="247">
        <v>45174</v>
      </c>
      <c r="K178" s="425">
        <f t="shared" si="51"/>
        <v>47.093460840306371</v>
      </c>
      <c r="L178" s="247">
        <v>175643</v>
      </c>
      <c r="M178" s="247">
        <v>0</v>
      </c>
      <c r="N178" s="425" t="e">
        <f t="shared" si="52"/>
        <v>#DIV/0!</v>
      </c>
      <c r="O178" s="126">
        <v>7</v>
      </c>
      <c r="P178" s="127">
        <v>87</v>
      </c>
    </row>
    <row r="179" spans="1:16" ht="34.5" x14ac:dyDescent="0.25">
      <c r="A179" s="7">
        <v>20</v>
      </c>
      <c r="B179" s="548" t="s">
        <v>548</v>
      </c>
      <c r="C179" s="247"/>
      <c r="D179" s="247"/>
      <c r="E179" s="425" t="e">
        <f t="shared" si="49"/>
        <v>#DIV/0!</v>
      </c>
      <c r="F179" s="247"/>
      <c r="G179" s="247"/>
      <c r="H179" s="425" t="e">
        <f t="shared" si="50"/>
        <v>#DIV/0!</v>
      </c>
      <c r="I179" s="247"/>
      <c r="J179" s="247"/>
      <c r="K179" s="425" t="e">
        <f t="shared" si="51"/>
        <v>#DIV/0!</v>
      </c>
      <c r="L179" s="247"/>
      <c r="M179" s="247"/>
      <c r="N179" s="425" t="e">
        <f t="shared" si="52"/>
        <v>#DIV/0!</v>
      </c>
      <c r="P179" s="127"/>
    </row>
    <row r="180" spans="1:16" ht="34.5" x14ac:dyDescent="0.25">
      <c r="A180" s="7">
        <v>21</v>
      </c>
      <c r="B180" s="548" t="s">
        <v>552</v>
      </c>
      <c r="C180" s="247"/>
      <c r="D180" s="247"/>
      <c r="E180" s="425" t="e">
        <f t="shared" si="49"/>
        <v>#DIV/0!</v>
      </c>
      <c r="F180" s="247"/>
      <c r="G180" s="247"/>
      <c r="H180" s="425" t="e">
        <f t="shared" si="50"/>
        <v>#DIV/0!</v>
      </c>
      <c r="I180" s="247"/>
      <c r="J180" s="247"/>
      <c r="K180" s="425" t="e">
        <f t="shared" si="51"/>
        <v>#DIV/0!</v>
      </c>
      <c r="L180" s="247"/>
      <c r="M180" s="247"/>
      <c r="N180" s="425" t="e">
        <f t="shared" si="52"/>
        <v>#DIV/0!</v>
      </c>
      <c r="P180" s="127"/>
    </row>
    <row r="181" spans="1:16" ht="17.25" x14ac:dyDescent="0.25">
      <c r="A181" s="7">
        <v>22</v>
      </c>
      <c r="B181" s="548" t="s">
        <v>562</v>
      </c>
      <c r="C181" s="247"/>
      <c r="D181" s="247"/>
      <c r="E181" s="425" t="e">
        <f t="shared" si="49"/>
        <v>#DIV/0!</v>
      </c>
      <c r="F181" s="247"/>
      <c r="G181" s="247"/>
      <c r="H181" s="425" t="e">
        <f t="shared" si="50"/>
        <v>#DIV/0!</v>
      </c>
      <c r="I181" s="247"/>
      <c r="J181" s="247"/>
      <c r="K181" s="425" t="e">
        <f t="shared" si="51"/>
        <v>#DIV/0!</v>
      </c>
      <c r="L181" s="247"/>
      <c r="M181" s="247"/>
      <c r="N181" s="425" t="e">
        <f t="shared" si="52"/>
        <v>#DIV/0!</v>
      </c>
      <c r="P181" s="127"/>
    </row>
    <row r="182" spans="1:16" ht="17.25" x14ac:dyDescent="0.25">
      <c r="A182" s="7">
        <v>23</v>
      </c>
      <c r="B182" s="548" t="s">
        <v>757</v>
      </c>
      <c r="C182" s="247">
        <v>94973</v>
      </c>
      <c r="D182" s="247">
        <v>80585</v>
      </c>
      <c r="E182" s="425">
        <f t="shared" si="49"/>
        <v>117.85443941180121</v>
      </c>
      <c r="F182" s="247">
        <v>14986</v>
      </c>
      <c r="G182" s="247">
        <v>16229</v>
      </c>
      <c r="H182" s="425">
        <f t="shared" si="50"/>
        <v>92.340871279807757</v>
      </c>
      <c r="I182" s="247">
        <v>70723</v>
      </c>
      <c r="J182" s="247">
        <v>63463</v>
      </c>
      <c r="K182" s="425">
        <f t="shared" si="51"/>
        <v>111.43973653940091</v>
      </c>
      <c r="L182" s="247">
        <v>0</v>
      </c>
      <c r="M182" s="247">
        <v>0</v>
      </c>
      <c r="N182" s="425" t="e">
        <f t="shared" si="52"/>
        <v>#DIV/0!</v>
      </c>
      <c r="O182" s="126">
        <v>25</v>
      </c>
      <c r="P182" s="127">
        <v>123</v>
      </c>
    </row>
    <row r="183" spans="1:16" ht="34.5" x14ac:dyDescent="0.25">
      <c r="A183" s="7">
        <v>24</v>
      </c>
      <c r="B183" s="548" t="s">
        <v>564</v>
      </c>
      <c r="C183" s="247">
        <v>1255389</v>
      </c>
      <c r="D183" s="247">
        <v>1172880</v>
      </c>
      <c r="E183" s="425">
        <f t="shared" si="49"/>
        <v>107.03473501125436</v>
      </c>
      <c r="F183" s="247">
        <v>119492</v>
      </c>
      <c r="G183" s="247">
        <v>231245</v>
      </c>
      <c r="H183" s="425">
        <f t="shared" si="50"/>
        <v>51.673333477480597</v>
      </c>
      <c r="I183" s="247">
        <v>1248862</v>
      </c>
      <c r="J183" s="247">
        <v>1172880</v>
      </c>
      <c r="K183" s="425">
        <f t="shared" si="51"/>
        <v>106.47824159334289</v>
      </c>
      <c r="L183" s="247">
        <v>1225740</v>
      </c>
      <c r="M183" s="247">
        <v>1128776</v>
      </c>
      <c r="N183" s="425">
        <f t="shared" si="52"/>
        <v>108.5901897276342</v>
      </c>
      <c r="O183" s="126">
        <v>54</v>
      </c>
      <c r="P183" s="127">
        <v>120</v>
      </c>
    </row>
    <row r="184" spans="1:16" ht="34.5" x14ac:dyDescent="0.25">
      <c r="A184" s="7">
        <v>25</v>
      </c>
      <c r="B184" s="548" t="s">
        <v>753</v>
      </c>
      <c r="C184" s="247">
        <v>185447</v>
      </c>
      <c r="D184" s="247">
        <v>2767</v>
      </c>
      <c r="E184" s="425">
        <f t="shared" si="49"/>
        <v>6702.0961329960246</v>
      </c>
      <c r="F184" s="247">
        <v>52504</v>
      </c>
      <c r="G184" s="247">
        <v>458</v>
      </c>
      <c r="H184" s="425">
        <f t="shared" si="50"/>
        <v>11463.755458515285</v>
      </c>
      <c r="I184" s="247">
        <v>39654</v>
      </c>
      <c r="J184" s="247">
        <v>2767</v>
      </c>
      <c r="K184" s="425">
        <f t="shared" si="51"/>
        <v>1433.1044452475605</v>
      </c>
      <c r="L184" s="247">
        <v>145793</v>
      </c>
      <c r="M184" s="247">
        <v>0</v>
      </c>
      <c r="N184" s="425" t="e">
        <f t="shared" si="52"/>
        <v>#DIV/0!</v>
      </c>
      <c r="O184" s="126">
        <v>8</v>
      </c>
      <c r="P184" s="127">
        <v>150</v>
      </c>
    </row>
    <row r="185" spans="1:16" ht="17.25" x14ac:dyDescent="0.25">
      <c r="A185" s="7">
        <v>26</v>
      </c>
      <c r="B185" s="548" t="s">
        <v>754</v>
      </c>
      <c r="C185" s="247">
        <v>105855</v>
      </c>
      <c r="D185" s="247">
        <v>122154</v>
      </c>
      <c r="E185" s="425">
        <f t="shared" si="49"/>
        <v>86.657006729210678</v>
      </c>
      <c r="F185" s="247">
        <v>9624</v>
      </c>
      <c r="G185" s="247">
        <v>18279</v>
      </c>
      <c r="H185" s="425">
        <f t="shared" si="50"/>
        <v>52.650582635811581</v>
      </c>
      <c r="I185" s="247">
        <v>105855</v>
      </c>
      <c r="J185" s="247">
        <v>122154</v>
      </c>
      <c r="K185" s="425">
        <f t="shared" si="51"/>
        <v>86.657006729210678</v>
      </c>
      <c r="L185" s="247">
        <v>0</v>
      </c>
      <c r="M185" s="247">
        <v>0</v>
      </c>
      <c r="N185" s="425" t="e">
        <f t="shared" si="52"/>
        <v>#DIV/0!</v>
      </c>
      <c r="O185" s="126">
        <v>31</v>
      </c>
      <c r="P185" s="127">
        <v>122</v>
      </c>
    </row>
    <row r="186" spans="1:16" ht="17.25" x14ac:dyDescent="0.25">
      <c r="A186" s="7">
        <v>27</v>
      </c>
      <c r="B186" s="548" t="s">
        <v>686</v>
      </c>
      <c r="C186" s="247">
        <v>1226007</v>
      </c>
      <c r="D186" s="247">
        <v>1133117</v>
      </c>
      <c r="E186" s="425">
        <f t="shared" si="49"/>
        <v>108.19774127473156</v>
      </c>
      <c r="F186" s="247">
        <v>173183</v>
      </c>
      <c r="G186" s="247">
        <v>201192</v>
      </c>
      <c r="H186" s="425">
        <f t="shared" si="50"/>
        <v>86.078472305061823</v>
      </c>
      <c r="I186" s="247">
        <v>580676</v>
      </c>
      <c r="J186" s="247">
        <v>507240</v>
      </c>
      <c r="K186" s="425">
        <f t="shared" si="51"/>
        <v>114.47756486081539</v>
      </c>
      <c r="L186" s="247">
        <v>660571</v>
      </c>
      <c r="M186" s="247">
        <v>554442</v>
      </c>
      <c r="N186" s="425">
        <f t="shared" si="52"/>
        <v>119.14158739778011</v>
      </c>
      <c r="O186" s="126">
        <v>157</v>
      </c>
      <c r="P186" s="127">
        <v>111</v>
      </c>
    </row>
    <row r="188" spans="1:16" x14ac:dyDescent="0.25">
      <c r="A188" s="1033" t="s">
        <v>364</v>
      </c>
      <c r="B188" s="1034" t="s">
        <v>155</v>
      </c>
      <c r="C188" s="254">
        <f>SUM(C189:C192)</f>
        <v>38444362</v>
      </c>
      <c r="D188" s="254">
        <f>SUM(D189:D192)</f>
        <v>22300589</v>
      </c>
      <c r="E188" s="451">
        <f t="shared" ref="E188:E192" si="53">C188/D188*100</f>
        <v>172.39168884732149</v>
      </c>
      <c r="F188" s="254">
        <f>SUM(F189:F192)</f>
        <v>3915001</v>
      </c>
      <c r="G188" s="254">
        <f>SUM(G189:G192)</f>
        <v>3196643</v>
      </c>
      <c r="H188" s="451">
        <f t="shared" ref="H188:H192" si="54">F188/G188*100</f>
        <v>122.47226230767714</v>
      </c>
      <c r="I188" s="254">
        <f>SUM(I189:I192)</f>
        <v>40926872</v>
      </c>
      <c r="J188" s="254">
        <f>SUM(J189:J192)</f>
        <v>25050542</v>
      </c>
      <c r="K188" s="451">
        <f t="shared" ref="K188:K192" si="55">I188/J188*100</f>
        <v>163.37719159928756</v>
      </c>
      <c r="L188" s="254">
        <f>SUM(L189:L192)</f>
        <v>27946777</v>
      </c>
      <c r="M188" s="254">
        <f>SUM(M189:M192)</f>
        <v>18422061</v>
      </c>
      <c r="N188" s="451">
        <f t="shared" ref="N188:N192" si="56">L188/M188*100</f>
        <v>151.70277093317625</v>
      </c>
    </row>
    <row r="189" spans="1:16" ht="17.25" x14ac:dyDescent="0.25">
      <c r="A189" s="272">
        <v>1</v>
      </c>
      <c r="B189" s="577" t="s">
        <v>687</v>
      </c>
      <c r="C189" s="282">
        <v>18578429</v>
      </c>
      <c r="D189" s="282">
        <v>7515949</v>
      </c>
      <c r="E189" s="425">
        <f t="shared" si="53"/>
        <v>247.18673583335917</v>
      </c>
      <c r="F189" s="282">
        <v>1604668</v>
      </c>
      <c r="G189" s="282">
        <v>1176831</v>
      </c>
      <c r="H189" s="425">
        <f t="shared" si="54"/>
        <v>136.35500764340844</v>
      </c>
      <c r="I189" s="282">
        <v>16720894</v>
      </c>
      <c r="J189" s="282">
        <v>7056598</v>
      </c>
      <c r="K189" s="425">
        <f t="shared" si="55"/>
        <v>236.95403932603219</v>
      </c>
      <c r="L189" s="282">
        <v>7411630</v>
      </c>
      <c r="M189" s="282">
        <v>2940233</v>
      </c>
      <c r="N189" s="425">
        <f t="shared" si="56"/>
        <v>252.07628102942863</v>
      </c>
      <c r="O189" s="126">
        <v>826</v>
      </c>
    </row>
    <row r="190" spans="1:16" ht="17.25" x14ac:dyDescent="0.25">
      <c r="A190" s="272">
        <v>2</v>
      </c>
      <c r="B190" s="577" t="s">
        <v>299</v>
      </c>
      <c r="C190" s="282">
        <v>731</v>
      </c>
      <c r="D190" s="282">
        <v>163837</v>
      </c>
      <c r="E190" s="425">
        <f t="shared" si="53"/>
        <v>0.44617516189871642</v>
      </c>
      <c r="F190" s="282">
        <v>0</v>
      </c>
      <c r="G190" s="282">
        <v>156072</v>
      </c>
      <c r="H190" s="425">
        <f t="shared" si="54"/>
        <v>0</v>
      </c>
      <c r="I190" s="282">
        <v>1059212</v>
      </c>
      <c r="J190" s="282">
        <v>713260</v>
      </c>
      <c r="K190" s="425">
        <f t="shared" si="55"/>
        <v>148.50293020777835</v>
      </c>
      <c r="L190" s="282">
        <v>0</v>
      </c>
      <c r="M190" s="282">
        <v>0</v>
      </c>
      <c r="N190" s="425" t="e">
        <f t="shared" si="56"/>
        <v>#DIV/0!</v>
      </c>
      <c r="O190" s="126">
        <v>198</v>
      </c>
    </row>
    <row r="191" spans="1:16" ht="17.25" x14ac:dyDescent="0.25">
      <c r="A191" s="272">
        <v>3</v>
      </c>
      <c r="B191" s="577" t="s">
        <v>244</v>
      </c>
      <c r="C191" s="282">
        <v>201909</v>
      </c>
      <c r="D191" s="282">
        <v>95778</v>
      </c>
      <c r="E191" s="425">
        <f t="shared" si="53"/>
        <v>210.80937167199147</v>
      </c>
      <c r="F191" s="282">
        <v>25330</v>
      </c>
      <c r="G191" s="282">
        <v>0</v>
      </c>
      <c r="H191" s="425" t="e">
        <f t="shared" si="54"/>
        <v>#DIV/0!</v>
      </c>
      <c r="I191" s="282">
        <v>185938</v>
      </c>
      <c r="J191" s="282">
        <v>104744</v>
      </c>
      <c r="K191" s="425">
        <f t="shared" si="55"/>
        <v>177.51661193003895</v>
      </c>
      <c r="L191" s="282">
        <v>185938</v>
      </c>
      <c r="M191" s="282">
        <v>104744</v>
      </c>
      <c r="N191" s="425">
        <f t="shared" si="56"/>
        <v>177.51661193003895</v>
      </c>
      <c r="O191" s="126">
        <v>95</v>
      </c>
      <c r="P191" s="126">
        <v>191</v>
      </c>
    </row>
    <row r="192" spans="1:16" ht="34.5" x14ac:dyDescent="0.25">
      <c r="A192" s="272">
        <v>4</v>
      </c>
      <c r="B192" s="578" t="s">
        <v>688</v>
      </c>
      <c r="C192" s="282">
        <v>19663293</v>
      </c>
      <c r="D192" s="282">
        <v>14525025</v>
      </c>
      <c r="E192" s="425">
        <f t="shared" si="53"/>
        <v>135.37527818368642</v>
      </c>
      <c r="F192" s="282">
        <v>2285003</v>
      </c>
      <c r="G192" s="282">
        <v>1863740</v>
      </c>
      <c r="H192" s="425">
        <f t="shared" si="54"/>
        <v>122.60309914473049</v>
      </c>
      <c r="I192" s="282">
        <v>22960828</v>
      </c>
      <c r="J192" s="282">
        <v>17175940</v>
      </c>
      <c r="K192" s="425">
        <f t="shared" si="55"/>
        <v>133.68018286044315</v>
      </c>
      <c r="L192" s="282">
        <v>20349209</v>
      </c>
      <c r="M192" s="282">
        <v>15377084</v>
      </c>
      <c r="N192" s="425">
        <f t="shared" si="56"/>
        <v>132.33464160044909</v>
      </c>
      <c r="O192" s="126">
        <v>1130</v>
      </c>
      <c r="P192" s="126">
        <v>163</v>
      </c>
    </row>
    <row r="193" spans="1:16" x14ac:dyDescent="0.25">
      <c r="A193" s="579"/>
      <c r="B193" s="579"/>
      <c r="C193" s="579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</row>
    <row r="194" spans="1:16" x14ac:dyDescent="0.25">
      <c r="A194" s="1033" t="s">
        <v>363</v>
      </c>
      <c r="B194" s="1034" t="s">
        <v>119</v>
      </c>
      <c r="C194" s="254">
        <f>SUM(C195:C234)</f>
        <v>77108633</v>
      </c>
      <c r="D194" s="254">
        <f>SUM(D195:D234)</f>
        <v>70826841</v>
      </c>
      <c r="E194" s="451">
        <f>C194/D194*100</f>
        <v>108.86922515716888</v>
      </c>
      <c r="F194" s="254">
        <f>SUM(F195:F234)</f>
        <v>7400098</v>
      </c>
      <c r="G194" s="254">
        <f>SUM(G195:G234)</f>
        <v>9705442</v>
      </c>
      <c r="H194" s="451">
        <f>F194/G194*100</f>
        <v>76.246893237835025</v>
      </c>
      <c r="I194" s="254">
        <f>SUM(I195:I234)</f>
        <v>75535491</v>
      </c>
      <c r="J194" s="254">
        <f>SUM(J195:J234)</f>
        <v>64466699</v>
      </c>
      <c r="K194" s="451">
        <f>I194/J194*100</f>
        <v>117.16978249499017</v>
      </c>
      <c r="L194" s="254">
        <f>SUM(L195:L234)</f>
        <v>6384142</v>
      </c>
      <c r="M194" s="254">
        <f>SUM(M195:M234)</f>
        <v>5995533</v>
      </c>
      <c r="N194" s="451">
        <f>L194/M194*100</f>
        <v>106.48164224932128</v>
      </c>
    </row>
    <row r="195" spans="1:16" ht="17.25" x14ac:dyDescent="0.25">
      <c r="A195" s="53">
        <v>1</v>
      </c>
      <c r="B195" s="545" t="s">
        <v>689</v>
      </c>
      <c r="C195" s="247">
        <v>56676</v>
      </c>
      <c r="D195" s="247">
        <v>71386</v>
      </c>
      <c r="E195" s="425">
        <f t="shared" ref="E195:E234" si="57">C195/D195*100</f>
        <v>79.393718656319166</v>
      </c>
      <c r="F195" s="247">
        <v>13548</v>
      </c>
      <c r="G195" s="247">
        <v>7815</v>
      </c>
      <c r="H195" s="425">
        <f t="shared" ref="H195:H234" si="58">F195/G195*100</f>
        <v>173.35892514395394</v>
      </c>
      <c r="I195" s="247">
        <v>65311</v>
      </c>
      <c r="J195" s="247">
        <v>53563</v>
      </c>
      <c r="K195" s="425">
        <f t="shared" ref="K195:K234" si="59">I195/J195*100</f>
        <v>121.93305079999253</v>
      </c>
      <c r="L195" s="247">
        <v>64131</v>
      </c>
      <c r="M195" s="247">
        <v>49385</v>
      </c>
      <c r="N195" s="425">
        <f t="shared" ref="N195:N234" si="60">L195/M195*100</f>
        <v>129.85926900880835</v>
      </c>
      <c r="O195" s="126">
        <v>54</v>
      </c>
      <c r="P195" s="126">
        <v>93</v>
      </c>
    </row>
    <row r="196" spans="1:16" ht="34.5" x14ac:dyDescent="0.25">
      <c r="A196" s="53">
        <v>2</v>
      </c>
      <c r="B196" s="545" t="s">
        <v>690</v>
      </c>
      <c r="C196" s="247">
        <v>1018549</v>
      </c>
      <c r="D196" s="247">
        <v>949767</v>
      </c>
      <c r="E196" s="425">
        <f t="shared" si="57"/>
        <v>107.24198671884788</v>
      </c>
      <c r="F196" s="247">
        <v>201826</v>
      </c>
      <c r="G196" s="247">
        <v>165760</v>
      </c>
      <c r="H196" s="425">
        <f t="shared" si="58"/>
        <v>121.75796332046332</v>
      </c>
      <c r="I196" s="247">
        <v>1038880</v>
      </c>
      <c r="J196" s="247">
        <v>879891</v>
      </c>
      <c r="K196" s="425">
        <f t="shared" si="59"/>
        <v>118.06916993127558</v>
      </c>
      <c r="L196" s="247">
        <v>522234</v>
      </c>
      <c r="M196" s="247">
        <v>367019</v>
      </c>
      <c r="N196" s="425">
        <f t="shared" si="60"/>
        <v>142.29072609319954</v>
      </c>
      <c r="O196" s="126">
        <v>113</v>
      </c>
      <c r="P196" s="126">
        <v>71</v>
      </c>
    </row>
    <row r="197" spans="1:16" ht="17.25" x14ac:dyDescent="0.25">
      <c r="A197" s="53">
        <v>3</v>
      </c>
      <c r="B197" s="545" t="s">
        <v>692</v>
      </c>
      <c r="C197" s="247">
        <v>286818</v>
      </c>
      <c r="D197" s="247">
        <v>214387</v>
      </c>
      <c r="E197" s="425">
        <f t="shared" si="57"/>
        <v>133.78516421238228</v>
      </c>
      <c r="F197" s="247">
        <v>36362</v>
      </c>
      <c r="G197" s="247">
        <v>45534</v>
      </c>
      <c r="H197" s="425">
        <f t="shared" si="58"/>
        <v>79.856810295603282</v>
      </c>
      <c r="I197" s="247">
        <v>501824</v>
      </c>
      <c r="J197" s="247">
        <v>326694</v>
      </c>
      <c r="K197" s="425">
        <f t="shared" si="59"/>
        <v>153.60673902795889</v>
      </c>
      <c r="L197" s="247">
        <v>412252</v>
      </c>
      <c r="M197" s="247">
        <v>260065</v>
      </c>
      <c r="N197" s="425">
        <f t="shared" si="60"/>
        <v>158.5188318305039</v>
      </c>
      <c r="O197" s="126">
        <v>200</v>
      </c>
      <c r="P197" s="126">
        <v>101</v>
      </c>
    </row>
    <row r="198" spans="1:16" ht="17.25" x14ac:dyDescent="0.25">
      <c r="A198" s="53">
        <v>4</v>
      </c>
      <c r="B198" s="545" t="s">
        <v>691</v>
      </c>
      <c r="C198" s="247">
        <v>1715263</v>
      </c>
      <c r="D198" s="247">
        <v>2117592</v>
      </c>
      <c r="E198" s="425">
        <f t="shared" si="57"/>
        <v>81.00063657210643</v>
      </c>
      <c r="F198" s="247">
        <v>226432</v>
      </c>
      <c r="G198" s="247">
        <v>261546</v>
      </c>
      <c r="H198" s="425">
        <f t="shared" si="58"/>
        <v>86.574445795385898</v>
      </c>
      <c r="I198" s="247">
        <v>1795295</v>
      </c>
      <c r="J198" s="247">
        <v>1935110</v>
      </c>
      <c r="K198" s="425">
        <f t="shared" si="59"/>
        <v>92.774829337867089</v>
      </c>
      <c r="L198" s="247">
        <v>1100950</v>
      </c>
      <c r="M198" s="247">
        <v>1028900</v>
      </c>
      <c r="N198" s="425">
        <f t="shared" si="60"/>
        <v>107.00262416172612</v>
      </c>
      <c r="O198" s="126">
        <v>250</v>
      </c>
      <c r="P198" s="126">
        <v>100</v>
      </c>
    </row>
    <row r="199" spans="1:16" ht="17.25" x14ac:dyDescent="0.25">
      <c r="A199" s="53">
        <v>5</v>
      </c>
      <c r="B199" s="545" t="s">
        <v>693</v>
      </c>
      <c r="C199" s="247">
        <v>33254665</v>
      </c>
      <c r="D199" s="247">
        <v>29599096</v>
      </c>
      <c r="E199" s="425">
        <f t="shared" si="57"/>
        <v>112.35027245426686</v>
      </c>
      <c r="F199" s="247">
        <v>1989452</v>
      </c>
      <c r="G199" s="247">
        <v>3273421</v>
      </c>
      <c r="H199" s="425">
        <f t="shared" si="58"/>
        <v>60.775928302531199</v>
      </c>
      <c r="I199" s="247">
        <v>30185871</v>
      </c>
      <c r="J199" s="247">
        <v>23338923</v>
      </c>
      <c r="K199" s="425">
        <f t="shared" si="59"/>
        <v>129.33703496086773</v>
      </c>
      <c r="L199" s="247">
        <v>264086</v>
      </c>
      <c r="M199" s="247">
        <v>293878</v>
      </c>
      <c r="N199" s="425">
        <f t="shared" si="60"/>
        <v>89.862459932352877</v>
      </c>
      <c r="O199" s="126">
        <v>867</v>
      </c>
      <c r="P199" s="126">
        <v>150</v>
      </c>
    </row>
    <row r="200" spans="1:16" ht="17.25" x14ac:dyDescent="0.25">
      <c r="A200" s="53">
        <v>6</v>
      </c>
      <c r="B200" s="545" t="s">
        <v>694</v>
      </c>
      <c r="C200" s="247">
        <v>4511320</v>
      </c>
      <c r="D200" s="247">
        <v>3386053</v>
      </c>
      <c r="E200" s="425">
        <f t="shared" si="57"/>
        <v>133.23240953405042</v>
      </c>
      <c r="F200" s="247">
        <v>753827</v>
      </c>
      <c r="G200" s="247">
        <v>371090</v>
      </c>
      <c r="H200" s="425">
        <f t="shared" si="58"/>
        <v>203.13859171629525</v>
      </c>
      <c r="I200" s="247">
        <v>2572046</v>
      </c>
      <c r="J200" s="247">
        <v>3097779</v>
      </c>
      <c r="K200" s="425">
        <f t="shared" si="59"/>
        <v>83.028711860981687</v>
      </c>
      <c r="L200" s="247">
        <v>437809</v>
      </c>
      <c r="M200" s="247">
        <v>576202</v>
      </c>
      <c r="N200" s="425">
        <f t="shared" si="60"/>
        <v>75.981860528078698</v>
      </c>
      <c r="O200" s="126">
        <v>566</v>
      </c>
      <c r="P200" s="126">
        <v>123</v>
      </c>
    </row>
    <row r="201" spans="1:16" ht="17.25" x14ac:dyDescent="0.25">
      <c r="A201" s="53">
        <v>7</v>
      </c>
      <c r="B201" s="545" t="s">
        <v>695</v>
      </c>
      <c r="C201" s="247">
        <v>1137379</v>
      </c>
      <c r="D201" s="247">
        <v>1299534</v>
      </c>
      <c r="E201" s="425">
        <f t="shared" si="57"/>
        <v>87.522065601977332</v>
      </c>
      <c r="F201" s="247">
        <v>158834</v>
      </c>
      <c r="G201" s="247">
        <v>178804</v>
      </c>
      <c r="H201" s="425">
        <f t="shared" si="58"/>
        <v>88.831346054898091</v>
      </c>
      <c r="I201" s="247">
        <v>1108327</v>
      </c>
      <c r="J201" s="247">
        <v>1168112</v>
      </c>
      <c r="K201" s="425">
        <f t="shared" si="59"/>
        <v>94.881912008437553</v>
      </c>
      <c r="L201" s="247">
        <v>145658</v>
      </c>
      <c r="M201" s="247">
        <v>47279</v>
      </c>
      <c r="N201" s="425">
        <f t="shared" si="60"/>
        <v>308.08181222107066</v>
      </c>
      <c r="O201" s="126">
        <v>162</v>
      </c>
      <c r="P201" s="126">
        <v>105</v>
      </c>
    </row>
    <row r="202" spans="1:16" ht="17.25" x14ac:dyDescent="0.25">
      <c r="A202" s="53">
        <v>8</v>
      </c>
      <c r="B202" s="545" t="s">
        <v>696</v>
      </c>
      <c r="C202" s="247">
        <v>127565</v>
      </c>
      <c r="D202" s="247">
        <v>282803</v>
      </c>
      <c r="E202" s="425">
        <f t="shared" si="57"/>
        <v>45.107371562536464</v>
      </c>
      <c r="F202" s="247">
        <v>4378</v>
      </c>
      <c r="G202" s="247">
        <v>17832</v>
      </c>
      <c r="H202" s="425">
        <f t="shared" si="58"/>
        <v>24.55136832660386</v>
      </c>
      <c r="I202" s="247">
        <v>185526</v>
      </c>
      <c r="J202" s="247">
        <v>386823</v>
      </c>
      <c r="K202" s="425">
        <f t="shared" si="59"/>
        <v>47.96147075018807</v>
      </c>
      <c r="L202" s="247">
        <v>131918</v>
      </c>
      <c r="M202" s="247">
        <v>337400</v>
      </c>
      <c r="N202" s="425">
        <f t="shared" si="60"/>
        <v>39.098399525785418</v>
      </c>
      <c r="O202" s="126">
        <v>42</v>
      </c>
      <c r="P202" s="126">
        <v>80</v>
      </c>
    </row>
    <row r="203" spans="1:16" ht="17.25" x14ac:dyDescent="0.25">
      <c r="A203" s="53">
        <v>9</v>
      </c>
      <c r="B203" s="545" t="s">
        <v>697</v>
      </c>
      <c r="C203" s="247">
        <v>1842369</v>
      </c>
      <c r="D203" s="247">
        <v>1124262</v>
      </c>
      <c r="E203" s="425">
        <f t="shared" si="57"/>
        <v>163.87363443752434</v>
      </c>
      <c r="F203" s="247">
        <v>347145</v>
      </c>
      <c r="G203" s="247">
        <v>171786</v>
      </c>
      <c r="H203" s="425">
        <f t="shared" si="58"/>
        <v>202.07991338060145</v>
      </c>
      <c r="I203" s="247">
        <v>1838823</v>
      </c>
      <c r="J203" s="247">
        <v>1120846</v>
      </c>
      <c r="K203" s="425">
        <f t="shared" si="59"/>
        <v>164.05670359710433</v>
      </c>
      <c r="L203" s="247">
        <v>30300</v>
      </c>
      <c r="M203" s="247">
        <v>0</v>
      </c>
      <c r="N203" s="425" t="e">
        <f t="shared" si="60"/>
        <v>#DIV/0!</v>
      </c>
      <c r="O203" s="126">
        <v>160</v>
      </c>
      <c r="P203" s="126">
        <v>110</v>
      </c>
    </row>
    <row r="204" spans="1:16" ht="17.25" x14ac:dyDescent="0.25">
      <c r="A204" s="53">
        <v>10</v>
      </c>
      <c r="B204" s="545" t="s">
        <v>227</v>
      </c>
      <c r="C204" s="247">
        <v>654883</v>
      </c>
      <c r="D204" s="247">
        <v>654023</v>
      </c>
      <c r="E204" s="425">
        <f t="shared" si="57"/>
        <v>100.13149384654668</v>
      </c>
      <c r="F204" s="247">
        <v>107537</v>
      </c>
      <c r="G204" s="247">
        <v>90304</v>
      </c>
      <c r="H204" s="425">
        <f t="shared" si="58"/>
        <v>119.08331856839121</v>
      </c>
      <c r="I204" s="247">
        <v>654883</v>
      </c>
      <c r="J204" s="247">
        <v>654023</v>
      </c>
      <c r="K204" s="425">
        <f t="shared" si="59"/>
        <v>100.13149384654668</v>
      </c>
      <c r="L204" s="247">
        <v>410861</v>
      </c>
      <c r="M204" s="247">
        <v>552518</v>
      </c>
      <c r="N204" s="425">
        <f t="shared" si="60"/>
        <v>74.361559261417725</v>
      </c>
      <c r="O204" s="126">
        <v>77</v>
      </c>
      <c r="P204" s="126">
        <v>85</v>
      </c>
    </row>
    <row r="205" spans="1:16" ht="17.25" x14ac:dyDescent="0.25">
      <c r="A205" s="53">
        <v>11</v>
      </c>
      <c r="B205" s="545" t="s">
        <v>235</v>
      </c>
      <c r="C205" s="247">
        <v>162060</v>
      </c>
      <c r="D205" s="247">
        <v>120041</v>
      </c>
      <c r="E205" s="425">
        <f t="shared" si="57"/>
        <v>135.00387367649387</v>
      </c>
      <c r="F205" s="247">
        <v>20195</v>
      </c>
      <c r="G205" s="247">
        <v>18947</v>
      </c>
      <c r="H205" s="425">
        <f t="shared" si="58"/>
        <v>106.58679474323111</v>
      </c>
      <c r="I205" s="247">
        <v>162060</v>
      </c>
      <c r="J205" s="247">
        <v>120041</v>
      </c>
      <c r="K205" s="425">
        <f t="shared" si="59"/>
        <v>135.00387367649387</v>
      </c>
      <c r="L205" s="247">
        <v>0</v>
      </c>
      <c r="M205" s="247">
        <v>0</v>
      </c>
      <c r="N205" s="425" t="e">
        <f t="shared" si="60"/>
        <v>#DIV/0!</v>
      </c>
      <c r="O205" s="126">
        <v>17</v>
      </c>
      <c r="P205" s="126">
        <v>80</v>
      </c>
    </row>
    <row r="206" spans="1:16" ht="17.25" x14ac:dyDescent="0.25">
      <c r="A206" s="53">
        <v>12</v>
      </c>
      <c r="B206" s="545" t="s">
        <v>698</v>
      </c>
      <c r="C206" s="247">
        <v>1399994</v>
      </c>
      <c r="D206" s="247">
        <v>1101650</v>
      </c>
      <c r="E206" s="425">
        <f t="shared" si="57"/>
        <v>127.08155947896338</v>
      </c>
      <c r="F206" s="247">
        <v>190323</v>
      </c>
      <c r="G206" s="247">
        <v>158019</v>
      </c>
      <c r="H206" s="425">
        <f t="shared" si="58"/>
        <v>120.44311127142939</v>
      </c>
      <c r="I206" s="247">
        <v>1399994</v>
      </c>
      <c r="J206" s="247">
        <v>1101650</v>
      </c>
      <c r="K206" s="425">
        <f t="shared" si="59"/>
        <v>127.08155947896338</v>
      </c>
      <c r="L206" s="247">
        <v>167130</v>
      </c>
      <c r="M206" s="247">
        <v>151201</v>
      </c>
      <c r="N206" s="425">
        <f t="shared" si="60"/>
        <v>110.53498323423787</v>
      </c>
      <c r="O206" s="126">
        <v>171</v>
      </c>
      <c r="P206" s="126">
        <v>115</v>
      </c>
    </row>
    <row r="207" spans="1:16" ht="17.25" x14ac:dyDescent="0.25">
      <c r="A207" s="53">
        <v>13</v>
      </c>
      <c r="B207" s="545" t="s">
        <v>699</v>
      </c>
      <c r="C207" s="247">
        <v>339420</v>
      </c>
      <c r="D207" s="247">
        <v>185166</v>
      </c>
      <c r="E207" s="425">
        <f t="shared" si="57"/>
        <v>183.30579047989372</v>
      </c>
      <c r="F207" s="247">
        <v>22496</v>
      </c>
      <c r="G207" s="247">
        <v>22908</v>
      </c>
      <c r="H207" s="425">
        <f t="shared" si="58"/>
        <v>98.20150165880915</v>
      </c>
      <c r="I207" s="247">
        <v>337315</v>
      </c>
      <c r="J207" s="247">
        <v>184172</v>
      </c>
      <c r="K207" s="425">
        <f t="shared" si="59"/>
        <v>183.15216210933258</v>
      </c>
      <c r="L207" s="247">
        <v>0</v>
      </c>
      <c r="M207" s="247">
        <v>0</v>
      </c>
      <c r="N207" s="425" t="e">
        <f t="shared" si="60"/>
        <v>#DIV/0!</v>
      </c>
      <c r="O207" s="126">
        <v>131</v>
      </c>
      <c r="P207" s="126">
        <v>115</v>
      </c>
    </row>
    <row r="208" spans="1:16" ht="17.25" x14ac:dyDescent="0.25">
      <c r="A208" s="53">
        <v>14</v>
      </c>
      <c r="B208" s="545" t="s">
        <v>700</v>
      </c>
      <c r="C208" s="247">
        <v>4731</v>
      </c>
      <c r="D208" s="247">
        <v>12407</v>
      </c>
      <c r="E208" s="425">
        <f t="shared" si="57"/>
        <v>38.131699846860641</v>
      </c>
      <c r="F208" s="247">
        <v>0</v>
      </c>
      <c r="G208" s="247">
        <v>0</v>
      </c>
      <c r="H208" s="425" t="e">
        <f t="shared" si="58"/>
        <v>#DIV/0!</v>
      </c>
      <c r="I208" s="247">
        <v>5200</v>
      </c>
      <c r="J208" s="247">
        <v>13500</v>
      </c>
      <c r="K208" s="425">
        <f t="shared" si="59"/>
        <v>38.518518518518519</v>
      </c>
      <c r="L208" s="247">
        <v>0</v>
      </c>
      <c r="M208" s="247">
        <v>0</v>
      </c>
      <c r="N208" s="425" t="e">
        <f t="shared" si="60"/>
        <v>#DIV/0!</v>
      </c>
      <c r="O208" s="126">
        <v>38</v>
      </c>
      <c r="P208" s="126">
        <v>80</v>
      </c>
    </row>
    <row r="209" spans="1:16" ht="34.5" x14ac:dyDescent="0.25">
      <c r="A209" s="53">
        <v>15</v>
      </c>
      <c r="B209" s="545" t="s">
        <v>701</v>
      </c>
      <c r="C209" s="247">
        <v>2732503</v>
      </c>
      <c r="D209" s="247">
        <v>2427082</v>
      </c>
      <c r="E209" s="425">
        <f t="shared" si="57"/>
        <v>112.58387644092782</v>
      </c>
      <c r="F209" s="247">
        <v>266526</v>
      </c>
      <c r="G209" s="247">
        <v>278985</v>
      </c>
      <c r="H209" s="425">
        <f t="shared" si="58"/>
        <v>95.534168503682992</v>
      </c>
      <c r="I209" s="247">
        <v>1933430</v>
      </c>
      <c r="J209" s="247">
        <v>1626873</v>
      </c>
      <c r="K209" s="425">
        <f t="shared" si="59"/>
        <v>118.84332704519652</v>
      </c>
      <c r="L209" s="247">
        <v>0</v>
      </c>
      <c r="M209" s="247">
        <v>0</v>
      </c>
      <c r="N209" s="425" t="e">
        <f t="shared" si="60"/>
        <v>#DIV/0!</v>
      </c>
      <c r="O209" s="126">
        <v>0</v>
      </c>
      <c r="P209" s="126">
        <v>100</v>
      </c>
    </row>
    <row r="210" spans="1:16" ht="17.25" x14ac:dyDescent="0.25">
      <c r="A210" s="53">
        <v>16</v>
      </c>
      <c r="B210" s="545" t="s">
        <v>702</v>
      </c>
      <c r="C210" s="247">
        <v>13829573</v>
      </c>
      <c r="D210" s="247">
        <v>11085494</v>
      </c>
      <c r="E210" s="425">
        <f t="shared" si="57"/>
        <v>124.75378183416994</v>
      </c>
      <c r="F210" s="247">
        <v>1265485</v>
      </c>
      <c r="G210" s="247">
        <v>1160694</v>
      </c>
      <c r="H210" s="425">
        <f t="shared" si="58"/>
        <v>109.02830547930806</v>
      </c>
      <c r="I210" s="247">
        <v>14265120</v>
      </c>
      <c r="J210" s="247">
        <v>11644691</v>
      </c>
      <c r="K210" s="425">
        <f t="shared" si="59"/>
        <v>122.50320768494416</v>
      </c>
      <c r="L210" s="247">
        <v>697022</v>
      </c>
      <c r="M210" s="247">
        <v>490227</v>
      </c>
      <c r="N210" s="425">
        <f t="shared" si="60"/>
        <v>142.18351906361747</v>
      </c>
      <c r="O210" s="126">
        <v>1772</v>
      </c>
      <c r="P210" s="126">
        <v>168</v>
      </c>
    </row>
    <row r="211" spans="1:16" ht="34.5" x14ac:dyDescent="0.25">
      <c r="A211" s="53">
        <v>17</v>
      </c>
      <c r="B211" s="545" t="s">
        <v>547</v>
      </c>
      <c r="C211" s="247"/>
      <c r="D211" s="247"/>
      <c r="E211" s="425" t="e">
        <f t="shared" si="57"/>
        <v>#DIV/0!</v>
      </c>
      <c r="F211" s="247"/>
      <c r="G211" s="247"/>
      <c r="H211" s="425" t="e">
        <f t="shared" si="58"/>
        <v>#DIV/0!</v>
      </c>
      <c r="I211" s="247"/>
      <c r="J211" s="247"/>
      <c r="K211" s="425" t="e">
        <f t="shared" si="59"/>
        <v>#DIV/0!</v>
      </c>
      <c r="L211" s="247"/>
      <c r="M211" s="247"/>
      <c r="N211" s="425" t="e">
        <f t="shared" si="60"/>
        <v>#DIV/0!</v>
      </c>
    </row>
    <row r="212" spans="1:16" ht="17.25" x14ac:dyDescent="0.25">
      <c r="A212" s="53">
        <v>18</v>
      </c>
      <c r="B212" s="545" t="s">
        <v>549</v>
      </c>
      <c r="C212" s="247"/>
      <c r="D212" s="247"/>
      <c r="E212" s="425" t="e">
        <f t="shared" si="57"/>
        <v>#DIV/0!</v>
      </c>
      <c r="F212" s="247"/>
      <c r="G212" s="247"/>
      <c r="H212" s="425" t="e">
        <f t="shared" si="58"/>
        <v>#DIV/0!</v>
      </c>
      <c r="I212" s="247"/>
      <c r="J212" s="247"/>
      <c r="K212" s="425" t="e">
        <f t="shared" si="59"/>
        <v>#DIV/0!</v>
      </c>
      <c r="L212" s="247"/>
      <c r="M212" s="247"/>
      <c r="N212" s="425" t="e">
        <f t="shared" si="60"/>
        <v>#DIV/0!</v>
      </c>
    </row>
    <row r="213" spans="1:16" ht="17.25" x14ac:dyDescent="0.25">
      <c r="A213" s="53">
        <v>19</v>
      </c>
      <c r="B213" s="545" t="s">
        <v>550</v>
      </c>
      <c r="C213" s="247">
        <v>8993086</v>
      </c>
      <c r="D213" s="247">
        <v>11937541</v>
      </c>
      <c r="E213" s="425">
        <f t="shared" si="57"/>
        <v>75.334493092002788</v>
      </c>
      <c r="F213" s="247">
        <v>1017777</v>
      </c>
      <c r="G213" s="247">
        <v>2686854</v>
      </c>
      <c r="H213" s="425">
        <f t="shared" si="58"/>
        <v>37.879877358427365</v>
      </c>
      <c r="I213" s="247">
        <v>12510887</v>
      </c>
      <c r="J213" s="247">
        <v>12608406</v>
      </c>
      <c r="K213" s="425">
        <f t="shared" si="59"/>
        <v>99.226555680392906</v>
      </c>
      <c r="L213" s="247">
        <v>0</v>
      </c>
      <c r="M213" s="247">
        <v>0</v>
      </c>
      <c r="N213" s="425" t="e">
        <f t="shared" si="60"/>
        <v>#DIV/0!</v>
      </c>
      <c r="O213" s="126">
        <v>6</v>
      </c>
      <c r="P213" s="126">
        <v>83</v>
      </c>
    </row>
    <row r="214" spans="1:16" ht="17.25" x14ac:dyDescent="0.25">
      <c r="A214" s="53">
        <v>20</v>
      </c>
      <c r="B214" s="545" t="s">
        <v>551</v>
      </c>
      <c r="C214" s="247">
        <v>868357</v>
      </c>
      <c r="D214" s="247">
        <v>573615</v>
      </c>
      <c r="E214" s="425">
        <f t="shared" si="57"/>
        <v>151.38324485935689</v>
      </c>
      <c r="F214" s="247">
        <v>169129</v>
      </c>
      <c r="G214" s="247">
        <v>102701</v>
      </c>
      <c r="H214" s="425">
        <f t="shared" si="58"/>
        <v>164.68096707919105</v>
      </c>
      <c r="I214" s="247">
        <v>824148</v>
      </c>
      <c r="J214" s="247">
        <v>551172</v>
      </c>
      <c r="K214" s="425">
        <f t="shared" si="59"/>
        <v>149.52646360845617</v>
      </c>
      <c r="L214" s="247">
        <v>14005</v>
      </c>
      <c r="M214" s="247">
        <v>5404</v>
      </c>
      <c r="N214" s="425">
        <f t="shared" si="60"/>
        <v>259.15988156920798</v>
      </c>
      <c r="O214" s="126">
        <v>297</v>
      </c>
      <c r="P214" s="126">
        <v>100</v>
      </c>
    </row>
    <row r="215" spans="1:16" ht="17.25" x14ac:dyDescent="0.25">
      <c r="A215" s="53">
        <v>21</v>
      </c>
      <c r="B215" s="545" t="s">
        <v>553</v>
      </c>
      <c r="C215" s="247"/>
      <c r="D215" s="247"/>
      <c r="E215" s="425" t="e">
        <f t="shared" si="57"/>
        <v>#DIV/0!</v>
      </c>
      <c r="F215" s="247"/>
      <c r="G215" s="247"/>
      <c r="H215" s="425" t="e">
        <f t="shared" si="58"/>
        <v>#DIV/0!</v>
      </c>
      <c r="I215" s="247"/>
      <c r="J215" s="247"/>
      <c r="K215" s="425" t="e">
        <f t="shared" si="59"/>
        <v>#DIV/0!</v>
      </c>
      <c r="L215" s="247"/>
      <c r="M215" s="247"/>
      <c r="N215" s="425" t="e">
        <f t="shared" si="60"/>
        <v>#DIV/0!</v>
      </c>
    </row>
    <row r="216" spans="1:16" ht="17.25" x14ac:dyDescent="0.25">
      <c r="A216" s="53">
        <v>22</v>
      </c>
      <c r="B216" s="545" t="s">
        <v>554</v>
      </c>
      <c r="C216" s="247"/>
      <c r="D216" s="247"/>
      <c r="E216" s="425" t="e">
        <f t="shared" si="57"/>
        <v>#DIV/0!</v>
      </c>
      <c r="F216" s="247"/>
      <c r="G216" s="247"/>
      <c r="H216" s="425" t="e">
        <f t="shared" si="58"/>
        <v>#DIV/0!</v>
      </c>
      <c r="I216" s="247"/>
      <c r="J216" s="247"/>
      <c r="K216" s="425" t="e">
        <f t="shared" si="59"/>
        <v>#DIV/0!</v>
      </c>
      <c r="L216" s="247"/>
      <c r="M216" s="247"/>
      <c r="N216" s="425" t="e">
        <f t="shared" si="60"/>
        <v>#DIV/0!</v>
      </c>
    </row>
    <row r="217" spans="1:16" ht="34.5" x14ac:dyDescent="0.25">
      <c r="A217" s="53">
        <v>23</v>
      </c>
      <c r="B217" s="545" t="s">
        <v>575</v>
      </c>
      <c r="C217" s="247"/>
      <c r="D217" s="247"/>
      <c r="E217" s="425" t="e">
        <f t="shared" si="57"/>
        <v>#DIV/0!</v>
      </c>
      <c r="F217" s="247"/>
      <c r="G217" s="247"/>
      <c r="H217" s="425" t="e">
        <f t="shared" si="58"/>
        <v>#DIV/0!</v>
      </c>
      <c r="I217" s="247"/>
      <c r="J217" s="247"/>
      <c r="K217" s="425" t="e">
        <f t="shared" si="59"/>
        <v>#DIV/0!</v>
      </c>
      <c r="L217" s="247"/>
      <c r="M217" s="247"/>
      <c r="N217" s="425" t="e">
        <f t="shared" si="60"/>
        <v>#DIV/0!</v>
      </c>
    </row>
    <row r="218" spans="1:16" ht="17.25" x14ac:dyDescent="0.25">
      <c r="A218" s="53">
        <v>24</v>
      </c>
      <c r="B218" s="545" t="s">
        <v>576</v>
      </c>
      <c r="C218" s="247">
        <v>33398</v>
      </c>
      <c r="D218" s="247">
        <v>33924</v>
      </c>
      <c r="E218" s="425">
        <f t="shared" si="57"/>
        <v>98.449475297724319</v>
      </c>
      <c r="F218" s="247">
        <v>4991</v>
      </c>
      <c r="G218" s="247">
        <v>5701</v>
      </c>
      <c r="H218" s="425">
        <f t="shared" si="58"/>
        <v>87.546044553587095</v>
      </c>
      <c r="I218" s="247">
        <v>32596</v>
      </c>
      <c r="J218" s="247">
        <v>33828</v>
      </c>
      <c r="K218" s="425">
        <f t="shared" si="59"/>
        <v>96.358046588624816</v>
      </c>
      <c r="L218" s="247">
        <v>0</v>
      </c>
      <c r="M218" s="247">
        <v>0</v>
      </c>
      <c r="N218" s="425" t="e">
        <f t="shared" si="60"/>
        <v>#DIV/0!</v>
      </c>
      <c r="O218" s="126">
        <v>3</v>
      </c>
      <c r="P218" s="126">
        <v>81</v>
      </c>
    </row>
    <row r="219" spans="1:16" ht="17.25" x14ac:dyDescent="0.25">
      <c r="A219" s="53">
        <v>25</v>
      </c>
      <c r="B219" s="545" t="s">
        <v>755</v>
      </c>
      <c r="C219" s="247">
        <v>391163</v>
      </c>
      <c r="D219" s="247">
        <v>310606</v>
      </c>
      <c r="E219" s="425">
        <f t="shared" si="57"/>
        <v>125.9354294508155</v>
      </c>
      <c r="F219" s="247">
        <v>85641</v>
      </c>
      <c r="G219" s="247">
        <v>310606</v>
      </c>
      <c r="H219" s="425">
        <f t="shared" si="58"/>
        <v>27.572229770191175</v>
      </c>
      <c r="I219" s="247">
        <v>370243</v>
      </c>
      <c r="J219" s="247">
        <v>203384</v>
      </c>
      <c r="K219" s="425">
        <f t="shared" si="59"/>
        <v>182.04136018565868</v>
      </c>
      <c r="L219" s="247">
        <v>232443</v>
      </c>
      <c r="M219" s="247">
        <v>155051</v>
      </c>
      <c r="N219" s="425">
        <f t="shared" si="60"/>
        <v>149.91389929765043</v>
      </c>
      <c r="O219" s="126">
        <v>25</v>
      </c>
      <c r="P219" s="126">
        <v>87</v>
      </c>
    </row>
    <row r="220" spans="1:16" ht="34.5" x14ac:dyDescent="0.25">
      <c r="A220" s="53">
        <v>26</v>
      </c>
      <c r="B220" s="545" t="s">
        <v>703</v>
      </c>
      <c r="C220" s="247"/>
      <c r="D220" s="247"/>
      <c r="E220" s="425" t="e">
        <f t="shared" si="57"/>
        <v>#DIV/0!</v>
      </c>
      <c r="F220" s="247"/>
      <c r="G220" s="247"/>
      <c r="H220" s="425" t="e">
        <f t="shared" si="58"/>
        <v>#DIV/0!</v>
      </c>
      <c r="I220" s="247"/>
      <c r="J220" s="247"/>
      <c r="K220" s="425" t="e">
        <f t="shared" si="59"/>
        <v>#DIV/0!</v>
      </c>
      <c r="L220" s="247"/>
      <c r="M220" s="247"/>
      <c r="N220" s="425" t="e">
        <f t="shared" si="60"/>
        <v>#DIV/0!</v>
      </c>
    </row>
    <row r="221" spans="1:16" ht="34.5" x14ac:dyDescent="0.25">
      <c r="A221" s="53">
        <v>27</v>
      </c>
      <c r="B221" s="545" t="s">
        <v>557</v>
      </c>
      <c r="C221" s="247">
        <v>569444</v>
      </c>
      <c r="D221" s="247">
        <v>654042</v>
      </c>
      <c r="E221" s="425">
        <f t="shared" si="57"/>
        <v>87.065356659052469</v>
      </c>
      <c r="F221" s="247">
        <v>59119</v>
      </c>
      <c r="G221" s="247">
        <v>17868</v>
      </c>
      <c r="H221" s="425">
        <f t="shared" si="58"/>
        <v>330.86523393776582</v>
      </c>
      <c r="I221" s="247">
        <v>615352</v>
      </c>
      <c r="J221" s="247">
        <v>788359</v>
      </c>
      <c r="K221" s="425">
        <f t="shared" si="59"/>
        <v>78.054794833318326</v>
      </c>
      <c r="L221" s="247">
        <v>145899</v>
      </c>
      <c r="M221" s="247">
        <v>300951</v>
      </c>
      <c r="N221" s="425">
        <f t="shared" si="60"/>
        <v>48.47932055384431</v>
      </c>
      <c r="O221" s="126">
        <v>80</v>
      </c>
      <c r="P221" s="126">
        <v>119</v>
      </c>
    </row>
    <row r="222" spans="1:16" ht="17.25" x14ac:dyDescent="0.25">
      <c r="A222" s="53">
        <v>28</v>
      </c>
      <c r="B222" s="545" t="s">
        <v>558</v>
      </c>
      <c r="C222" s="247">
        <v>1505365</v>
      </c>
      <c r="D222" s="247">
        <v>1283124</v>
      </c>
      <c r="E222" s="425">
        <f t="shared" si="57"/>
        <v>117.3203057537697</v>
      </c>
      <c r="F222" s="247">
        <v>224379</v>
      </c>
      <c r="G222" s="247">
        <v>176453</v>
      </c>
      <c r="H222" s="425">
        <f t="shared" si="58"/>
        <v>127.16077369044447</v>
      </c>
      <c r="I222" s="247">
        <v>1505365</v>
      </c>
      <c r="J222" s="247">
        <v>1283124</v>
      </c>
      <c r="K222" s="425">
        <f t="shared" si="59"/>
        <v>117.3203057537697</v>
      </c>
      <c r="L222" s="247">
        <v>1505184</v>
      </c>
      <c r="M222" s="247">
        <v>1283124</v>
      </c>
      <c r="N222" s="425">
        <f t="shared" si="60"/>
        <v>117.30619955670691</v>
      </c>
      <c r="O222" s="126">
        <v>48</v>
      </c>
      <c r="P222" s="126">
        <v>150</v>
      </c>
    </row>
    <row r="223" spans="1:16" ht="17.25" x14ac:dyDescent="0.25">
      <c r="A223" s="53">
        <v>30</v>
      </c>
      <c r="B223" s="545" t="s">
        <v>560</v>
      </c>
      <c r="C223" s="247">
        <v>427612</v>
      </c>
      <c r="D223" s="593">
        <v>435071</v>
      </c>
      <c r="E223" s="425">
        <f t="shared" si="57"/>
        <v>98.285567183287327</v>
      </c>
      <c r="F223" s="593">
        <v>43045</v>
      </c>
      <c r="G223" s="593">
        <v>53881</v>
      </c>
      <c r="H223" s="425">
        <f t="shared" si="58"/>
        <v>79.889014680499614</v>
      </c>
      <c r="I223" s="593">
        <v>423375</v>
      </c>
      <c r="J223" s="593">
        <v>419647</v>
      </c>
      <c r="K223" s="425">
        <f t="shared" si="59"/>
        <v>100.88836569783652</v>
      </c>
      <c r="L223" s="247">
        <v>0</v>
      </c>
      <c r="M223" s="247">
        <v>0</v>
      </c>
      <c r="N223" s="425" t="e">
        <f t="shared" si="60"/>
        <v>#DIV/0!</v>
      </c>
      <c r="O223" s="126">
        <v>58</v>
      </c>
      <c r="P223" s="126">
        <v>96</v>
      </c>
    </row>
    <row r="224" spans="1:16" ht="17.25" x14ac:dyDescent="0.25">
      <c r="A224" s="53">
        <v>31</v>
      </c>
      <c r="B224" s="545" t="s">
        <v>561</v>
      </c>
      <c r="C224" s="247"/>
      <c r="D224" s="247"/>
      <c r="E224" s="425" t="e">
        <f t="shared" si="57"/>
        <v>#DIV/0!</v>
      </c>
      <c r="F224" s="247"/>
      <c r="G224" s="247"/>
      <c r="H224" s="425" t="e">
        <f t="shared" si="58"/>
        <v>#DIV/0!</v>
      </c>
      <c r="I224" s="247"/>
      <c r="J224" s="247"/>
      <c r="K224" s="425" t="e">
        <f t="shared" si="59"/>
        <v>#DIV/0!</v>
      </c>
      <c r="L224" s="247"/>
      <c r="M224" s="247"/>
      <c r="N224" s="425" t="e">
        <f t="shared" si="60"/>
        <v>#DIV/0!</v>
      </c>
    </row>
    <row r="225" spans="1:16" ht="34.5" x14ac:dyDescent="0.25">
      <c r="A225" s="53">
        <v>32</v>
      </c>
      <c r="B225" s="545" t="s">
        <v>565</v>
      </c>
      <c r="C225" s="247">
        <v>40265</v>
      </c>
      <c r="D225" s="247">
        <v>40486</v>
      </c>
      <c r="E225" s="425">
        <f t="shared" si="57"/>
        <v>99.454132292644374</v>
      </c>
      <c r="F225" s="247">
        <v>8799</v>
      </c>
      <c r="G225" s="247">
        <v>5110</v>
      </c>
      <c r="H225" s="425">
        <f t="shared" si="58"/>
        <v>172.1917808219178</v>
      </c>
      <c r="I225" s="247">
        <v>40265</v>
      </c>
      <c r="J225" s="247">
        <v>40486</v>
      </c>
      <c r="K225" s="425">
        <f t="shared" si="59"/>
        <v>99.454132292644374</v>
      </c>
      <c r="L225" s="247">
        <v>0</v>
      </c>
      <c r="M225" s="247">
        <v>0</v>
      </c>
      <c r="N225" s="425" t="e">
        <f t="shared" si="60"/>
        <v>#DIV/0!</v>
      </c>
      <c r="O225" s="126">
        <v>16</v>
      </c>
      <c r="P225" s="126">
        <v>97</v>
      </c>
    </row>
    <row r="226" spans="1:16" ht="17.25" x14ac:dyDescent="0.25">
      <c r="A226" s="53">
        <v>33</v>
      </c>
      <c r="B226" s="545" t="s">
        <v>566</v>
      </c>
      <c r="C226" s="247">
        <v>180385</v>
      </c>
      <c r="D226" s="247">
        <v>168761</v>
      </c>
      <c r="E226" s="425">
        <f t="shared" si="57"/>
        <v>106.88784731069383</v>
      </c>
      <c r="F226" s="425">
        <v>24017</v>
      </c>
      <c r="G226" s="247">
        <v>22442</v>
      </c>
      <c r="H226" s="425">
        <f t="shared" si="58"/>
        <v>107.01809107922644</v>
      </c>
      <c r="I226" s="247">
        <v>180385</v>
      </c>
      <c r="J226" s="247">
        <v>168761</v>
      </c>
      <c r="K226" s="425">
        <f t="shared" si="59"/>
        <v>106.88784731069383</v>
      </c>
      <c r="L226" s="247">
        <v>0</v>
      </c>
      <c r="M226" s="247">
        <v>0</v>
      </c>
      <c r="N226" s="425" t="e">
        <f t="shared" si="60"/>
        <v>#DIV/0!</v>
      </c>
      <c r="O226" s="126">
        <v>25</v>
      </c>
      <c r="P226" s="126">
        <v>120</v>
      </c>
    </row>
    <row r="227" spans="1:16" ht="34.5" x14ac:dyDescent="0.25">
      <c r="A227" s="53">
        <v>34</v>
      </c>
      <c r="B227" s="545" t="s">
        <v>567</v>
      </c>
      <c r="C227" s="247"/>
      <c r="D227" s="247"/>
      <c r="E227" s="425" t="e">
        <f t="shared" si="57"/>
        <v>#DIV/0!</v>
      </c>
      <c r="F227" s="247"/>
      <c r="G227" s="247"/>
      <c r="H227" s="425" t="e">
        <f t="shared" si="58"/>
        <v>#DIV/0!</v>
      </c>
      <c r="I227" s="247"/>
      <c r="J227" s="247"/>
      <c r="K227" s="425" t="e">
        <f t="shared" si="59"/>
        <v>#DIV/0!</v>
      </c>
      <c r="L227" s="247"/>
      <c r="M227" s="247"/>
      <c r="N227" s="425" t="e">
        <f t="shared" si="60"/>
        <v>#DIV/0!</v>
      </c>
    </row>
    <row r="228" spans="1:16" ht="34.5" x14ac:dyDescent="0.25">
      <c r="A228" s="53">
        <v>35</v>
      </c>
      <c r="B228" s="545" t="s">
        <v>574</v>
      </c>
      <c r="C228" s="247"/>
      <c r="D228" s="247"/>
      <c r="E228" s="425" t="e">
        <f t="shared" si="57"/>
        <v>#DIV/0!</v>
      </c>
      <c r="F228" s="247"/>
      <c r="G228" s="247"/>
      <c r="H228" s="425" t="e">
        <f t="shared" si="58"/>
        <v>#DIV/0!</v>
      </c>
      <c r="I228" s="247"/>
      <c r="J228" s="247"/>
      <c r="K228" s="425" t="e">
        <f t="shared" si="59"/>
        <v>#DIV/0!</v>
      </c>
      <c r="L228" s="247"/>
      <c r="M228" s="247"/>
      <c r="N228" s="425" t="e">
        <f t="shared" si="60"/>
        <v>#DIV/0!</v>
      </c>
    </row>
    <row r="229" spans="1:16" ht="17.25" x14ac:dyDescent="0.25">
      <c r="A229" s="53">
        <v>36</v>
      </c>
      <c r="B229" s="545" t="s">
        <v>569</v>
      </c>
      <c r="C229" s="247">
        <v>2586</v>
      </c>
      <c r="D229" s="247">
        <v>31699</v>
      </c>
      <c r="E229" s="425">
        <f t="shared" si="57"/>
        <v>8.1579860563424713</v>
      </c>
      <c r="F229" s="247">
        <v>0</v>
      </c>
      <c r="G229" s="247">
        <v>11785</v>
      </c>
      <c r="H229" s="425">
        <f t="shared" si="58"/>
        <v>0</v>
      </c>
      <c r="I229" s="247">
        <v>42467</v>
      </c>
      <c r="J229" s="247">
        <v>54157</v>
      </c>
      <c r="K229" s="425">
        <f t="shared" si="59"/>
        <v>78.41460937644257</v>
      </c>
      <c r="L229" s="247">
        <v>0</v>
      </c>
      <c r="M229" s="247">
        <v>0</v>
      </c>
      <c r="N229" s="425" t="e">
        <f t="shared" si="60"/>
        <v>#DIV/0!</v>
      </c>
      <c r="O229" s="126">
        <v>1</v>
      </c>
      <c r="P229" s="126">
        <v>67</v>
      </c>
    </row>
    <row r="230" spans="1:16" ht="17.25" x14ac:dyDescent="0.25">
      <c r="A230" s="53">
        <v>37</v>
      </c>
      <c r="B230" s="545" t="s">
        <v>704</v>
      </c>
      <c r="C230" s="247"/>
      <c r="D230" s="247"/>
      <c r="E230" s="425" t="e">
        <f t="shared" si="57"/>
        <v>#DIV/0!</v>
      </c>
      <c r="F230" s="247"/>
      <c r="G230" s="247"/>
      <c r="H230" s="425" t="e">
        <f t="shared" si="58"/>
        <v>#DIV/0!</v>
      </c>
      <c r="I230" s="247"/>
      <c r="J230" s="247"/>
      <c r="K230" s="425" t="e">
        <f t="shared" si="59"/>
        <v>#DIV/0!</v>
      </c>
      <c r="L230" s="247"/>
      <c r="M230" s="247"/>
      <c r="N230" s="425" t="e">
        <f t="shared" si="60"/>
        <v>#DIV/0!</v>
      </c>
    </row>
    <row r="231" spans="1:16" ht="17.25" x14ac:dyDescent="0.25">
      <c r="A231" s="53">
        <v>38</v>
      </c>
      <c r="B231" s="545" t="s">
        <v>705</v>
      </c>
      <c r="C231" s="247">
        <v>32785</v>
      </c>
      <c r="D231" s="247">
        <v>29633</v>
      </c>
      <c r="E231" s="425">
        <f t="shared" si="57"/>
        <v>110.6367900651301</v>
      </c>
      <c r="F231" s="247">
        <v>4264</v>
      </c>
      <c r="G231" s="247">
        <v>1944</v>
      </c>
      <c r="H231" s="425">
        <f t="shared" si="58"/>
        <v>219.34156378600824</v>
      </c>
      <c r="I231" s="247">
        <v>25562</v>
      </c>
      <c r="J231" s="247">
        <v>24299</v>
      </c>
      <c r="K231" s="425">
        <f t="shared" si="59"/>
        <v>105.19774476315898</v>
      </c>
      <c r="L231" s="247">
        <v>0</v>
      </c>
      <c r="M231" s="247">
        <v>0</v>
      </c>
      <c r="N231" s="425" t="e">
        <f t="shared" si="60"/>
        <v>#DIV/0!</v>
      </c>
      <c r="O231" s="126">
        <v>14</v>
      </c>
      <c r="P231" s="126">
        <v>69</v>
      </c>
    </row>
    <row r="232" spans="1:16" ht="34.5" x14ac:dyDescent="0.25">
      <c r="A232" s="53">
        <v>39</v>
      </c>
      <c r="B232" s="545" t="s">
        <v>752</v>
      </c>
      <c r="C232" s="247">
        <v>138221</v>
      </c>
      <c r="D232" s="247">
        <v>119923</v>
      </c>
      <c r="E232" s="425">
        <f t="shared" si="57"/>
        <v>115.25812396287618</v>
      </c>
      <c r="F232" s="247">
        <v>32455</v>
      </c>
      <c r="G232" s="247">
        <v>17484</v>
      </c>
      <c r="H232" s="425">
        <f t="shared" si="58"/>
        <v>185.62685884237015</v>
      </c>
      <c r="I232" s="247">
        <v>138221</v>
      </c>
      <c r="J232" s="247">
        <v>119923</v>
      </c>
      <c r="K232" s="425">
        <f t="shared" si="59"/>
        <v>115.25812396287618</v>
      </c>
      <c r="L232" s="247">
        <v>0</v>
      </c>
      <c r="M232" s="247">
        <v>0</v>
      </c>
      <c r="N232" s="425" t="e">
        <f t="shared" si="60"/>
        <v>#DIV/0!</v>
      </c>
      <c r="O232" s="126">
        <v>146</v>
      </c>
      <c r="P232" s="126">
        <v>103</v>
      </c>
    </row>
    <row r="233" spans="1:16" ht="17.25" x14ac:dyDescent="0.25">
      <c r="A233" s="53">
        <v>40</v>
      </c>
      <c r="B233" s="545" t="s">
        <v>756</v>
      </c>
      <c r="C233" s="247">
        <v>816348</v>
      </c>
      <c r="D233" s="247">
        <v>545774</v>
      </c>
      <c r="E233" s="425">
        <f t="shared" si="57"/>
        <v>149.57619820658368</v>
      </c>
      <c r="F233" s="247">
        <v>118378</v>
      </c>
      <c r="G233" s="247">
        <v>65081</v>
      </c>
      <c r="H233" s="425">
        <f t="shared" si="58"/>
        <v>181.89333292358754</v>
      </c>
      <c r="I233" s="247">
        <v>740870</v>
      </c>
      <c r="J233" s="247">
        <v>486563</v>
      </c>
      <c r="K233" s="425">
        <f t="shared" si="59"/>
        <v>152.26599638690161</v>
      </c>
      <c r="L233" s="247">
        <v>102260</v>
      </c>
      <c r="M233" s="247">
        <v>96929</v>
      </c>
      <c r="N233" s="425">
        <f t="shared" si="60"/>
        <v>105.49990199011647</v>
      </c>
      <c r="O233" s="126">
        <v>220</v>
      </c>
      <c r="P233" s="126">
        <v>114</v>
      </c>
    </row>
    <row r="234" spans="1:16" ht="17.25" x14ac:dyDescent="0.25">
      <c r="A234" s="53">
        <v>41</v>
      </c>
      <c r="B234" s="549" t="s">
        <v>706</v>
      </c>
      <c r="C234" s="247">
        <v>35850</v>
      </c>
      <c r="D234" s="247">
        <v>31899</v>
      </c>
      <c r="E234" s="425">
        <f t="shared" si="57"/>
        <v>112.38596821216966</v>
      </c>
      <c r="F234" s="247">
        <v>3738</v>
      </c>
      <c r="G234" s="247">
        <v>4087</v>
      </c>
      <c r="H234" s="425">
        <f t="shared" si="58"/>
        <v>91.460729141179357</v>
      </c>
      <c r="I234" s="247">
        <v>35850</v>
      </c>
      <c r="J234" s="247">
        <v>31899</v>
      </c>
      <c r="K234" s="425">
        <f t="shared" si="59"/>
        <v>112.38596821216966</v>
      </c>
      <c r="L234" s="247">
        <v>0</v>
      </c>
      <c r="M234" s="247">
        <v>0</v>
      </c>
      <c r="N234" s="425" t="e">
        <f t="shared" si="60"/>
        <v>#DIV/0!</v>
      </c>
      <c r="O234" s="126">
        <v>9</v>
      </c>
      <c r="P234" s="126">
        <v>90</v>
      </c>
    </row>
    <row r="236" spans="1:16" ht="51.75" x14ac:dyDescent="0.25">
      <c r="A236" s="414"/>
      <c r="B236" s="552" t="s">
        <v>732</v>
      </c>
      <c r="C236" s="345">
        <f>C237+C246</f>
        <v>9753010</v>
      </c>
      <c r="D236" s="345">
        <f>D237+D246</f>
        <v>10072408</v>
      </c>
      <c r="E236" s="345">
        <f>C236/D236*100</f>
        <v>96.828980716428475</v>
      </c>
      <c r="F236" s="345">
        <f>F237+F246</f>
        <v>382573</v>
      </c>
      <c r="G236" s="345">
        <f>G237+G246</f>
        <v>1183148</v>
      </c>
      <c r="H236" s="345">
        <f>F236/G236*100</f>
        <v>32.335177002369946</v>
      </c>
      <c r="I236" s="345">
        <f>I237+I246</f>
        <v>9576424</v>
      </c>
      <c r="J236" s="345">
        <f>J237+J246</f>
        <v>10086025</v>
      </c>
      <c r="K236" s="345">
        <f>I236/J236*100</f>
        <v>94.947454522470437</v>
      </c>
      <c r="L236" s="345">
        <f>L237+L246</f>
        <v>5414766</v>
      </c>
      <c r="M236" s="345">
        <f>M237+M246</f>
        <v>5739186</v>
      </c>
      <c r="N236" s="345">
        <f>L236/M236*100</f>
        <v>94.347282001315165</v>
      </c>
    </row>
    <row r="237" spans="1:16" ht="17.25" x14ac:dyDescent="0.25">
      <c r="A237" s="1062" t="s">
        <v>340</v>
      </c>
      <c r="B237" s="1063" t="s">
        <v>155</v>
      </c>
      <c r="C237" s="254">
        <f>SUM(C238:C244)</f>
        <v>7454681</v>
      </c>
      <c r="D237" s="254">
        <f>SUM(D238:D244)</f>
        <v>8045121</v>
      </c>
      <c r="E237" s="254">
        <f>C237/D237*100</f>
        <v>92.660893478171431</v>
      </c>
      <c r="F237" s="254">
        <f>SUM(F238:F244)</f>
        <v>256231</v>
      </c>
      <c r="G237" s="254">
        <f>SUM(G238:G244)</f>
        <v>982493</v>
      </c>
      <c r="H237" s="254">
        <f>F237/G237*100</f>
        <v>26.079676903550457</v>
      </c>
      <c r="I237" s="254">
        <f>SUM(I238:I244)</f>
        <v>7382221</v>
      </c>
      <c r="J237" s="254">
        <f>SUM(J238:J244)</f>
        <v>8153314</v>
      </c>
      <c r="K237" s="254">
        <f>I237/J237*100</f>
        <v>90.542581826236542</v>
      </c>
      <c r="L237" s="254">
        <f>SUM(L238:L244)</f>
        <v>3486731</v>
      </c>
      <c r="M237" s="254">
        <f>SUM(M238:M244)</f>
        <v>4105692</v>
      </c>
      <c r="N237" s="254">
        <f>L237/M237*100</f>
        <v>84.924319700552303</v>
      </c>
    </row>
    <row r="238" spans="1:16" ht="17.25" x14ac:dyDescent="0.25">
      <c r="A238" s="568">
        <v>1</v>
      </c>
      <c r="B238" s="545" t="s">
        <v>707</v>
      </c>
      <c r="C238" s="247">
        <v>586666</v>
      </c>
      <c r="D238" s="247">
        <v>909788</v>
      </c>
      <c r="E238" s="425">
        <f t="shared" ref="E238:E244" si="61">C238/D238*100</f>
        <v>64.483813811569291</v>
      </c>
      <c r="F238" s="247">
        <v>0</v>
      </c>
      <c r="G238" s="247">
        <v>270171</v>
      </c>
      <c r="H238" s="425">
        <f t="shared" ref="H238:H244" si="62">F238/G238*100</f>
        <v>0</v>
      </c>
      <c r="I238" s="247">
        <v>586666</v>
      </c>
      <c r="J238" s="247">
        <v>1079968</v>
      </c>
      <c r="K238" s="425">
        <f t="shared" ref="K238:K244" si="63">I238/J238*100</f>
        <v>54.322535482532821</v>
      </c>
      <c r="L238" s="247">
        <v>586666</v>
      </c>
      <c r="M238" s="247">
        <v>1079968</v>
      </c>
      <c r="N238" s="425">
        <f t="shared" ref="N238:N244" si="64">L238/M238*100</f>
        <v>54.322535482532821</v>
      </c>
      <c r="O238" s="126">
        <v>130</v>
      </c>
      <c r="P238" s="126">
        <v>178</v>
      </c>
    </row>
    <row r="239" spans="1:16" ht="17.25" x14ac:dyDescent="0.25">
      <c r="A239" s="568">
        <v>2</v>
      </c>
      <c r="B239" s="545" t="s">
        <v>708</v>
      </c>
      <c r="C239" s="247">
        <v>0</v>
      </c>
      <c r="D239" s="247">
        <v>0</v>
      </c>
      <c r="E239" s="425" t="e">
        <f t="shared" si="61"/>
        <v>#DIV/0!</v>
      </c>
      <c r="F239" s="247">
        <v>0</v>
      </c>
      <c r="G239" s="247">
        <v>0</v>
      </c>
      <c r="H239" s="425" t="e">
        <f t="shared" si="62"/>
        <v>#DIV/0!</v>
      </c>
      <c r="I239" s="247">
        <v>0</v>
      </c>
      <c r="J239" s="247">
        <v>0</v>
      </c>
      <c r="K239" s="425" t="e">
        <f t="shared" si="63"/>
        <v>#DIV/0!</v>
      </c>
      <c r="L239" s="247">
        <v>0</v>
      </c>
      <c r="M239" s="247">
        <v>0</v>
      </c>
      <c r="N239" s="425" t="e">
        <f t="shared" si="64"/>
        <v>#DIV/0!</v>
      </c>
      <c r="O239" s="126">
        <v>0</v>
      </c>
      <c r="P239" s="126">
        <v>0</v>
      </c>
    </row>
    <row r="240" spans="1:16" ht="17.25" x14ac:dyDescent="0.25">
      <c r="A240" s="568">
        <v>3</v>
      </c>
      <c r="B240" s="545" t="s">
        <v>709</v>
      </c>
      <c r="C240" s="247">
        <v>3895490</v>
      </c>
      <c r="D240" s="247">
        <v>4085185</v>
      </c>
      <c r="E240" s="425">
        <f t="shared" si="61"/>
        <v>95.356513842090379</v>
      </c>
      <c r="F240" s="247">
        <v>215710</v>
      </c>
      <c r="G240" s="247">
        <v>624099</v>
      </c>
      <c r="H240" s="425">
        <f t="shared" si="62"/>
        <v>34.563426635838226</v>
      </c>
      <c r="I240" s="247">
        <v>3895490</v>
      </c>
      <c r="J240" s="247">
        <v>4085185</v>
      </c>
      <c r="K240" s="425">
        <f t="shared" si="63"/>
        <v>95.356513842090379</v>
      </c>
      <c r="L240" s="247">
        <v>0</v>
      </c>
      <c r="M240" s="247">
        <v>0</v>
      </c>
      <c r="N240" s="425" t="e">
        <f t="shared" si="64"/>
        <v>#DIV/0!</v>
      </c>
      <c r="O240" s="126">
        <v>99</v>
      </c>
      <c r="P240" s="126">
        <v>152</v>
      </c>
    </row>
    <row r="241" spans="1:16" ht="17.25" x14ac:dyDescent="0.25">
      <c r="A241" s="568">
        <v>4</v>
      </c>
      <c r="B241" s="545" t="s">
        <v>710</v>
      </c>
      <c r="C241" s="247">
        <v>270441</v>
      </c>
      <c r="D241" s="247">
        <v>656009</v>
      </c>
      <c r="E241" s="425">
        <f t="shared" si="61"/>
        <v>41.225196605534379</v>
      </c>
      <c r="F241" s="247">
        <v>29323</v>
      </c>
      <c r="G241" s="247">
        <v>19787</v>
      </c>
      <c r="H241" s="425">
        <f t="shared" si="62"/>
        <v>148.19325819982816</v>
      </c>
      <c r="I241" s="247">
        <v>383222</v>
      </c>
      <c r="J241" s="247">
        <v>638983</v>
      </c>
      <c r="K241" s="425">
        <f t="shared" si="63"/>
        <v>59.973739520456725</v>
      </c>
      <c r="L241" s="247">
        <v>383222</v>
      </c>
      <c r="M241" s="247">
        <v>677025</v>
      </c>
      <c r="N241" s="425">
        <f t="shared" si="64"/>
        <v>56.603818175104315</v>
      </c>
      <c r="O241" s="126">
        <v>43</v>
      </c>
      <c r="P241" s="126">
        <v>92</v>
      </c>
    </row>
    <row r="242" spans="1:16" ht="17.25" x14ac:dyDescent="0.25">
      <c r="A242" s="568">
        <v>5</v>
      </c>
      <c r="B242" s="545" t="s">
        <v>711</v>
      </c>
      <c r="C242" s="247">
        <v>2702084</v>
      </c>
      <c r="D242" s="247">
        <v>2394139</v>
      </c>
      <c r="E242" s="425">
        <f t="shared" si="61"/>
        <v>112.86245284839352</v>
      </c>
      <c r="F242" s="247">
        <v>11198</v>
      </c>
      <c r="G242" s="247">
        <v>68436</v>
      </c>
      <c r="H242" s="425">
        <f>F242/G242*100</f>
        <v>16.362733064468994</v>
      </c>
      <c r="I242" s="247">
        <v>2516843</v>
      </c>
      <c r="J242" s="247">
        <v>2349178</v>
      </c>
      <c r="K242" s="425">
        <f>I242/J242*100</f>
        <v>107.13717734458605</v>
      </c>
      <c r="L242" s="247">
        <v>2516843</v>
      </c>
      <c r="M242" s="247">
        <v>2348699</v>
      </c>
      <c r="N242" s="425">
        <f t="shared" si="64"/>
        <v>107.15902718909489</v>
      </c>
      <c r="O242" s="126">
        <v>54</v>
      </c>
      <c r="P242" s="126">
        <v>121</v>
      </c>
    </row>
    <row r="243" spans="1:16" ht="17.25" x14ac:dyDescent="0.25">
      <c r="A243" s="568">
        <v>6</v>
      </c>
      <c r="B243" s="545" t="s">
        <v>712</v>
      </c>
      <c r="C243" s="247">
        <v>0</v>
      </c>
      <c r="D243" s="247">
        <v>0</v>
      </c>
      <c r="E243" s="425" t="e">
        <f t="shared" si="61"/>
        <v>#DIV/0!</v>
      </c>
      <c r="F243" s="247">
        <v>0</v>
      </c>
      <c r="G243" s="247">
        <v>0</v>
      </c>
      <c r="H243" s="425" t="e">
        <f t="shared" si="62"/>
        <v>#DIV/0!</v>
      </c>
      <c r="I243" s="247">
        <v>0</v>
      </c>
      <c r="J243" s="247">
        <v>0</v>
      </c>
      <c r="K243" s="425" t="e">
        <f t="shared" si="63"/>
        <v>#DIV/0!</v>
      </c>
      <c r="L243" s="247">
        <v>0</v>
      </c>
      <c r="M243" s="247">
        <v>0</v>
      </c>
      <c r="N243" s="425" t="e">
        <f t="shared" si="64"/>
        <v>#DIV/0!</v>
      </c>
      <c r="O243" s="126">
        <v>3</v>
      </c>
      <c r="P243" s="126">
        <v>143</v>
      </c>
    </row>
    <row r="244" spans="1:16" ht="17.25" x14ac:dyDescent="0.25">
      <c r="A244" s="568">
        <v>7</v>
      </c>
      <c r="B244" s="545" t="s">
        <v>713</v>
      </c>
      <c r="C244" s="247">
        <v>0</v>
      </c>
      <c r="D244" s="247">
        <v>0</v>
      </c>
      <c r="E244" s="425" t="e">
        <f t="shared" si="61"/>
        <v>#DIV/0!</v>
      </c>
      <c r="F244" s="247">
        <v>0</v>
      </c>
      <c r="G244" s="247">
        <v>0</v>
      </c>
      <c r="H244" s="425" t="e">
        <f t="shared" si="62"/>
        <v>#DIV/0!</v>
      </c>
      <c r="I244" s="247">
        <v>0</v>
      </c>
      <c r="J244" s="247">
        <v>0</v>
      </c>
      <c r="K244" s="425" t="e">
        <f t="shared" si="63"/>
        <v>#DIV/0!</v>
      </c>
      <c r="L244" s="247">
        <v>0</v>
      </c>
      <c r="M244" s="247">
        <v>0</v>
      </c>
      <c r="N244" s="425" t="e">
        <f t="shared" si="64"/>
        <v>#DIV/0!</v>
      </c>
    </row>
    <row r="246" spans="1:16" ht="17.25" x14ac:dyDescent="0.25">
      <c r="A246" s="1062" t="s">
        <v>541</v>
      </c>
      <c r="B246" s="1063" t="s">
        <v>155</v>
      </c>
      <c r="C246" s="254">
        <f>SUM(C247:C251)</f>
        <v>2298329</v>
      </c>
      <c r="D246" s="254">
        <f>SUM(D247:D251)</f>
        <v>2027287</v>
      </c>
      <c r="E246" s="329">
        <f>C246/D246*100</f>
        <v>113.36969062594493</v>
      </c>
      <c r="F246" s="254">
        <f>SUM(F247:F251)</f>
        <v>126342</v>
      </c>
      <c r="G246" s="254">
        <f>SUM(G247:G251)</f>
        <v>200655</v>
      </c>
      <c r="H246" s="329">
        <f>F246/G246*100</f>
        <v>62.964790311729089</v>
      </c>
      <c r="I246" s="254">
        <f>SUM(I247:I251)</f>
        <v>2194203</v>
      </c>
      <c r="J246" s="254">
        <f>SUM(J247:J251)</f>
        <v>1932711</v>
      </c>
      <c r="K246" s="329">
        <f>I246/J246*100</f>
        <v>113.52980347294552</v>
      </c>
      <c r="L246" s="254">
        <f>SUM(L247:L251)</f>
        <v>1928035</v>
      </c>
      <c r="M246" s="254">
        <f>SUM(M247:M251)</f>
        <v>1633494</v>
      </c>
      <c r="N246" s="329">
        <f>L246/M246*100</f>
        <v>118.03134875304102</v>
      </c>
    </row>
    <row r="247" spans="1:16" ht="17.25" x14ac:dyDescent="0.25">
      <c r="A247" s="581">
        <v>1</v>
      </c>
      <c r="B247" s="545" t="s">
        <v>714</v>
      </c>
      <c r="C247" s="247">
        <v>1379623</v>
      </c>
      <c r="D247" s="247">
        <v>1269904</v>
      </c>
      <c r="E247" s="425">
        <f t="shared" ref="E247:E251" si="65">C247/D247*100</f>
        <v>108.63994443674483</v>
      </c>
      <c r="F247" s="247">
        <v>6609</v>
      </c>
      <c r="G247" s="247">
        <v>102238</v>
      </c>
      <c r="H247" s="425">
        <f t="shared" ref="H247:H251" si="66">F247/G247*100</f>
        <v>6.4643283319313749</v>
      </c>
      <c r="I247" s="247">
        <v>1253131</v>
      </c>
      <c r="J247" s="247">
        <v>1142230</v>
      </c>
      <c r="K247" s="425">
        <f t="shared" ref="K247:K251" si="67">I247/J247*100</f>
        <v>109.70916540451572</v>
      </c>
      <c r="L247" s="247">
        <v>1011201</v>
      </c>
      <c r="M247" s="247">
        <v>878196</v>
      </c>
      <c r="N247" s="425">
        <f t="shared" ref="N247:N251" si="68">L247/M247*100</f>
        <v>115.14525231269556</v>
      </c>
      <c r="O247" s="126">
        <v>150</v>
      </c>
      <c r="P247" s="126">
        <v>159</v>
      </c>
    </row>
    <row r="248" spans="1:16" ht="17.25" x14ac:dyDescent="0.25">
      <c r="A248" s="581">
        <v>2</v>
      </c>
      <c r="B248" s="545" t="s">
        <v>715</v>
      </c>
      <c r="C248" s="247">
        <v>1872</v>
      </c>
      <c r="D248" s="247">
        <v>2085</v>
      </c>
      <c r="E248" s="425">
        <f t="shared" si="65"/>
        <v>89.7841726618705</v>
      </c>
      <c r="F248" s="247">
        <v>0</v>
      </c>
      <c r="G248" s="247">
        <v>0</v>
      </c>
      <c r="H248" s="425" t="e">
        <f t="shared" si="66"/>
        <v>#DIV/0!</v>
      </c>
      <c r="I248" s="247">
        <v>24238</v>
      </c>
      <c r="J248" s="247">
        <v>35183</v>
      </c>
      <c r="K248" s="425">
        <f t="shared" si="67"/>
        <v>68.891225876133362</v>
      </c>
      <c r="L248" s="247">
        <v>0</v>
      </c>
      <c r="M248" s="247">
        <v>0</v>
      </c>
      <c r="N248" s="425" t="e">
        <f t="shared" si="68"/>
        <v>#DIV/0!</v>
      </c>
      <c r="O248" s="126">
        <v>69</v>
      </c>
      <c r="P248" s="126">
        <v>127</v>
      </c>
    </row>
    <row r="249" spans="1:16" ht="17.25" x14ac:dyDescent="0.25">
      <c r="A249" s="581">
        <v>3</v>
      </c>
      <c r="B249" s="545" t="s">
        <v>716</v>
      </c>
      <c r="C249" s="247">
        <v>0</v>
      </c>
      <c r="D249" s="247">
        <v>0</v>
      </c>
      <c r="E249" s="425" t="e">
        <f t="shared" si="65"/>
        <v>#DIV/0!</v>
      </c>
      <c r="F249" s="247">
        <v>0</v>
      </c>
      <c r="G249" s="247">
        <v>0</v>
      </c>
      <c r="H249" s="425" t="e">
        <f t="shared" si="66"/>
        <v>#DIV/0!</v>
      </c>
      <c r="I249" s="247">
        <v>0</v>
      </c>
      <c r="J249" s="247">
        <v>0</v>
      </c>
      <c r="K249" s="425" t="e">
        <f t="shared" si="67"/>
        <v>#DIV/0!</v>
      </c>
      <c r="L249" s="247">
        <v>0</v>
      </c>
      <c r="M249" s="247">
        <v>0</v>
      </c>
      <c r="N249" s="425" t="e">
        <f t="shared" si="68"/>
        <v>#DIV/0!</v>
      </c>
      <c r="O249" s="126">
        <v>0</v>
      </c>
      <c r="P249" s="126">
        <v>0</v>
      </c>
    </row>
    <row r="250" spans="1:16" ht="17.25" x14ac:dyDescent="0.25">
      <c r="A250" s="581">
        <v>4</v>
      </c>
      <c r="B250" s="545" t="s">
        <v>717</v>
      </c>
      <c r="C250" s="247">
        <v>657400</v>
      </c>
      <c r="D250" s="247">
        <v>611117</v>
      </c>
      <c r="E250" s="425">
        <f t="shared" si="65"/>
        <v>107.57350883709667</v>
      </c>
      <c r="F250" s="247">
        <v>60908</v>
      </c>
      <c r="G250" s="247">
        <v>81867</v>
      </c>
      <c r="H250" s="425">
        <f t="shared" si="66"/>
        <v>74.398719874919067</v>
      </c>
      <c r="I250" s="247">
        <v>657400</v>
      </c>
      <c r="J250" s="247">
        <v>611117</v>
      </c>
      <c r="K250" s="425">
        <f t="shared" si="67"/>
        <v>107.57350883709667</v>
      </c>
      <c r="L250" s="247">
        <v>657400</v>
      </c>
      <c r="M250" s="247">
        <v>611117</v>
      </c>
      <c r="N250" s="425">
        <f t="shared" si="68"/>
        <v>107.57350883709667</v>
      </c>
      <c r="O250" s="126">
        <v>33</v>
      </c>
      <c r="P250" s="126">
        <v>125</v>
      </c>
    </row>
    <row r="251" spans="1:16" ht="17.25" x14ac:dyDescent="0.25">
      <c r="A251" s="581">
        <v>5</v>
      </c>
      <c r="B251" s="582" t="s">
        <v>718</v>
      </c>
      <c r="C251" s="594">
        <v>259434</v>
      </c>
      <c r="D251" s="594">
        <v>144181</v>
      </c>
      <c r="E251" s="425">
        <f t="shared" si="65"/>
        <v>179.93633002961556</v>
      </c>
      <c r="F251" s="594">
        <v>58825</v>
      </c>
      <c r="G251" s="594">
        <v>16550</v>
      </c>
      <c r="H251" s="425">
        <f t="shared" si="66"/>
        <v>355.43806646525684</v>
      </c>
      <c r="I251" s="594">
        <v>259434</v>
      </c>
      <c r="J251" s="594">
        <v>144181</v>
      </c>
      <c r="K251" s="425">
        <f t="shared" si="67"/>
        <v>179.93633002961556</v>
      </c>
      <c r="L251" s="594">
        <v>259434</v>
      </c>
      <c r="M251" s="594">
        <v>144181</v>
      </c>
      <c r="N251" s="425">
        <f t="shared" si="68"/>
        <v>179.93633002961556</v>
      </c>
      <c r="O251" s="126">
        <v>39</v>
      </c>
      <c r="P251" s="126">
        <v>156</v>
      </c>
    </row>
    <row r="252" spans="1:16" x14ac:dyDescent="0.25">
      <c r="O252" s="584"/>
    </row>
    <row r="253" spans="1:16" ht="34.5" x14ac:dyDescent="0.25">
      <c r="A253" s="348"/>
      <c r="B253" s="553" t="s">
        <v>733</v>
      </c>
      <c r="C253" s="254">
        <f>SUM(C254:C262)</f>
        <v>762070</v>
      </c>
      <c r="D253" s="254">
        <f>SUM(D254:D262)</f>
        <v>643715</v>
      </c>
      <c r="E253" s="452">
        <f>C253/D253*100</f>
        <v>118.38624235880786</v>
      </c>
      <c r="F253" s="254">
        <f>SUM(F254:F262)</f>
        <v>118195</v>
      </c>
      <c r="G253" s="254">
        <f>SUM(G254:G262)</f>
        <v>78946</v>
      </c>
      <c r="H253" s="452">
        <f>F253/G253*100</f>
        <v>149.71626174853699</v>
      </c>
      <c r="I253" s="254">
        <f>SUM(I254:I262)</f>
        <v>503532</v>
      </c>
      <c r="J253" s="254">
        <f>SUM(J254:J262)</f>
        <v>316355</v>
      </c>
      <c r="K253" s="452">
        <f>I253/J253*100</f>
        <v>159.16675886267012</v>
      </c>
      <c r="L253" s="254">
        <f>SUM(L254:L262)</f>
        <v>18691</v>
      </c>
      <c r="M253" s="254">
        <f>SUM(M254:M262)</f>
        <v>3595</v>
      </c>
      <c r="N253" s="452">
        <f>L253/M253*100</f>
        <v>519.91655076495135</v>
      </c>
    </row>
    <row r="254" spans="1:16" ht="34.5" x14ac:dyDescent="0.2">
      <c r="A254" s="7">
        <v>1</v>
      </c>
      <c r="B254" s="545" t="s">
        <v>719</v>
      </c>
      <c r="C254" s="596">
        <v>565948</v>
      </c>
      <c r="D254" s="597">
        <v>456878</v>
      </c>
      <c r="E254" s="425">
        <f t="shared" ref="E254:E262" si="69">C254/D254*100</f>
        <v>123.87289385787892</v>
      </c>
      <c r="F254" s="595">
        <v>90195</v>
      </c>
      <c r="G254" s="595">
        <v>59358</v>
      </c>
      <c r="H254" s="425">
        <f t="shared" ref="H254:H262" si="70">F254/G254*100</f>
        <v>151.95087435560498</v>
      </c>
      <c r="I254" s="247">
        <v>436972</v>
      </c>
      <c r="J254" s="247">
        <v>230855</v>
      </c>
      <c r="K254" s="425">
        <f t="shared" ref="K254:K262" si="71">I254/J254*100</f>
        <v>189.28418271209199</v>
      </c>
      <c r="L254" s="247">
        <v>0</v>
      </c>
      <c r="M254" s="247">
        <v>0</v>
      </c>
      <c r="N254" s="425" t="e">
        <f t="shared" ref="N254:N262" si="72">L254/M254*100</f>
        <v>#DIV/0!</v>
      </c>
      <c r="O254" s="126">
        <v>265</v>
      </c>
      <c r="P254" s="126">
        <v>212</v>
      </c>
    </row>
    <row r="255" spans="1:16" ht="34.5" x14ac:dyDescent="0.25">
      <c r="A255" s="291">
        <v>2</v>
      </c>
      <c r="B255" s="545" t="s">
        <v>720</v>
      </c>
      <c r="C255" s="247">
        <v>83874</v>
      </c>
      <c r="D255" s="247">
        <v>86852</v>
      </c>
      <c r="E255" s="425">
        <f t="shared" si="69"/>
        <v>96.571178556625057</v>
      </c>
      <c r="F255" s="247">
        <v>12236</v>
      </c>
      <c r="G255" s="247">
        <v>11665</v>
      </c>
      <c r="H255" s="425">
        <f t="shared" si="70"/>
        <v>104.89498499785684</v>
      </c>
      <c r="I255" s="247">
        <v>0</v>
      </c>
      <c r="J255" s="247">
        <v>0</v>
      </c>
      <c r="K255" s="425" t="e">
        <f t="shared" si="71"/>
        <v>#DIV/0!</v>
      </c>
      <c r="L255" s="247">
        <v>0</v>
      </c>
      <c r="M255" s="247">
        <v>0</v>
      </c>
      <c r="N255" s="425" t="e">
        <f t="shared" si="72"/>
        <v>#DIV/0!</v>
      </c>
      <c r="O255" s="126">
        <v>88</v>
      </c>
      <c r="P255" s="126">
        <v>130</v>
      </c>
    </row>
    <row r="256" spans="1:16" ht="34.5" x14ac:dyDescent="0.25">
      <c r="A256" s="7">
        <v>3</v>
      </c>
      <c r="B256" s="545" t="s">
        <v>721</v>
      </c>
      <c r="C256" s="247">
        <v>0</v>
      </c>
      <c r="D256" s="247">
        <v>915</v>
      </c>
      <c r="E256" s="425">
        <f t="shared" si="69"/>
        <v>0</v>
      </c>
      <c r="F256" s="247">
        <v>0</v>
      </c>
      <c r="G256" s="247">
        <v>139</v>
      </c>
      <c r="H256" s="425">
        <f t="shared" si="70"/>
        <v>0</v>
      </c>
      <c r="I256" s="247">
        <v>0</v>
      </c>
      <c r="J256" s="247">
        <v>915</v>
      </c>
      <c r="K256" s="425">
        <f t="shared" si="71"/>
        <v>0</v>
      </c>
      <c r="L256" s="247">
        <v>0</v>
      </c>
      <c r="M256" s="247">
        <v>0</v>
      </c>
      <c r="N256" s="425" t="e">
        <f t="shared" si="72"/>
        <v>#DIV/0!</v>
      </c>
      <c r="O256" s="126">
        <v>4</v>
      </c>
      <c r="P256" s="126">
        <v>53</v>
      </c>
    </row>
    <row r="257" spans="1:16" ht="17.25" x14ac:dyDescent="0.25">
      <c r="A257" s="291">
        <v>4</v>
      </c>
      <c r="B257" s="545" t="s">
        <v>722</v>
      </c>
      <c r="C257" s="247">
        <v>19085</v>
      </c>
      <c r="D257" s="247">
        <v>22472</v>
      </c>
      <c r="E257" s="425">
        <f t="shared" si="69"/>
        <v>84.927910288358845</v>
      </c>
      <c r="F257" s="247">
        <v>1038</v>
      </c>
      <c r="G257" s="247">
        <v>2126</v>
      </c>
      <c r="H257" s="425">
        <f t="shared" si="70"/>
        <v>48.824082784571964</v>
      </c>
      <c r="I257" s="247">
        <v>19085</v>
      </c>
      <c r="J257" s="247">
        <v>22472</v>
      </c>
      <c r="K257" s="425">
        <f t="shared" si="71"/>
        <v>84.927910288358845</v>
      </c>
      <c r="L257" s="247">
        <v>0</v>
      </c>
      <c r="M257" s="247">
        <v>0</v>
      </c>
      <c r="N257" s="425" t="e">
        <f t="shared" si="72"/>
        <v>#DIV/0!</v>
      </c>
      <c r="O257" s="126">
        <v>13</v>
      </c>
      <c r="P257" s="126">
        <v>71</v>
      </c>
    </row>
    <row r="258" spans="1:16" ht="17.25" x14ac:dyDescent="0.25">
      <c r="A258" s="7">
        <v>5</v>
      </c>
      <c r="B258" s="545" t="s">
        <v>723</v>
      </c>
      <c r="C258" s="247">
        <v>7630</v>
      </c>
      <c r="D258" s="247">
        <v>7980</v>
      </c>
      <c r="E258" s="425">
        <f t="shared" si="69"/>
        <v>95.614035087719301</v>
      </c>
      <c r="F258" s="247">
        <v>880</v>
      </c>
      <c r="G258" s="247">
        <v>930</v>
      </c>
      <c r="H258" s="425">
        <f t="shared" si="70"/>
        <v>94.623655913978496</v>
      </c>
      <c r="I258" s="247">
        <v>0</v>
      </c>
      <c r="J258" s="247">
        <v>0</v>
      </c>
      <c r="K258" s="425" t="e">
        <f t="shared" si="71"/>
        <v>#DIV/0!</v>
      </c>
      <c r="L258" s="247">
        <v>0</v>
      </c>
      <c r="M258" s="247">
        <v>0</v>
      </c>
      <c r="N258" s="425" t="e">
        <f t="shared" si="72"/>
        <v>#DIV/0!</v>
      </c>
      <c r="O258" s="126">
        <v>10</v>
      </c>
      <c r="P258" s="126">
        <v>78</v>
      </c>
    </row>
    <row r="259" spans="1:16" ht="17.25" x14ac:dyDescent="0.25">
      <c r="A259" s="291">
        <v>6</v>
      </c>
      <c r="B259" s="545" t="s">
        <v>724</v>
      </c>
      <c r="C259" s="247">
        <v>52183</v>
      </c>
      <c r="D259" s="247">
        <v>50810</v>
      </c>
      <c r="E259" s="425">
        <f t="shared" si="69"/>
        <v>102.70222397165911</v>
      </c>
      <c r="F259" s="247">
        <v>10583</v>
      </c>
      <c r="G259" s="247">
        <v>2830</v>
      </c>
      <c r="H259" s="425">
        <f t="shared" si="70"/>
        <v>373.9575971731449</v>
      </c>
      <c r="I259" s="247">
        <v>13309</v>
      </c>
      <c r="J259" s="247">
        <v>44212</v>
      </c>
      <c r="K259" s="425">
        <f t="shared" si="71"/>
        <v>30.102687053288701</v>
      </c>
      <c r="L259" s="247">
        <v>0</v>
      </c>
      <c r="M259" s="247">
        <v>0</v>
      </c>
      <c r="N259" s="425" t="e">
        <f t="shared" si="72"/>
        <v>#DIV/0!</v>
      </c>
      <c r="O259" s="126">
        <v>20</v>
      </c>
      <c r="P259" s="126">
        <v>103</v>
      </c>
    </row>
    <row r="260" spans="1:16" ht="34.5" x14ac:dyDescent="0.25">
      <c r="A260" s="7">
        <v>7</v>
      </c>
      <c r="B260" s="545" t="s">
        <v>725</v>
      </c>
      <c r="C260" s="247">
        <v>18691</v>
      </c>
      <c r="D260" s="247">
        <v>3595</v>
      </c>
      <c r="E260" s="425">
        <f t="shared" si="69"/>
        <v>519.91655076495135</v>
      </c>
      <c r="F260" s="247">
        <v>1125</v>
      </c>
      <c r="G260" s="247">
        <v>0</v>
      </c>
      <c r="H260" s="425" t="e">
        <f t="shared" si="70"/>
        <v>#DIV/0!</v>
      </c>
      <c r="I260" s="247">
        <v>18691</v>
      </c>
      <c r="J260" s="247">
        <v>3595</v>
      </c>
      <c r="K260" s="425">
        <f t="shared" si="71"/>
        <v>519.91655076495135</v>
      </c>
      <c r="L260" s="247">
        <v>18691</v>
      </c>
      <c r="M260" s="247">
        <v>3595</v>
      </c>
      <c r="N260" s="425">
        <f t="shared" si="72"/>
        <v>519.91655076495135</v>
      </c>
      <c r="O260" s="126">
        <v>8</v>
      </c>
      <c r="P260" s="126">
        <v>116</v>
      </c>
    </row>
    <row r="261" spans="1:16" ht="17.25" x14ac:dyDescent="0.25">
      <c r="A261" s="291">
        <v>8</v>
      </c>
      <c r="B261" s="545" t="s">
        <v>726</v>
      </c>
      <c r="C261" s="247">
        <v>2247</v>
      </c>
      <c r="D261" s="247">
        <v>2960</v>
      </c>
      <c r="E261" s="425">
        <f t="shared" si="69"/>
        <v>75.912162162162161</v>
      </c>
      <c r="F261" s="247">
        <v>520</v>
      </c>
      <c r="G261" s="247">
        <v>425</v>
      </c>
      <c r="H261" s="425">
        <f t="shared" si="70"/>
        <v>122.35294117647059</v>
      </c>
      <c r="I261" s="247">
        <v>3063</v>
      </c>
      <c r="J261" s="247">
        <v>3053</v>
      </c>
      <c r="K261" s="425">
        <f t="shared" si="71"/>
        <v>100.32754667540125</v>
      </c>
      <c r="L261" s="247">
        <v>0</v>
      </c>
      <c r="M261" s="247">
        <v>0</v>
      </c>
      <c r="N261" s="425" t="e">
        <f t="shared" si="72"/>
        <v>#DIV/0!</v>
      </c>
      <c r="O261" s="126">
        <v>21</v>
      </c>
      <c r="P261" s="126">
        <v>73</v>
      </c>
    </row>
    <row r="262" spans="1:16" ht="17.25" x14ac:dyDescent="0.25">
      <c r="A262" s="7">
        <v>9</v>
      </c>
      <c r="B262" s="545" t="s">
        <v>727</v>
      </c>
      <c r="C262" s="247">
        <v>12412</v>
      </c>
      <c r="D262" s="247">
        <v>11253</v>
      </c>
      <c r="E262" s="425">
        <f t="shared" si="69"/>
        <v>110.29947569537013</v>
      </c>
      <c r="F262" s="247">
        <v>1618</v>
      </c>
      <c r="G262" s="247">
        <v>1473</v>
      </c>
      <c r="H262" s="425">
        <f t="shared" si="70"/>
        <v>109.84385607603531</v>
      </c>
      <c r="I262" s="247">
        <v>12412</v>
      </c>
      <c r="J262" s="247">
        <v>11253</v>
      </c>
      <c r="K262" s="425">
        <f t="shared" si="71"/>
        <v>110.29947569537013</v>
      </c>
      <c r="L262" s="247">
        <v>0</v>
      </c>
      <c r="M262" s="247">
        <v>0</v>
      </c>
      <c r="N262" s="425" t="e">
        <f t="shared" si="72"/>
        <v>#DIV/0!</v>
      </c>
      <c r="O262" s="126">
        <v>12</v>
      </c>
      <c r="P262" s="126">
        <v>74</v>
      </c>
    </row>
    <row r="264" spans="1:16" s="339" customFormat="1" ht="16.5" x14ac:dyDescent="0.25">
      <c r="A264" s="339">
        <v>2</v>
      </c>
      <c r="B264" s="418" t="s">
        <v>345</v>
      </c>
      <c r="C264" s="366"/>
    </row>
    <row r="265" spans="1:16" ht="17.25" x14ac:dyDescent="0.25">
      <c r="A265" s="1059" t="s">
        <v>734</v>
      </c>
      <c r="B265" s="1059" t="s">
        <v>155</v>
      </c>
      <c r="C265" s="254">
        <f>SUM(C266:C283)</f>
        <v>146585514.5</v>
      </c>
      <c r="D265" s="254">
        <f>SUM(D266:D283)</f>
        <v>118946170.3</v>
      </c>
      <c r="E265" s="57">
        <f t="shared" ref="E265:E283" si="73">C265/D265*100</f>
        <v>123.23685086311687</v>
      </c>
      <c r="F265" s="254">
        <f>SUM(F266:F283)</f>
        <v>19136210</v>
      </c>
      <c r="G265" s="254">
        <f>SUM(G266:G283)</f>
        <v>17762333</v>
      </c>
      <c r="H265" s="57">
        <f t="shared" ref="H265:H283" si="74">F265/G265*100</f>
        <v>107.73477785829148</v>
      </c>
      <c r="I265" s="254">
        <f>SUM(I266:I283)</f>
        <v>146585514.5</v>
      </c>
      <c r="J265" s="254">
        <f>SUM(J266:J283)</f>
        <v>118946170.3</v>
      </c>
      <c r="K265" s="57">
        <f t="shared" ref="K265:K283" si="75">I265/J265*100</f>
        <v>123.23685086311687</v>
      </c>
      <c r="L265" s="254">
        <f>SUM(L266:L283)</f>
        <v>10318562</v>
      </c>
      <c r="M265" s="254">
        <f>SUM(M266:M283)</f>
        <v>14266999</v>
      </c>
      <c r="N265" s="57">
        <f t="shared" ref="N265:N283" si="76">L265/M265*100</f>
        <v>72.324684399290987</v>
      </c>
    </row>
    <row r="266" spans="1:16" ht="17.25" x14ac:dyDescent="0.25">
      <c r="A266" s="272">
        <v>2</v>
      </c>
      <c r="B266" s="550" t="s">
        <v>306</v>
      </c>
      <c r="C266" s="601">
        <v>18408329</v>
      </c>
      <c r="D266" s="601">
        <v>17257765</v>
      </c>
      <c r="E266" s="602">
        <f t="shared" si="73"/>
        <v>106.66693514484639</v>
      </c>
      <c r="F266" s="601">
        <v>2709728</v>
      </c>
      <c r="G266" s="601">
        <v>2601023</v>
      </c>
      <c r="H266" s="602">
        <f t="shared" si="74"/>
        <v>104.17931713791073</v>
      </c>
      <c r="I266" s="601">
        <v>18408329</v>
      </c>
      <c r="J266" s="601">
        <v>17257765</v>
      </c>
      <c r="K266" s="602">
        <f t="shared" si="75"/>
        <v>106.66693514484639</v>
      </c>
      <c r="L266" s="604">
        <v>0</v>
      </c>
      <c r="M266" s="604">
        <v>0</v>
      </c>
      <c r="N266" s="606"/>
      <c r="O266" s="605">
        <v>1779</v>
      </c>
      <c r="P266" s="605">
        <v>289</v>
      </c>
    </row>
    <row r="267" spans="1:16" ht="17.25" x14ac:dyDescent="0.25">
      <c r="A267" s="272">
        <v>3</v>
      </c>
      <c r="B267" s="550" t="s">
        <v>307</v>
      </c>
      <c r="C267" s="607">
        <v>20219607</v>
      </c>
      <c r="D267" s="601">
        <v>18373790</v>
      </c>
      <c r="E267" s="602">
        <f t="shared" si="73"/>
        <v>110.04592411255381</v>
      </c>
      <c r="F267" s="601">
        <v>3760121</v>
      </c>
      <c r="G267" s="601">
        <v>3345075</v>
      </c>
      <c r="H267" s="602">
        <f t="shared" si="74"/>
        <v>112.40767396844615</v>
      </c>
      <c r="I267" s="601">
        <f t="shared" ref="I267:J277" si="77">C267</f>
        <v>20219607</v>
      </c>
      <c r="J267" s="601">
        <f t="shared" si="77"/>
        <v>18373790</v>
      </c>
      <c r="K267" s="602">
        <f t="shared" si="75"/>
        <v>110.04592411255381</v>
      </c>
      <c r="L267" s="601">
        <v>10274378</v>
      </c>
      <c r="M267" s="601">
        <v>14266999</v>
      </c>
      <c r="N267" s="602">
        <f t="shared" ref="N267:N278" si="78">L267/M267*100</f>
        <v>72.014990678838629</v>
      </c>
      <c r="O267" s="605">
        <v>448</v>
      </c>
      <c r="P267" s="605">
        <v>191</v>
      </c>
    </row>
    <row r="268" spans="1:16" ht="17.25" x14ac:dyDescent="0.25">
      <c r="A268" s="272">
        <v>14</v>
      </c>
      <c r="B268" s="550" t="s">
        <v>318</v>
      </c>
      <c r="C268" s="607">
        <v>17176428</v>
      </c>
      <c r="D268" s="601">
        <v>9493807</v>
      </c>
      <c r="E268" s="602">
        <f>C268/D268*100</f>
        <v>180.9224476545605</v>
      </c>
      <c r="F268" s="601">
        <v>878119</v>
      </c>
      <c r="G268" s="601">
        <v>340004</v>
      </c>
      <c r="H268" s="602">
        <f>F268/G268*100</f>
        <v>258.26725567934494</v>
      </c>
      <c r="I268" s="601">
        <f>C268</f>
        <v>17176428</v>
      </c>
      <c r="J268" s="601">
        <f>D268</f>
        <v>9493807</v>
      </c>
      <c r="K268" s="602">
        <f>I268/J268*100</f>
        <v>180.9224476545605</v>
      </c>
      <c r="L268" s="604">
        <v>0</v>
      </c>
      <c r="M268" s="604">
        <v>0</v>
      </c>
      <c r="N268" s="602" t="e">
        <f t="shared" si="78"/>
        <v>#DIV/0!</v>
      </c>
      <c r="O268" s="605">
        <v>681</v>
      </c>
      <c r="P268" s="605">
        <v>153</v>
      </c>
    </row>
    <row r="269" spans="1:16" ht="17.25" x14ac:dyDescent="0.25">
      <c r="A269" s="272">
        <v>4</v>
      </c>
      <c r="B269" s="550" t="s">
        <v>308</v>
      </c>
      <c r="C269" s="607">
        <v>4271705</v>
      </c>
      <c r="D269" s="601">
        <v>3530600</v>
      </c>
      <c r="E269" s="602">
        <f t="shared" si="73"/>
        <v>120.9909080609528</v>
      </c>
      <c r="F269" s="601">
        <v>578927</v>
      </c>
      <c r="G269" s="601">
        <v>761073</v>
      </c>
      <c r="H269" s="602">
        <f t="shared" si="74"/>
        <v>76.067210372723764</v>
      </c>
      <c r="I269" s="601">
        <f t="shared" si="77"/>
        <v>4271705</v>
      </c>
      <c r="J269" s="601">
        <f t="shared" si="77"/>
        <v>3530600</v>
      </c>
      <c r="K269" s="602">
        <f t="shared" si="75"/>
        <v>120.9909080609528</v>
      </c>
      <c r="L269" s="604">
        <v>0</v>
      </c>
      <c r="M269" s="604">
        <v>0</v>
      </c>
      <c r="N269" s="602" t="e">
        <f t="shared" si="78"/>
        <v>#DIV/0!</v>
      </c>
      <c r="O269" s="605">
        <v>209</v>
      </c>
      <c r="P269" s="605">
        <v>194</v>
      </c>
    </row>
    <row r="270" spans="1:16" ht="34.5" x14ac:dyDescent="0.25">
      <c r="A270" s="272">
        <v>13</v>
      </c>
      <c r="B270" s="549" t="s">
        <v>317</v>
      </c>
      <c r="C270" s="607">
        <v>2481884</v>
      </c>
      <c r="D270" s="601">
        <v>1918421</v>
      </c>
      <c r="E270" s="602">
        <f>C270/D270*100</f>
        <v>129.37118599097903</v>
      </c>
      <c r="F270" s="601">
        <v>426113</v>
      </c>
      <c r="G270" s="601">
        <v>339590</v>
      </c>
      <c r="H270" s="602">
        <f>F270/G270*100</f>
        <v>125.47866544951265</v>
      </c>
      <c r="I270" s="601">
        <f t="shared" ref="I270:J271" si="79">C270</f>
        <v>2481884</v>
      </c>
      <c r="J270" s="601">
        <f t="shared" si="79"/>
        <v>1918421</v>
      </c>
      <c r="K270" s="602">
        <f>I270/J270*100</f>
        <v>129.37118599097903</v>
      </c>
      <c r="L270" s="604">
        <v>0</v>
      </c>
      <c r="M270" s="604">
        <v>0</v>
      </c>
      <c r="N270" s="602" t="e">
        <f t="shared" si="78"/>
        <v>#DIV/0!</v>
      </c>
      <c r="O270" s="605">
        <v>462</v>
      </c>
      <c r="P270" s="605">
        <v>216</v>
      </c>
    </row>
    <row r="271" spans="1:16" ht="34.5" x14ac:dyDescent="0.25">
      <c r="A271" s="272">
        <v>1</v>
      </c>
      <c r="B271" s="642" t="s">
        <v>571</v>
      </c>
      <c r="C271" s="607">
        <v>10265772</v>
      </c>
      <c r="D271" s="601">
        <v>10628498</v>
      </c>
      <c r="E271" s="602">
        <f>C271/D271*100</f>
        <v>96.58723179888635</v>
      </c>
      <c r="F271" s="601">
        <v>764082</v>
      </c>
      <c r="G271" s="601">
        <v>1008662</v>
      </c>
      <c r="H271" s="602">
        <f>F271/G271*100</f>
        <v>75.752035865334477</v>
      </c>
      <c r="I271" s="601">
        <f t="shared" si="79"/>
        <v>10265772</v>
      </c>
      <c r="J271" s="601">
        <f t="shared" si="79"/>
        <v>10628498</v>
      </c>
      <c r="K271" s="602">
        <f>I271/J271*100</f>
        <v>96.58723179888635</v>
      </c>
      <c r="L271" s="604"/>
      <c r="M271" s="604"/>
      <c r="N271" s="606"/>
      <c r="O271" s="643">
        <v>1490</v>
      </c>
      <c r="P271" s="603">
        <v>112</v>
      </c>
    </row>
    <row r="272" spans="1:16" ht="17.25" x14ac:dyDescent="0.25">
      <c r="A272" s="272">
        <v>15</v>
      </c>
      <c r="B272" s="550" t="s">
        <v>570</v>
      </c>
      <c r="C272" s="607">
        <v>10265772</v>
      </c>
      <c r="D272" s="601">
        <v>10628498</v>
      </c>
      <c r="E272" s="602">
        <f>C272/D272*100</f>
        <v>96.58723179888635</v>
      </c>
      <c r="F272" s="601">
        <v>764082</v>
      </c>
      <c r="G272" s="601">
        <v>1008662</v>
      </c>
      <c r="H272" s="602">
        <f>F272/G272*100</f>
        <v>75.752035865334477</v>
      </c>
      <c r="I272" s="601">
        <f>C272</f>
        <v>10265772</v>
      </c>
      <c r="J272" s="601">
        <f>D272</f>
        <v>10628498</v>
      </c>
      <c r="K272" s="602">
        <f>I272/J272*100</f>
        <v>96.58723179888635</v>
      </c>
      <c r="L272" s="604">
        <v>0</v>
      </c>
      <c r="M272" s="604">
        <v>0</v>
      </c>
      <c r="N272" s="602" t="e">
        <f t="shared" si="78"/>
        <v>#DIV/0!</v>
      </c>
      <c r="O272" s="605">
        <v>1490</v>
      </c>
      <c r="P272" s="605">
        <v>112</v>
      </c>
    </row>
    <row r="273" spans="1:16" ht="17.25" x14ac:dyDescent="0.25">
      <c r="A273" s="272">
        <v>5</v>
      </c>
      <c r="B273" s="550" t="s">
        <v>309</v>
      </c>
      <c r="C273" s="607">
        <v>4844185</v>
      </c>
      <c r="D273" s="601">
        <v>2216323</v>
      </c>
      <c r="E273" s="602">
        <f t="shared" si="73"/>
        <v>218.56854799593742</v>
      </c>
      <c r="F273" s="601">
        <v>757544</v>
      </c>
      <c r="G273" s="601">
        <v>574958</v>
      </c>
      <c r="H273" s="602">
        <f t="shared" si="74"/>
        <v>131.75640655491358</v>
      </c>
      <c r="I273" s="607">
        <v>4844185</v>
      </c>
      <c r="J273" s="601">
        <v>2216323</v>
      </c>
      <c r="K273" s="602">
        <f t="shared" si="75"/>
        <v>218.56854799593742</v>
      </c>
      <c r="L273" s="604">
        <v>44184</v>
      </c>
      <c r="M273" s="604">
        <v>0</v>
      </c>
      <c r="N273" s="602" t="e">
        <f t="shared" si="78"/>
        <v>#DIV/0!</v>
      </c>
      <c r="O273" s="605">
        <v>798</v>
      </c>
      <c r="P273" s="605">
        <v>223</v>
      </c>
    </row>
    <row r="274" spans="1:16" ht="34.5" x14ac:dyDescent="0.25">
      <c r="A274" s="272">
        <v>12</v>
      </c>
      <c r="B274" s="549" t="s">
        <v>316</v>
      </c>
      <c r="C274" s="604">
        <v>29820254</v>
      </c>
      <c r="D274" s="604">
        <v>25123984</v>
      </c>
      <c r="E274" s="602">
        <f>C274/D274*100</f>
        <v>118.69237776938562</v>
      </c>
      <c r="F274" s="604">
        <v>5634251</v>
      </c>
      <c r="G274" s="604">
        <v>5529696</v>
      </c>
      <c r="H274" s="602">
        <f>F274/G274*100</f>
        <v>101.89079110316372</v>
      </c>
      <c r="I274" s="604">
        <v>29820254</v>
      </c>
      <c r="J274" s="604">
        <v>25123984</v>
      </c>
      <c r="K274" s="602">
        <f>I274/J274*100</f>
        <v>118.69237776938562</v>
      </c>
      <c r="L274" s="604">
        <v>0</v>
      </c>
      <c r="M274" s="604">
        <v>0</v>
      </c>
      <c r="N274" s="602" t="e">
        <f t="shared" si="78"/>
        <v>#DIV/0!</v>
      </c>
      <c r="O274" s="605">
        <v>7755</v>
      </c>
      <c r="P274" s="605">
        <v>208</v>
      </c>
    </row>
    <row r="275" spans="1:16" ht="34.5" x14ac:dyDescent="0.25">
      <c r="A275" s="272">
        <v>16</v>
      </c>
      <c r="B275" s="549" t="s">
        <v>572</v>
      </c>
      <c r="C275" s="607">
        <v>27782270</v>
      </c>
      <c r="D275" s="601">
        <v>18773875</v>
      </c>
      <c r="E275" s="602">
        <f>C275/D275*100</f>
        <v>147.98367412161849</v>
      </c>
      <c r="F275" s="601">
        <v>2733763</v>
      </c>
      <c r="G275" s="601">
        <v>2122931</v>
      </c>
      <c r="H275" s="602">
        <f>F275/G275*100</f>
        <v>128.77305008971086</v>
      </c>
      <c r="I275" s="601">
        <f>C275</f>
        <v>27782270</v>
      </c>
      <c r="J275" s="601">
        <f>D275</f>
        <v>18773875</v>
      </c>
      <c r="K275" s="602">
        <f>I275/J275*100</f>
        <v>147.98367412161849</v>
      </c>
      <c r="L275" s="604">
        <v>0</v>
      </c>
      <c r="M275" s="604">
        <v>0</v>
      </c>
      <c r="N275" s="602" t="e">
        <f t="shared" si="78"/>
        <v>#DIV/0!</v>
      </c>
      <c r="O275" s="605">
        <v>4978</v>
      </c>
      <c r="P275" s="605">
        <v>239</v>
      </c>
    </row>
    <row r="276" spans="1:16" ht="17.25" x14ac:dyDescent="0.25">
      <c r="A276" s="272">
        <v>7</v>
      </c>
      <c r="B276" s="550" t="s">
        <v>311</v>
      </c>
      <c r="C276" s="604">
        <v>122080</v>
      </c>
      <c r="D276" s="604">
        <v>94847</v>
      </c>
      <c r="E276" s="602">
        <f>C276/D276*100</f>
        <v>128.71255811991944</v>
      </c>
      <c r="F276" s="604">
        <v>14628</v>
      </c>
      <c r="G276" s="604">
        <v>15262</v>
      </c>
      <c r="H276" s="602">
        <f>F276/G276*100</f>
        <v>95.845891757305722</v>
      </c>
      <c r="I276" s="601">
        <f t="shared" ref="I276:J276" si="80">C276</f>
        <v>122080</v>
      </c>
      <c r="J276" s="601">
        <f t="shared" si="80"/>
        <v>94847</v>
      </c>
      <c r="K276" s="602">
        <f>I276/J276*100</f>
        <v>128.71255811991944</v>
      </c>
      <c r="L276" s="604">
        <v>0</v>
      </c>
      <c r="M276" s="604">
        <v>0</v>
      </c>
      <c r="N276" s="602" t="e">
        <f t="shared" si="78"/>
        <v>#DIV/0!</v>
      </c>
      <c r="O276" s="605">
        <v>36</v>
      </c>
      <c r="P276" s="605">
        <v>207</v>
      </c>
    </row>
    <row r="277" spans="1:16" ht="34.5" x14ac:dyDescent="0.25">
      <c r="A277" s="272">
        <v>6</v>
      </c>
      <c r="B277" s="549" t="s">
        <v>310</v>
      </c>
      <c r="C277" s="604">
        <v>927228.5</v>
      </c>
      <c r="D277" s="604">
        <v>905762.3</v>
      </c>
      <c r="E277" s="602">
        <f t="shared" si="73"/>
        <v>102.36995953574133</v>
      </c>
      <c r="F277" s="604">
        <v>114852</v>
      </c>
      <c r="G277" s="604">
        <v>115397</v>
      </c>
      <c r="H277" s="602">
        <f t="shared" si="74"/>
        <v>99.527717358336872</v>
      </c>
      <c r="I277" s="601">
        <f t="shared" si="77"/>
        <v>927228.5</v>
      </c>
      <c r="J277" s="601">
        <f t="shared" si="77"/>
        <v>905762.3</v>
      </c>
      <c r="K277" s="602">
        <f t="shared" si="75"/>
        <v>102.36995953574133</v>
      </c>
      <c r="L277" s="604">
        <v>0</v>
      </c>
      <c r="M277" s="604">
        <v>0</v>
      </c>
      <c r="N277" s="602" t="e">
        <f t="shared" si="78"/>
        <v>#DIV/0!</v>
      </c>
      <c r="O277" s="605">
        <v>189</v>
      </c>
      <c r="P277" s="605">
        <v>291</v>
      </c>
    </row>
    <row r="278" spans="1:16" ht="17.25" x14ac:dyDescent="0.25">
      <c r="A278" s="272"/>
      <c r="B278" s="549"/>
      <c r="C278" s="604"/>
      <c r="D278" s="604"/>
      <c r="E278" s="602"/>
      <c r="F278" s="604"/>
      <c r="G278" s="604"/>
      <c r="H278" s="602"/>
      <c r="I278" s="601"/>
      <c r="J278" s="601"/>
      <c r="K278" s="602"/>
      <c r="L278" s="604">
        <v>0</v>
      </c>
      <c r="M278" s="604">
        <v>0</v>
      </c>
      <c r="N278" s="602" t="e">
        <f t="shared" si="78"/>
        <v>#DIV/0!</v>
      </c>
      <c r="O278" s="605"/>
      <c r="P278" s="605"/>
    </row>
    <row r="279" spans="1:16" ht="17.25" x14ac:dyDescent="0.25">
      <c r="A279" s="272">
        <v>8</v>
      </c>
      <c r="B279" s="550" t="s">
        <v>312</v>
      </c>
      <c r="C279" s="474">
        <v>0</v>
      </c>
      <c r="D279" s="474">
        <v>0</v>
      </c>
      <c r="E279" s="425" t="e">
        <f t="shared" si="73"/>
        <v>#DIV/0!</v>
      </c>
      <c r="F279" s="474">
        <v>0</v>
      </c>
      <c r="G279" s="474">
        <v>0</v>
      </c>
      <c r="H279" s="425" t="e">
        <f t="shared" si="74"/>
        <v>#DIV/0!</v>
      </c>
      <c r="I279" s="473"/>
      <c r="J279" s="473"/>
      <c r="K279" s="425" t="e">
        <f t="shared" si="75"/>
        <v>#DIV/0!</v>
      </c>
      <c r="L279" s="474">
        <v>0</v>
      </c>
      <c r="M279" s="474">
        <v>0</v>
      </c>
      <c r="N279" s="425" t="e">
        <f t="shared" si="76"/>
        <v>#DIV/0!</v>
      </c>
      <c r="O279" s="127"/>
      <c r="P279" s="127"/>
    </row>
    <row r="280" spans="1:16" ht="17.25" x14ac:dyDescent="0.25">
      <c r="A280" s="272">
        <v>10</v>
      </c>
      <c r="B280" s="550" t="s">
        <v>314</v>
      </c>
      <c r="C280" s="474">
        <v>0</v>
      </c>
      <c r="D280" s="474">
        <v>0</v>
      </c>
      <c r="E280" s="425" t="e">
        <f t="shared" si="73"/>
        <v>#DIV/0!</v>
      </c>
      <c r="F280" s="474">
        <v>0</v>
      </c>
      <c r="G280" s="474">
        <v>0</v>
      </c>
      <c r="H280" s="425" t="e">
        <f t="shared" si="74"/>
        <v>#DIV/0!</v>
      </c>
      <c r="I280" s="473"/>
      <c r="J280" s="473"/>
      <c r="K280" s="425" t="e">
        <f t="shared" si="75"/>
        <v>#DIV/0!</v>
      </c>
      <c r="L280" s="474">
        <v>0</v>
      </c>
      <c r="M280" s="474">
        <v>0</v>
      </c>
      <c r="N280" s="425" t="e">
        <f t="shared" si="76"/>
        <v>#DIV/0!</v>
      </c>
      <c r="O280" s="127"/>
      <c r="P280" s="127"/>
    </row>
    <row r="281" spans="1:16" ht="17.25" x14ac:dyDescent="0.25">
      <c r="A281" s="272">
        <v>11</v>
      </c>
      <c r="B281" s="550" t="s">
        <v>315</v>
      </c>
      <c r="C281" s="474">
        <v>0</v>
      </c>
      <c r="D281" s="474">
        <v>0</v>
      </c>
      <c r="E281" s="425" t="e">
        <f t="shared" si="73"/>
        <v>#DIV/0!</v>
      </c>
      <c r="F281" s="474">
        <v>0</v>
      </c>
      <c r="G281" s="474">
        <v>0</v>
      </c>
      <c r="H281" s="425" t="e">
        <f t="shared" si="74"/>
        <v>#DIV/0!</v>
      </c>
      <c r="I281" s="473"/>
      <c r="J281" s="473"/>
      <c r="K281" s="425" t="e">
        <f t="shared" si="75"/>
        <v>#DIV/0!</v>
      </c>
      <c r="L281" s="474">
        <v>0</v>
      </c>
      <c r="M281" s="474">
        <v>0</v>
      </c>
      <c r="N281" s="425" t="e">
        <f t="shared" si="76"/>
        <v>#DIV/0!</v>
      </c>
      <c r="O281" s="127"/>
      <c r="P281" s="127"/>
    </row>
    <row r="282" spans="1:16" ht="51.75" x14ac:dyDescent="0.25">
      <c r="A282" s="272">
        <v>9</v>
      </c>
      <c r="B282" s="549" t="s">
        <v>313</v>
      </c>
      <c r="C282" s="474">
        <v>0</v>
      </c>
      <c r="D282" s="474">
        <v>0</v>
      </c>
      <c r="E282" s="425" t="e">
        <f>C282/D282*100</f>
        <v>#DIV/0!</v>
      </c>
      <c r="F282" s="474">
        <v>0</v>
      </c>
      <c r="G282" s="474">
        <v>0</v>
      </c>
      <c r="H282" s="425" t="e">
        <f>F282/G282*100</f>
        <v>#DIV/0!</v>
      </c>
      <c r="I282" s="473">
        <v>0</v>
      </c>
      <c r="J282" s="473">
        <v>0</v>
      </c>
      <c r="K282" s="425" t="e">
        <f>I282/J282*100</f>
        <v>#DIV/0!</v>
      </c>
      <c r="L282" s="474">
        <v>0</v>
      </c>
      <c r="M282" s="474">
        <v>0</v>
      </c>
      <c r="N282" s="425" t="e">
        <f>L282/M282*100</f>
        <v>#DIV/0!</v>
      </c>
      <c r="O282" s="127"/>
      <c r="P282" s="127"/>
    </row>
    <row r="283" spans="1:16" ht="17.25" x14ac:dyDescent="0.25">
      <c r="A283" s="272">
        <v>17</v>
      </c>
      <c r="B283" s="550" t="s">
        <v>320</v>
      </c>
      <c r="C283" s="474">
        <v>0</v>
      </c>
      <c r="D283" s="474">
        <v>0</v>
      </c>
      <c r="E283" s="425" t="e">
        <f t="shared" si="73"/>
        <v>#DIV/0!</v>
      </c>
      <c r="F283" s="474">
        <v>0</v>
      </c>
      <c r="G283" s="474">
        <v>0</v>
      </c>
      <c r="H283" s="425" t="e">
        <f t="shared" si="74"/>
        <v>#DIV/0!</v>
      </c>
      <c r="I283" s="473"/>
      <c r="J283" s="473"/>
      <c r="K283" s="425" t="e">
        <f t="shared" si="75"/>
        <v>#DIV/0!</v>
      </c>
      <c r="L283" s="474">
        <v>0</v>
      </c>
      <c r="M283" s="474">
        <v>0</v>
      </c>
      <c r="N283" s="425" t="e">
        <f t="shared" si="76"/>
        <v>#DIV/0!</v>
      </c>
      <c r="O283" s="127"/>
      <c r="P283" s="127"/>
    </row>
    <row r="284" spans="1:16" ht="120" customHeight="1" x14ac:dyDescent="0.25">
      <c r="A284" s="504"/>
      <c r="B284" s="541"/>
      <c r="C284" s="542"/>
      <c r="D284" s="542"/>
      <c r="E284" s="542"/>
      <c r="F284" s="542"/>
      <c r="G284" s="542"/>
      <c r="H284" s="542"/>
      <c r="I284" s="543"/>
      <c r="J284" s="543"/>
      <c r="K284" s="542"/>
      <c r="L284" s="542"/>
      <c r="M284" s="542"/>
      <c r="N284" s="439"/>
    </row>
    <row r="285" spans="1:16" s="587" customFormat="1" ht="16.5" x14ac:dyDescent="0.25">
      <c r="A285" s="585">
        <v>3</v>
      </c>
      <c r="B285" s="586" t="s">
        <v>346</v>
      </c>
      <c r="C285" s="586"/>
      <c r="F285" s="586"/>
      <c r="G285" s="586"/>
      <c r="H285" s="586"/>
      <c r="I285" s="586"/>
      <c r="J285" s="586"/>
      <c r="K285" s="586"/>
      <c r="L285" s="586"/>
      <c r="M285" s="586"/>
      <c r="N285" s="586"/>
    </row>
    <row r="286" spans="1:16" ht="16.5" x14ac:dyDescent="0.25">
      <c r="A286" s="1060" t="s">
        <v>734</v>
      </c>
      <c r="B286" s="1061"/>
      <c r="C286" s="588">
        <f>SUM(C287:C291)</f>
        <v>1462640</v>
      </c>
      <c r="D286" s="588">
        <f>SUM(D287:D291)</f>
        <v>1412925</v>
      </c>
      <c r="E286" s="589">
        <f>C286/D286*100</f>
        <v>103.51858732770671</v>
      </c>
      <c r="F286" s="588">
        <f>SUM(F287:F291)</f>
        <v>167540</v>
      </c>
      <c r="G286" s="588">
        <f>SUM(G287:G291)</f>
        <v>171010</v>
      </c>
      <c r="H286" s="589">
        <f>F286/G286*100</f>
        <v>97.970878895970998</v>
      </c>
      <c r="I286" s="588">
        <f>SUM(I287:I291)</f>
        <v>1462640</v>
      </c>
      <c r="J286" s="588">
        <f>SUM(J287:J291)</f>
        <v>1412925</v>
      </c>
      <c r="K286" s="589">
        <f>I286/J286*100</f>
        <v>103.51858732770671</v>
      </c>
      <c r="L286" s="588">
        <f>SUM(L287:L291)</f>
        <v>250786</v>
      </c>
      <c r="M286" s="588">
        <f>SUM(M287:M291)</f>
        <v>279844</v>
      </c>
      <c r="N286" s="589">
        <f>L286/M286*100</f>
        <v>89.616357684995933</v>
      </c>
    </row>
    <row r="287" spans="1:16" ht="17.25" x14ac:dyDescent="0.25">
      <c r="A287" s="307">
        <v>1</v>
      </c>
      <c r="B287" s="548" t="s">
        <v>331</v>
      </c>
      <c r="C287" s="322">
        <v>66812</v>
      </c>
      <c r="D287" s="322">
        <v>66335</v>
      </c>
      <c r="E287" s="425">
        <f t="shared" ref="E287:E291" si="81">C287/D287*100</f>
        <v>100.71907741011532</v>
      </c>
      <c r="F287" s="322">
        <v>8384</v>
      </c>
      <c r="G287" s="322">
        <v>7284</v>
      </c>
      <c r="H287" s="425">
        <f t="shared" ref="H287:H291" si="82">F287/G287*100</f>
        <v>115.10159253157606</v>
      </c>
      <c r="I287" s="322">
        <v>66812</v>
      </c>
      <c r="J287" s="322">
        <v>66335</v>
      </c>
      <c r="K287" s="425">
        <f t="shared" ref="K287:K291" si="83">I287/J287*100</f>
        <v>100.71907741011532</v>
      </c>
      <c r="L287" s="322">
        <v>0</v>
      </c>
      <c r="M287" s="322">
        <v>0</v>
      </c>
      <c r="N287" s="555" t="e">
        <f t="shared" ref="N287:N291" si="84">L287/M287*100</f>
        <v>#DIV/0!</v>
      </c>
      <c r="O287" s="126">
        <v>34</v>
      </c>
      <c r="P287" s="126">
        <v>85</v>
      </c>
    </row>
    <row r="288" spans="1:16" ht="17.25" x14ac:dyDescent="0.25">
      <c r="A288" s="307">
        <v>2</v>
      </c>
      <c r="B288" s="548" t="s">
        <v>332</v>
      </c>
      <c r="C288" s="322">
        <v>163901</v>
      </c>
      <c r="D288" s="322">
        <v>169162</v>
      </c>
      <c r="E288" s="425">
        <f t="shared" si="81"/>
        <v>96.889963466972489</v>
      </c>
      <c r="F288" s="322">
        <v>20031</v>
      </c>
      <c r="G288" s="322">
        <v>20946</v>
      </c>
      <c r="H288" s="425">
        <f t="shared" si="82"/>
        <v>95.631624176453727</v>
      </c>
      <c r="I288" s="322">
        <v>163901</v>
      </c>
      <c r="J288" s="322">
        <v>169162</v>
      </c>
      <c r="K288" s="425">
        <f t="shared" si="83"/>
        <v>96.889963466972489</v>
      </c>
      <c r="L288" s="322">
        <v>0</v>
      </c>
      <c r="M288" s="322">
        <v>0</v>
      </c>
      <c r="N288" s="555" t="e">
        <f t="shared" si="84"/>
        <v>#DIV/0!</v>
      </c>
      <c r="O288" s="126">
        <v>203</v>
      </c>
      <c r="P288" s="126">
        <v>85</v>
      </c>
    </row>
    <row r="289" spans="1:16" ht="69" x14ac:dyDescent="0.25">
      <c r="A289" s="307">
        <v>3</v>
      </c>
      <c r="B289" s="548" t="s">
        <v>333</v>
      </c>
      <c r="C289" s="322">
        <v>1062973</v>
      </c>
      <c r="D289" s="322">
        <v>1123002</v>
      </c>
      <c r="E289" s="425">
        <f t="shared" si="81"/>
        <v>94.65459545040882</v>
      </c>
      <c r="F289" s="322">
        <v>131726</v>
      </c>
      <c r="G289" s="322">
        <v>136171</v>
      </c>
      <c r="H289" s="425">
        <f t="shared" si="82"/>
        <v>96.735721996607211</v>
      </c>
      <c r="I289" s="539">
        <v>1062973</v>
      </c>
      <c r="J289" s="322">
        <v>1123002</v>
      </c>
      <c r="K289" s="425">
        <f t="shared" si="83"/>
        <v>94.65459545040882</v>
      </c>
      <c r="L289" s="322">
        <v>250786</v>
      </c>
      <c r="M289" s="322">
        <v>279844</v>
      </c>
      <c r="N289" s="555">
        <f t="shared" si="84"/>
        <v>89.616357684995933</v>
      </c>
      <c r="O289" s="126">
        <v>690</v>
      </c>
      <c r="P289" s="126">
        <v>93</v>
      </c>
    </row>
    <row r="290" spans="1:16" ht="17.25" x14ac:dyDescent="0.25">
      <c r="A290" s="307">
        <v>4</v>
      </c>
      <c r="B290" s="548" t="s">
        <v>334</v>
      </c>
      <c r="C290" s="322">
        <v>168954</v>
      </c>
      <c r="D290" s="322">
        <v>54426</v>
      </c>
      <c r="E290" s="425">
        <f t="shared" si="81"/>
        <v>310.42883915775548</v>
      </c>
      <c r="F290" s="322">
        <v>7399</v>
      </c>
      <c r="G290" s="322">
        <v>6609</v>
      </c>
      <c r="H290" s="425">
        <f t="shared" si="82"/>
        <v>111.95339688303829</v>
      </c>
      <c r="I290" s="322">
        <v>168954</v>
      </c>
      <c r="J290" s="322">
        <v>54426</v>
      </c>
      <c r="K290" s="425">
        <f t="shared" si="83"/>
        <v>310.42883915775548</v>
      </c>
      <c r="L290" s="322">
        <v>0</v>
      </c>
      <c r="M290" s="322">
        <v>0</v>
      </c>
      <c r="N290" s="555" t="e">
        <f t="shared" si="84"/>
        <v>#DIV/0!</v>
      </c>
      <c r="O290" s="126">
        <v>41</v>
      </c>
      <c r="P290" s="126">
        <v>135</v>
      </c>
    </row>
    <row r="291" spans="1:16" ht="51.75" x14ac:dyDescent="0.25">
      <c r="A291" s="307">
        <v>5</v>
      </c>
      <c r="B291" s="548" t="s">
        <v>335</v>
      </c>
      <c r="C291" s="322">
        <v>0</v>
      </c>
      <c r="D291" s="322">
        <v>0</v>
      </c>
      <c r="E291" s="425" t="e">
        <f t="shared" si="81"/>
        <v>#DIV/0!</v>
      </c>
      <c r="F291" s="322">
        <v>0</v>
      </c>
      <c r="G291" s="322">
        <v>0</v>
      </c>
      <c r="H291" s="425" t="e">
        <f t="shared" si="82"/>
        <v>#DIV/0!</v>
      </c>
      <c r="I291" s="322">
        <v>0</v>
      </c>
      <c r="J291" s="322">
        <v>0</v>
      </c>
      <c r="K291" s="425" t="e">
        <f t="shared" si="83"/>
        <v>#DIV/0!</v>
      </c>
      <c r="L291" s="322">
        <v>0</v>
      </c>
      <c r="M291" s="322">
        <v>0</v>
      </c>
      <c r="N291" s="555" t="e">
        <f t="shared" si="84"/>
        <v>#DIV/0!</v>
      </c>
    </row>
    <row r="293" spans="1:16" ht="16.5" x14ac:dyDescent="0.25">
      <c r="A293" s="585">
        <v>4</v>
      </c>
      <c r="B293" s="590" t="s">
        <v>543</v>
      </c>
      <c r="C293" s="586"/>
      <c r="D293" s="586"/>
      <c r="E293" s="586"/>
      <c r="F293" s="586"/>
      <c r="G293" s="586"/>
      <c r="H293" s="586"/>
      <c r="I293" s="586"/>
      <c r="J293" s="586"/>
      <c r="K293" s="586"/>
      <c r="L293" s="586"/>
      <c r="M293" s="586"/>
      <c r="N293" s="586"/>
    </row>
    <row r="294" spans="1:16" ht="16.5" x14ac:dyDescent="0.25">
      <c r="A294" s="588"/>
      <c r="B294" s="591" t="s">
        <v>734</v>
      </c>
      <c r="C294" s="588">
        <f>SUM(C295:C295)</f>
        <v>0</v>
      </c>
      <c r="D294" s="588">
        <f>SUM(D295:D295)</f>
        <v>0</v>
      </c>
      <c r="E294" s="589" t="e">
        <f>C294/D294*100</f>
        <v>#DIV/0!</v>
      </c>
      <c r="F294" s="588">
        <f>SUM(F295:F295)</f>
        <v>0</v>
      </c>
      <c r="G294" s="588">
        <f>SUM(G295:G295)</f>
        <v>0</v>
      </c>
      <c r="H294" s="589" t="e">
        <f>F294/G294*100</f>
        <v>#DIV/0!</v>
      </c>
      <c r="I294" s="588">
        <f>SUM(I295:I295)</f>
        <v>0</v>
      </c>
      <c r="J294" s="588">
        <f>SUM(J295:J295)</f>
        <v>0</v>
      </c>
      <c r="K294" s="589" t="e">
        <f>I294/J294*100</f>
        <v>#DIV/0!</v>
      </c>
      <c r="L294" s="588">
        <f>SUM(L295:L295)</f>
        <v>0</v>
      </c>
      <c r="M294" s="588">
        <f>SUM(M295:M295)</f>
        <v>0</v>
      </c>
      <c r="N294" s="589">
        <v>0</v>
      </c>
    </row>
    <row r="295" spans="1:16" ht="17.25" x14ac:dyDescent="0.25">
      <c r="A295" s="307">
        <v>1</v>
      </c>
      <c r="B295" s="548" t="s">
        <v>728</v>
      </c>
      <c r="C295" s="426"/>
      <c r="D295" s="426"/>
      <c r="E295" s="323" t="e">
        <f>C295/D295*100</f>
        <v>#DIV/0!</v>
      </c>
      <c r="F295" s="426"/>
      <c r="G295" s="426"/>
      <c r="H295" s="323" t="e">
        <f>F295/G295*100</f>
        <v>#DIV/0!</v>
      </c>
      <c r="I295" s="426"/>
      <c r="J295" s="426"/>
      <c r="K295" s="323" t="e">
        <f>I295/J295*100</f>
        <v>#DIV/0!</v>
      </c>
      <c r="L295" s="426"/>
      <c r="M295" s="426"/>
      <c r="N295" s="323">
        <v>0</v>
      </c>
    </row>
  </sheetData>
  <mergeCells count="39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M4:M8"/>
    <mergeCell ref="N4:N8"/>
    <mergeCell ref="L4:L8"/>
    <mergeCell ref="G4:G8"/>
    <mergeCell ref="H4:H8"/>
    <mergeCell ref="I4:I8"/>
    <mergeCell ref="J4:J8"/>
    <mergeCell ref="K4:K8"/>
    <mergeCell ref="A29:N30"/>
    <mergeCell ref="A246:B246"/>
    <mergeCell ref="A95:B95"/>
    <mergeCell ref="A55:B55"/>
    <mergeCell ref="A69:B69"/>
    <mergeCell ref="A79:B79"/>
    <mergeCell ref="B31:B32"/>
    <mergeCell ref="C31:G31"/>
    <mergeCell ref="H31:K31"/>
    <mergeCell ref="A34:B34"/>
    <mergeCell ref="A35:B35"/>
    <mergeCell ref="A31:A32"/>
    <mergeCell ref="A265:B265"/>
    <mergeCell ref="A286:B286"/>
    <mergeCell ref="A132:B132"/>
    <mergeCell ref="A133:B133"/>
    <mergeCell ref="A158:B158"/>
    <mergeCell ref="A159:B159"/>
    <mergeCell ref="A188:B188"/>
    <mergeCell ref="A194:B194"/>
    <mergeCell ref="A237:B237"/>
  </mergeCells>
  <pageMargins left="0.25" right="0.25" top="0.25" bottom="0.25" header="0.25" footer="0.25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Հունվար</vt:lpstr>
      <vt:lpstr>Փետրվար</vt:lpstr>
      <vt:lpstr>Sheet1</vt:lpstr>
      <vt:lpstr>Մարտ</vt:lpstr>
      <vt:lpstr>Ապրիլ</vt:lpstr>
      <vt:lpstr>Մայիս</vt:lpstr>
      <vt:lpstr>Հունիս</vt:lpstr>
      <vt:lpstr>Հուլիս</vt:lpstr>
      <vt:lpstr>Օգոստոս</vt:lpstr>
      <vt:lpstr>Սեպտեմբեր</vt:lpstr>
      <vt:lpstr>Հոկտեմբեր</vt:lpstr>
      <vt:lpstr>Նոյեմբեր</vt:lpstr>
      <vt:lpstr>Դեկտեմբեր</vt:lpstr>
      <vt:lpstr>2015 Հունվար</vt:lpstr>
      <vt:lpstr>Sheet2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2016-02-15T08:11:13Z</dcterms:modified>
</cp:coreProperties>
</file>