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gk94\Documents\iGorts\MoE\Armenia data\"/>
    </mc:Choice>
  </mc:AlternateContent>
  <xr:revisionPtr revIDLastSave="0" documentId="13_ncr:1_{66BF851F-045D-42CC-983F-0FEB29A09167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Quarterly" sheetId="2" r:id="rId1"/>
    <sheet name="Estimations" sheetId="3" r:id="rId2"/>
    <sheet name="annu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1" i="3" l="1"/>
  <c r="AC71" i="3"/>
  <c r="AB71" i="3"/>
  <c r="AA71" i="3"/>
  <c r="Z71" i="3"/>
  <c r="AD70" i="3"/>
  <c r="AC70" i="3"/>
  <c r="AB70" i="3"/>
  <c r="AA70" i="3"/>
  <c r="Z70" i="3"/>
  <c r="AD69" i="3"/>
  <c r="AC69" i="3"/>
  <c r="AB69" i="3"/>
  <c r="AA69" i="3"/>
  <c r="Z69" i="3"/>
  <c r="AD68" i="3"/>
  <c r="AC68" i="3"/>
  <c r="AB68" i="3"/>
  <c r="AA68" i="3"/>
  <c r="Z68" i="3"/>
  <c r="AD67" i="3"/>
  <c r="AC67" i="3"/>
  <c r="AB67" i="3"/>
  <c r="AA67" i="3"/>
  <c r="Z67" i="3"/>
  <c r="AD66" i="3"/>
  <c r="AC66" i="3"/>
  <c r="AB66" i="3"/>
  <c r="AA66" i="3"/>
  <c r="Z66" i="3"/>
  <c r="AD65" i="3"/>
  <c r="AC65" i="3"/>
  <c r="AB65" i="3"/>
  <c r="AA65" i="3"/>
  <c r="Z65" i="3"/>
  <c r="AD64" i="3"/>
  <c r="AC64" i="3"/>
  <c r="AB64" i="3"/>
  <c r="AA64" i="3"/>
  <c r="Z64" i="3"/>
  <c r="AD63" i="3"/>
  <c r="AC63" i="3"/>
  <c r="AB63" i="3"/>
  <c r="AA63" i="3"/>
  <c r="Z63" i="3"/>
  <c r="AD62" i="3"/>
  <c r="AC62" i="3"/>
  <c r="AB62" i="3"/>
  <c r="AA62" i="3"/>
  <c r="Z62" i="3"/>
  <c r="AD61" i="3"/>
  <c r="AC61" i="3"/>
  <c r="AB61" i="3"/>
  <c r="AA61" i="3"/>
  <c r="Z61" i="3"/>
  <c r="AD60" i="3"/>
  <c r="AC60" i="3"/>
  <c r="AB60" i="3"/>
  <c r="AA60" i="3"/>
  <c r="Z60" i="3"/>
  <c r="AD59" i="3"/>
  <c r="AC59" i="3"/>
  <c r="AB59" i="3"/>
  <c r="AA59" i="3"/>
  <c r="Z59" i="3"/>
  <c r="AD58" i="3"/>
  <c r="AC58" i="3"/>
  <c r="AB58" i="3"/>
  <c r="AA58" i="3"/>
  <c r="Z58" i="3"/>
  <c r="AD57" i="3"/>
  <c r="AC57" i="3"/>
  <c r="AB57" i="3"/>
  <c r="AA57" i="3"/>
  <c r="Z57" i="3"/>
  <c r="AD56" i="3"/>
  <c r="AC56" i="3"/>
  <c r="AB56" i="3"/>
  <c r="AA56" i="3"/>
  <c r="Z56" i="3"/>
  <c r="AD55" i="3"/>
  <c r="AC55" i="3"/>
  <c r="AB55" i="3"/>
  <c r="AA55" i="3"/>
  <c r="Z55" i="3"/>
  <c r="AD54" i="3"/>
  <c r="AC54" i="3"/>
  <c r="AB54" i="3"/>
  <c r="AA54" i="3"/>
  <c r="Z54" i="3"/>
  <c r="AD53" i="3"/>
  <c r="AC53" i="3"/>
  <c r="AB53" i="3"/>
  <c r="AA53" i="3"/>
  <c r="Z53" i="3"/>
  <c r="AD52" i="3"/>
  <c r="AC52" i="3"/>
  <c r="AB52" i="3"/>
  <c r="AA52" i="3"/>
  <c r="Z52" i="3"/>
  <c r="AD51" i="3"/>
  <c r="AC51" i="3"/>
  <c r="AB51" i="3"/>
  <c r="AA51" i="3"/>
  <c r="Z51" i="3"/>
  <c r="AD50" i="3"/>
  <c r="AC50" i="3"/>
  <c r="AB50" i="3"/>
  <c r="AA50" i="3"/>
  <c r="Z50" i="3"/>
  <c r="AD49" i="3"/>
  <c r="AC49" i="3"/>
  <c r="AB49" i="3"/>
  <c r="AA49" i="3"/>
  <c r="Z49" i="3"/>
  <c r="AD48" i="3"/>
  <c r="AC48" i="3"/>
  <c r="AB48" i="3"/>
  <c r="AA48" i="3"/>
  <c r="Z48" i="3"/>
  <c r="AD47" i="3"/>
  <c r="AC47" i="3"/>
  <c r="AB47" i="3"/>
  <c r="AA47" i="3"/>
  <c r="Z47" i="3"/>
  <c r="AD46" i="3"/>
  <c r="AC46" i="3"/>
  <c r="AB46" i="3"/>
  <c r="AA46" i="3"/>
  <c r="Z46" i="3"/>
  <c r="AD45" i="3"/>
  <c r="AC45" i="3"/>
  <c r="AB45" i="3"/>
  <c r="AA45" i="3"/>
  <c r="Z45" i="3"/>
  <c r="AD44" i="3"/>
  <c r="AC44" i="3"/>
  <c r="AB44" i="3"/>
  <c r="AA44" i="3"/>
  <c r="Z44" i="3"/>
  <c r="AD43" i="3"/>
  <c r="AC43" i="3"/>
  <c r="AB43" i="3"/>
  <c r="AA43" i="3"/>
  <c r="Z43" i="3"/>
  <c r="AD42" i="3"/>
  <c r="AC42" i="3"/>
  <c r="AB42" i="3"/>
  <c r="AA42" i="3"/>
  <c r="Z42" i="3"/>
  <c r="AD41" i="3"/>
  <c r="AC41" i="3"/>
  <c r="AB41" i="3"/>
  <c r="AA41" i="3"/>
  <c r="Z41" i="3"/>
  <c r="AD40" i="3"/>
  <c r="AC40" i="3"/>
  <c r="AB40" i="3"/>
  <c r="AA40" i="3"/>
  <c r="Z40" i="3"/>
  <c r="AD39" i="3"/>
  <c r="AC39" i="3"/>
  <c r="AB39" i="3"/>
  <c r="AA39" i="3"/>
  <c r="Z39" i="3"/>
  <c r="AD38" i="3"/>
  <c r="AC38" i="3"/>
  <c r="AB38" i="3"/>
  <c r="AA38" i="3"/>
  <c r="Z38" i="3"/>
  <c r="AD37" i="3"/>
  <c r="AC37" i="3"/>
  <c r="AB37" i="3"/>
  <c r="AA37" i="3"/>
  <c r="Z37" i="3"/>
  <c r="AD36" i="3"/>
  <c r="AC36" i="3"/>
  <c r="AB36" i="3"/>
  <c r="AA36" i="3"/>
  <c r="Z36" i="3"/>
  <c r="AD35" i="3"/>
  <c r="AC35" i="3"/>
  <c r="AB35" i="3"/>
  <c r="AA35" i="3"/>
  <c r="Z35" i="3"/>
  <c r="AD34" i="3"/>
  <c r="AC34" i="3"/>
  <c r="AB34" i="3"/>
  <c r="AA34" i="3"/>
  <c r="Z34" i="3"/>
  <c r="AD33" i="3"/>
  <c r="AC33" i="3"/>
  <c r="AB33" i="3"/>
  <c r="AA33" i="3"/>
  <c r="Z33" i="3"/>
  <c r="AD32" i="3"/>
  <c r="AC32" i="3"/>
  <c r="AB32" i="3"/>
  <c r="AA32" i="3"/>
  <c r="Z32" i="3"/>
  <c r="AD31" i="3"/>
  <c r="AC31" i="3"/>
  <c r="AB31" i="3"/>
  <c r="AA31" i="3"/>
  <c r="Z31" i="3"/>
  <c r="AD30" i="3"/>
  <c r="AC30" i="3"/>
  <c r="AB30" i="3"/>
  <c r="AA30" i="3"/>
  <c r="Z30" i="3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D29" i="3" l="1"/>
  <c r="D18" i="3"/>
  <c r="D43" i="3" l="1"/>
  <c r="N40" i="3"/>
  <c r="N17" i="3"/>
  <c r="D13" i="3" l="1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39" i="3"/>
  <c r="N38" i="3"/>
  <c r="N37" i="3"/>
  <c r="N36" i="3"/>
  <c r="N35" i="3"/>
  <c r="N34" i="3"/>
  <c r="N29" i="3"/>
  <c r="N28" i="3"/>
  <c r="N27" i="3"/>
  <c r="N26" i="3"/>
  <c r="N25" i="3"/>
  <c r="N24" i="3"/>
  <c r="N23" i="3"/>
  <c r="N22" i="3"/>
  <c r="N21" i="3"/>
  <c r="N20" i="3"/>
  <c r="N19" i="3"/>
  <c r="N18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D69" i="3"/>
  <c r="D65" i="3"/>
  <c r="D61" i="3"/>
  <c r="D57" i="3"/>
  <c r="D53" i="3"/>
  <c r="D49" i="3"/>
  <c r="D45" i="3"/>
  <c r="D41" i="3"/>
  <c r="D37" i="3"/>
  <c r="D68" i="3"/>
  <c r="D64" i="3"/>
  <c r="D60" i="3"/>
  <c r="D56" i="3"/>
  <c r="D52" i="3"/>
  <c r="D48" i="3"/>
  <c r="D44" i="3"/>
  <c r="D40" i="3"/>
  <c r="D36" i="3"/>
  <c r="D34" i="3"/>
  <c r="D38" i="3"/>
  <c r="D42" i="3"/>
  <c r="D46" i="3"/>
  <c r="D50" i="3"/>
  <c r="D54" i="3"/>
  <c r="D58" i="3"/>
  <c r="D62" i="3"/>
  <c r="D66" i="3"/>
  <c r="D70" i="3"/>
  <c r="D35" i="3"/>
  <c r="D39" i="3"/>
  <c r="D47" i="3"/>
  <c r="D51" i="3"/>
  <c r="D71" i="3"/>
  <c r="D55" i="3"/>
  <c r="D59" i="3"/>
  <c r="D67" i="3"/>
  <c r="D63" i="3"/>
  <c r="D19" i="3"/>
  <c r="F20" i="3"/>
  <c r="D4" i="3"/>
  <c r="F6" i="3"/>
  <c r="D22" i="3"/>
  <c r="F16" i="3"/>
  <c r="F12" i="3"/>
  <c r="F11" i="3"/>
  <c r="F13" i="3"/>
  <c r="F10" i="3"/>
  <c r="F9" i="3"/>
  <c r="F29" i="3"/>
  <c r="F28" i="3"/>
  <c r="F27" i="3"/>
  <c r="F26" i="3"/>
  <c r="F25" i="3"/>
  <c r="F24" i="3"/>
  <c r="F23" i="3"/>
  <c r="F22" i="3"/>
  <c r="F21" i="3"/>
  <c r="F19" i="3"/>
  <c r="F18" i="3"/>
  <c r="F17" i="3"/>
  <c r="F15" i="3"/>
  <c r="F14" i="3"/>
  <c r="F8" i="3"/>
  <c r="F7" i="3"/>
  <c r="F5" i="3"/>
  <c r="F4" i="3"/>
  <c r="F3" i="3"/>
  <c r="F2" i="3"/>
  <c r="D28" i="3"/>
  <c r="D27" i="3"/>
  <c r="D24" i="3"/>
  <c r="D25" i="3"/>
  <c r="D26" i="3"/>
  <c r="D23" i="3"/>
  <c r="D21" i="3"/>
  <c r="D20" i="3"/>
  <c r="D17" i="3"/>
  <c r="D16" i="3"/>
  <c r="D15" i="3"/>
  <c r="D14" i="3"/>
  <c r="D12" i="3"/>
  <c r="D11" i="3"/>
  <c r="D10" i="3"/>
  <c r="D9" i="3"/>
  <c r="D8" i="3"/>
  <c r="D7" i="3"/>
  <c r="D6" i="3"/>
  <c r="D5" i="3"/>
  <c r="D3" i="3"/>
  <c r="D2" i="3"/>
  <c r="G6" i="3" l="1"/>
  <c r="G7" i="3"/>
  <c r="G8" i="3"/>
  <c r="G16" i="3"/>
  <c r="G60" i="3"/>
  <c r="G37" i="3"/>
  <c r="G36" i="3"/>
  <c r="G35" i="3"/>
  <c r="G34" i="3"/>
  <c r="G33" i="3"/>
  <c r="G32" i="3"/>
  <c r="G31" i="3"/>
  <c r="J19" i="3"/>
  <c r="J20" i="3" s="1"/>
  <c r="K19" i="3"/>
  <c r="K20" i="3" s="1"/>
  <c r="L18" i="3"/>
  <c r="J15" i="3"/>
  <c r="J16" i="3" s="1"/>
  <c r="K15" i="3"/>
  <c r="L14" i="3"/>
  <c r="J11" i="3"/>
  <c r="J12" i="3" s="1"/>
  <c r="K11" i="3"/>
  <c r="L10" i="3"/>
  <c r="J7" i="3"/>
  <c r="K7" i="3"/>
  <c r="L6" i="3"/>
  <c r="J3" i="3"/>
  <c r="K3" i="3"/>
  <c r="K4" i="3" s="1"/>
  <c r="L2" i="3"/>
  <c r="L20" i="3" l="1"/>
  <c r="G52" i="3"/>
  <c r="L7" i="3"/>
  <c r="G44" i="3"/>
  <c r="G18" i="3"/>
  <c r="G40" i="3"/>
  <c r="K8" i="3"/>
  <c r="K9" i="3" s="1"/>
  <c r="G9" i="3"/>
  <c r="K16" i="3"/>
  <c r="K17" i="3" s="1"/>
  <c r="G14" i="3"/>
  <c r="G17" i="3"/>
  <c r="G12" i="3"/>
  <c r="G20" i="3"/>
  <c r="G47" i="3"/>
  <c r="G48" i="3"/>
  <c r="G56" i="3"/>
  <c r="G64" i="3"/>
  <c r="G68" i="3"/>
  <c r="G10" i="3"/>
  <c r="G25" i="3"/>
  <c r="G19" i="3"/>
  <c r="G41" i="3"/>
  <c r="G45" i="3"/>
  <c r="G49" i="3"/>
  <c r="G53" i="3"/>
  <c r="G57" i="3"/>
  <c r="G61" i="3"/>
  <c r="G65" i="3"/>
  <c r="G69" i="3"/>
  <c r="G39" i="3"/>
  <c r="K12" i="3"/>
  <c r="K13" i="3" s="1"/>
  <c r="G22" i="3"/>
  <c r="G26" i="3"/>
  <c r="G15" i="3"/>
  <c r="G38" i="3"/>
  <c r="G42" i="3"/>
  <c r="G46" i="3"/>
  <c r="G50" i="3"/>
  <c r="G54" i="3"/>
  <c r="G58" i="3"/>
  <c r="G62" i="3"/>
  <c r="G66" i="3"/>
  <c r="G70" i="3"/>
  <c r="K5" i="3"/>
  <c r="G13" i="3"/>
  <c r="J21" i="3"/>
  <c r="G23" i="3"/>
  <c r="G27" i="3"/>
  <c r="G43" i="3"/>
  <c r="G51" i="3"/>
  <c r="G55" i="3"/>
  <c r="G59" i="3"/>
  <c r="G63" i="3"/>
  <c r="G67" i="3"/>
  <c r="G71" i="3"/>
  <c r="L11" i="3"/>
  <c r="J13" i="3"/>
  <c r="L15" i="3"/>
  <c r="G24" i="3"/>
  <c r="J17" i="3"/>
  <c r="G30" i="3"/>
  <c r="J4" i="3"/>
  <c r="L4" i="3" s="1"/>
  <c r="J8" i="3"/>
  <c r="L19" i="3"/>
  <c r="G28" i="3"/>
  <c r="G11" i="3"/>
  <c r="G21" i="3"/>
  <c r="L3" i="3"/>
  <c r="K21" i="3"/>
  <c r="G29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L21" i="3" l="1"/>
  <c r="L16" i="3"/>
  <c r="H2" i="3"/>
  <c r="I2" i="3" s="1"/>
  <c r="I3" i="3" s="1"/>
  <c r="I4" i="3" s="1"/>
  <c r="I5" i="3" s="1"/>
  <c r="I6" i="3" s="1"/>
  <c r="I7" i="3" s="1"/>
  <c r="I8" i="3" s="1"/>
  <c r="I9" i="3" s="1"/>
  <c r="L13" i="3"/>
  <c r="L12" i="3"/>
  <c r="L17" i="3"/>
  <c r="J5" i="3"/>
  <c r="L5" i="3" s="1"/>
  <c r="L8" i="3"/>
  <c r="J9" i="3"/>
  <c r="L9" i="3" s="1"/>
  <c r="I10" i="3" l="1"/>
  <c r="I11" i="3" s="1"/>
  <c r="I12" i="3" s="1"/>
  <c r="I13" i="3" s="1"/>
  <c r="I14" i="3" s="1"/>
  <c r="I15" i="3" s="1"/>
  <c r="I16" i="3" l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</calcChain>
</file>

<file path=xl/sharedStrings.xml><?xml version="1.0" encoding="utf-8"?>
<sst xmlns="http://schemas.openxmlformats.org/spreadsheetml/2006/main" count="268" uniqueCount="145">
  <si>
    <t>https://data.worldbank.org/indicator/NY.GDP.MKTP.CD?locations=AM</t>
  </si>
  <si>
    <t>source</t>
  </si>
  <si>
    <t>https://data.worldbank.org/indicator/SL.UEM.TOTL.ZS?locations=AM</t>
  </si>
  <si>
    <t>Quarter</t>
  </si>
  <si>
    <t>Year</t>
  </si>
  <si>
    <t>CEIC</t>
  </si>
  <si>
    <t>Source</t>
  </si>
  <si>
    <t>ArmStat</t>
  </si>
  <si>
    <t>https://data.worldbank.org/indicator/SL.TLF.TOTL.IN?locations=AM</t>
  </si>
  <si>
    <t>Unemployment, total (% of total LF)</t>
  </si>
  <si>
    <t>Real GFCF (2010 USD millions)</t>
  </si>
  <si>
    <t>https://data.worldbank.org/indicator/NE.GDI.TOTL.KD?locations=AM</t>
  </si>
  <si>
    <t>*FRED data available from 1990, but 2011 dollars https://fred.stlouisfed.org/series/RGDPNAAMA666NRUG</t>
  </si>
  <si>
    <t>Real GDP (2010 USD)</t>
  </si>
  <si>
    <t>GDP Nominal USD</t>
  </si>
  <si>
    <t>*Nominal can go back further (1990)</t>
  </si>
  <si>
    <t>Real GFCF (derived from % of GDP)</t>
  </si>
  <si>
    <t>*Use World bank % cited below, multiply to our cited Real GDP figures</t>
  </si>
  <si>
    <t>https://data.worldbank.org/indicator/NE.GDI.TOTL.ZS?locations=AM</t>
  </si>
  <si>
    <t>World Bank</t>
  </si>
  <si>
    <t>Labor Force (persons)</t>
  </si>
  <si>
    <t>Employed (persons)</t>
  </si>
  <si>
    <t>UR (% of LF)</t>
  </si>
  <si>
    <t>https://fred.stlouisfed.org/series/A191RI1Q225SBEA#0</t>
  </si>
  <si>
    <t>*using BEA GDP deflator for correction</t>
  </si>
  <si>
    <t>FRED via BEA</t>
  </si>
  <si>
    <t>GDP Deflator Used (for both GFCF &amp; GDP)</t>
  </si>
  <si>
    <t>Description</t>
  </si>
  <si>
    <t>GFCF nominal: USD</t>
  </si>
  <si>
    <t>author calculation</t>
  </si>
  <si>
    <t>(current year / previous year - 1)</t>
  </si>
  <si>
    <t>*CEIC nominal data &amp; BEA GDP deflator</t>
  </si>
  <si>
    <t>indicates base year</t>
  </si>
  <si>
    <t>"L" - Employed (persons)</t>
  </si>
  <si>
    <t>"K" - Capital stock</t>
  </si>
  <si>
    <t>"I" - GFCF Real 2010 USD (corrected)</t>
  </si>
  <si>
    <t>"Y" - GDP Real 2010 USD (corrected)</t>
  </si>
  <si>
    <t>using PIM, assuming Russia average of 5% depreciation &amp; 60% capacity utilization</t>
  </si>
  <si>
    <t>"Y" - GDP real 2010 USD (corrected)</t>
  </si>
  <si>
    <t>(same below)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</si>
  <si>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</si>
  <si>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</si>
  <si>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</si>
  <si>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</si>
  <si>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</si>
  <si>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</si>
  <si>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</si>
  <si>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</si>
  <si>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</si>
  <si>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</si>
  <si>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</si>
  <si>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</si>
  <si>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</si>
  <si>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</si>
  <si>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</si>
  <si>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</si>
  <si>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</si>
  <si>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</si>
  <si>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</si>
  <si>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</si>
  <si>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</si>
  <si>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</si>
  <si>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</si>
  <si>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</si>
  <si>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</si>
  <si>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</si>
  <si>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</si>
  <si>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</si>
  <si>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</si>
  <si>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</si>
  <si>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</si>
  <si>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</si>
  <si>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</si>
  <si>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</si>
  <si>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</si>
  <si>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</si>
  <si>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</si>
  <si>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</si>
  <si>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</si>
  <si>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</si>
  <si>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</si>
  <si>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</si>
  <si>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</si>
  <si>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</si>
  <si>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</si>
  <si>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</si>
  <si>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</si>
  <si>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</si>
  <si>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</si>
  <si>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</si>
  <si>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</si>
  <si>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</si>
  <si>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</si>
  <si>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</si>
  <si>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</si>
  <si>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</si>
  <si>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</si>
  <si>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</si>
  <si>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</si>
  <si>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</si>
  <si>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</si>
  <si>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</si>
  <si>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</si>
  <si>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</si>
  <si>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</si>
  <si>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</si>
  <si>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</si>
  <si>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</si>
  <si>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</si>
  <si>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</si>
  <si>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Wage nominal average quarterly</t>
  </si>
  <si>
    <t>Armstat</t>
  </si>
  <si>
    <t>Simple average of monthly to quarterly</t>
  </si>
  <si>
    <t>"w" - Wage real average</t>
  </si>
  <si>
    <t>Rate of investment growth (relative to same period previous year)</t>
  </si>
  <si>
    <t>"g" - Average rate of investment growth (relative to same period from previous year)</t>
  </si>
  <si>
    <t>d.lngdp</t>
  </si>
  <si>
    <t>d.lngfcf</t>
  </si>
  <si>
    <t>d.lncapital</t>
  </si>
  <si>
    <t>d.lnemployed</t>
  </si>
  <si>
    <t>d.lnwage</t>
  </si>
  <si>
    <t>lnrealgdp</t>
  </si>
  <si>
    <t>lngfcf</t>
  </si>
  <si>
    <t>lncapital</t>
  </si>
  <si>
    <t>lnemployed</t>
  </si>
  <si>
    <t>lnwage</t>
  </si>
  <si>
    <t>ln(x)</t>
  </si>
  <si>
    <t>Fuel Import (tonnes)</t>
  </si>
  <si>
    <t>Natural Gas import (tonnes)</t>
  </si>
  <si>
    <t>interpolated</t>
  </si>
  <si>
    <t>d.lnfuel</t>
  </si>
  <si>
    <t>d.lnnatgas</t>
  </si>
  <si>
    <t>lnfuel</t>
  </si>
  <si>
    <t>lnnatgas</t>
  </si>
  <si>
    <t>indicates interpolated</t>
  </si>
  <si>
    <t>https://comtrade.un.org/data/</t>
  </si>
  <si>
    <t>Comtrade ID - 2710</t>
  </si>
  <si>
    <t>Comtrade ID - 2711</t>
  </si>
  <si>
    <t>q(t)-q(t-4)</t>
  </si>
  <si>
    <t>r(t)-r(t-4)</t>
  </si>
  <si>
    <t>s(t)-s(t-4)</t>
  </si>
  <si>
    <t>t(t)-t(t-4)</t>
  </si>
  <si>
    <t>u(t)-u(t-4)</t>
  </si>
  <si>
    <t>v(t)-v(t-4)</t>
  </si>
  <si>
    <t>w(t)-w(t-4)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</si>
</sst>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0" fillId="0" borderId="0" xfId="0"/>
    <xf numFmtId="0" fontId="1" fillId="0" borderId="1" xfId="0" applyFont="1" applyFill="1" applyBorder="1"/>
    <xf numFmtId="0" fontId="1" fillId="0" borderId="2" xfId="0" applyFont="1" applyBorder="1"/>
    <xf numFmtId="164" fontId="3" fillId="0" borderId="0" xfId="0" applyNumberFormat="1" applyFont="1"/>
    <xf numFmtId="0" fontId="0" fillId="0" borderId="0" xfId="0"/>
    <xf numFmtId="0" fontId="0" fillId="2" borderId="0" xfId="0" applyFill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Fill="1"/>
    <xf numFmtId="0" fontId="1" fillId="2" borderId="1" xfId="0" applyFont="1" applyFill="1" applyBorder="1"/>
    <xf numFmtId="164" fontId="0" fillId="2" borderId="0" xfId="0" applyNumberFormat="1" applyFill="1"/>
    <xf numFmtId="165" fontId="0" fillId="2" borderId="0" xfId="0" applyNumberFormat="1" applyFill="1"/>
    <xf numFmtId="0" fontId="1" fillId="0" borderId="1" xfId="1" applyNumberFormat="1" applyFont="1" applyBorder="1"/>
    <xf numFmtId="0" fontId="0" fillId="0" borderId="0" xfId="1" applyNumberFormat="1" applyFont="1"/>
    <xf numFmtId="0" fontId="1" fillId="0" borderId="0" xfId="0" applyFont="1" applyBorder="1"/>
    <xf numFmtId="164" fontId="0" fillId="0" borderId="1" xfId="0" applyNumberFormat="1" applyBorder="1"/>
    <xf numFmtId="0" fontId="0" fillId="0" borderId="1" xfId="1" applyNumberFormat="1" applyFont="1" applyBorder="1"/>
    <xf numFmtId="0" fontId="0" fillId="0" borderId="1" xfId="0" applyFill="1" applyBorder="1"/>
    <xf numFmtId="164" fontId="0" fillId="0" borderId="0" xfId="1" applyNumberFormat="1" applyFont="1"/>
    <xf numFmtId="164" fontId="0" fillId="2" borderId="0" xfId="1" applyNumberFormat="1" applyFont="1" applyFill="1"/>
    <xf numFmtId="43" fontId="0" fillId="3" borderId="0" xfId="0" applyNumberFormat="1" applyFill="1"/>
    <xf numFmtId="0" fontId="0" fillId="3" borderId="0" xfId="0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Border="1"/>
    <xf numFmtId="164" fontId="0" fillId="3" borderId="0" xfId="0" applyNumberFormat="1" applyFill="1"/>
    <xf numFmtId="43" fontId="0" fillId="0" borderId="0" xfId="0" applyNumberFormat="1" applyFill="1"/>
    <xf numFmtId="16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EB64-AAE1-408F-A8CF-8B6314DE34AE}">
  <dimension ref="A1:P11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1.28515625" style="8" bestFit="1" customWidth="1"/>
    <col min="2" max="2" width="22" customWidth="1"/>
    <col min="3" max="3" width="18" style="8" customWidth="1"/>
    <col min="4" max="4" width="18" style="18" customWidth="1"/>
    <col min="5" max="5" width="13.85546875" customWidth="1"/>
    <col min="6" max="6" width="17" customWidth="1"/>
    <col min="7" max="7" width="19.85546875" bestFit="1" customWidth="1"/>
    <col min="8" max="8" width="26.42578125" bestFit="1" customWidth="1"/>
    <col min="9" max="10" width="8" style="8" bestFit="1" customWidth="1"/>
    <col min="11" max="11" width="10.5703125" style="8" bestFit="1" customWidth="1"/>
    <col min="12" max="12" width="13.5703125" style="8" bestFit="1" customWidth="1"/>
    <col min="13" max="13" width="9.28515625" style="8" bestFit="1" customWidth="1"/>
    <col min="14" max="14" width="8" style="8" bestFit="1" customWidth="1"/>
    <col min="15" max="15" width="10.5703125" style="8" bestFit="1" customWidth="1"/>
    <col min="16" max="16" width="20.85546875" bestFit="1" customWidth="1"/>
  </cols>
  <sheetData>
    <row r="1" spans="1:16" s="19" customFormat="1" x14ac:dyDescent="0.25">
      <c r="A1" s="2" t="s">
        <v>3</v>
      </c>
      <c r="B1" s="17" t="s">
        <v>36</v>
      </c>
      <c r="C1" s="2" t="s">
        <v>35</v>
      </c>
      <c r="D1" s="2" t="s">
        <v>34</v>
      </c>
      <c r="E1" s="2" t="s">
        <v>33</v>
      </c>
      <c r="F1" s="2" t="s">
        <v>113</v>
      </c>
      <c r="G1" s="2" t="s">
        <v>127</v>
      </c>
      <c r="H1" s="2" t="s">
        <v>128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130</v>
      </c>
      <c r="O1" s="2" t="s">
        <v>131</v>
      </c>
      <c r="P1" s="8"/>
    </row>
    <row r="2" spans="1:16" x14ac:dyDescent="0.25">
      <c r="A2" s="2" t="s">
        <v>40</v>
      </c>
      <c r="B2" s="23">
        <v>752419060.20218301</v>
      </c>
      <c r="C2" s="3">
        <v>80853245.597130865</v>
      </c>
      <c r="D2" s="3">
        <v>651449387.36234438</v>
      </c>
      <c r="E2" s="13">
        <v>1094464</v>
      </c>
      <c r="F2" s="3">
        <v>88.304748710769758</v>
      </c>
      <c r="G2" s="25">
        <v>72096.70094389985</v>
      </c>
      <c r="H2" s="25">
        <v>279050.13526277361</v>
      </c>
      <c r="I2" s="31"/>
      <c r="J2" s="31"/>
      <c r="K2" s="31"/>
      <c r="L2" s="31"/>
      <c r="M2" s="31"/>
      <c r="N2" s="31"/>
      <c r="O2" s="31"/>
      <c r="P2" s="26" t="s">
        <v>134</v>
      </c>
    </row>
    <row r="3" spans="1:16" x14ac:dyDescent="0.25">
      <c r="A3" s="2" t="s">
        <v>41</v>
      </c>
      <c r="B3" s="23">
        <v>1030501090.1933217</v>
      </c>
      <c r="C3" s="3">
        <v>258448344.88907874</v>
      </c>
      <c r="D3" s="3">
        <v>773945924.92767441</v>
      </c>
      <c r="E3" s="13">
        <v>1129235</v>
      </c>
      <c r="F3" s="3">
        <v>97.560119894127055</v>
      </c>
      <c r="G3" s="25">
        <v>79108.348565576904</v>
      </c>
      <c r="H3" s="25">
        <v>145458.24873371344</v>
      </c>
      <c r="I3" s="31"/>
      <c r="J3" s="31"/>
      <c r="K3" s="31"/>
      <c r="L3" s="31"/>
      <c r="M3" s="31"/>
      <c r="N3" s="31"/>
      <c r="O3" s="31"/>
      <c r="P3" s="8"/>
    </row>
    <row r="4" spans="1:16" x14ac:dyDescent="0.25">
      <c r="A4" s="2" t="s">
        <v>42</v>
      </c>
      <c r="B4" s="23">
        <v>1628148547.193975</v>
      </c>
      <c r="C4" s="3">
        <v>431890335.0001936</v>
      </c>
      <c r="D4" s="3">
        <v>994382829.68140674</v>
      </c>
      <c r="E4" s="13">
        <v>1122840</v>
      </c>
      <c r="F4" s="3">
        <v>106.38835735290101</v>
      </c>
      <c r="G4" s="25">
        <v>96684.837600569328</v>
      </c>
      <c r="H4" s="25">
        <v>168539.26472496203</v>
      </c>
      <c r="I4" s="31"/>
      <c r="J4" s="31"/>
      <c r="K4" s="31"/>
      <c r="L4" s="31"/>
      <c r="M4" s="31"/>
      <c r="N4" s="31"/>
      <c r="O4" s="31"/>
      <c r="P4" s="8"/>
    </row>
    <row r="5" spans="1:16" x14ac:dyDescent="0.25">
      <c r="A5" s="2" t="s">
        <v>43</v>
      </c>
      <c r="B5" s="23">
        <v>1771587438.8315737</v>
      </c>
      <c r="C5" s="3">
        <v>422007229.2106719</v>
      </c>
      <c r="D5" s="3">
        <v>1197868025.7237394</v>
      </c>
      <c r="E5" s="13">
        <v>1099538</v>
      </c>
      <c r="F5" s="3">
        <v>117.8902371104943</v>
      </c>
      <c r="G5" s="25">
        <v>93236.712889953895</v>
      </c>
      <c r="H5" s="25">
        <v>273025.45127855102</v>
      </c>
      <c r="I5" s="31"/>
      <c r="J5" s="31"/>
      <c r="K5" s="31"/>
      <c r="L5" s="31"/>
      <c r="M5" s="31"/>
      <c r="N5" s="31"/>
      <c r="O5" s="31"/>
      <c r="P5" s="8"/>
    </row>
    <row r="6" spans="1:16" x14ac:dyDescent="0.25">
      <c r="A6" s="2" t="s">
        <v>44</v>
      </c>
      <c r="B6" s="23">
        <v>819404974.73931587</v>
      </c>
      <c r="C6" s="3">
        <v>90750133.376704454</v>
      </c>
      <c r="D6" s="3">
        <v>1192424704.4635751</v>
      </c>
      <c r="E6" s="13">
        <v>1061640</v>
      </c>
      <c r="F6" s="3">
        <v>114.67880127860782</v>
      </c>
      <c r="G6" s="25">
        <v>76005.914206685105</v>
      </c>
      <c r="H6" s="25">
        <v>311417.7987754732</v>
      </c>
      <c r="I6" s="27">
        <v>8.5290000000000532E-2</v>
      </c>
      <c r="J6" s="27">
        <v>0.11546999999999841</v>
      </c>
      <c r="K6" s="27">
        <v>1.1051499999999983</v>
      </c>
      <c r="L6" s="27">
        <v>-3.0450000000000088E-2</v>
      </c>
      <c r="M6" s="27">
        <v>0.26134099999999982</v>
      </c>
      <c r="N6" s="27">
        <v>5.2809999999999135E-2</v>
      </c>
      <c r="O6" s="27">
        <v>0.10974000000000039</v>
      </c>
      <c r="P6" s="8"/>
    </row>
    <row r="7" spans="1:16" x14ac:dyDescent="0.25">
      <c r="A7" s="2" t="s">
        <v>45</v>
      </c>
      <c r="B7" s="23">
        <v>1180851047.8324785</v>
      </c>
      <c r="C7" s="3">
        <v>293112935.39074951</v>
      </c>
      <c r="D7" s="3">
        <v>1308671230.4748459</v>
      </c>
      <c r="E7" s="13">
        <v>1101614.4000000001</v>
      </c>
      <c r="F7" s="3">
        <v>124.76976521436137</v>
      </c>
      <c r="G7" s="25">
        <v>83397.746018731224</v>
      </c>
      <c r="H7" s="25">
        <v>162330.28373819706</v>
      </c>
      <c r="I7" s="27">
        <v>0.1361900000000027</v>
      </c>
      <c r="J7" s="27">
        <v>0.12585999999999942</v>
      </c>
      <c r="K7" s="27">
        <v>0.85671999999999926</v>
      </c>
      <c r="L7" s="27">
        <v>-2.4759999999998783E-2</v>
      </c>
      <c r="M7" s="27">
        <v>0.24600099999999969</v>
      </c>
      <c r="N7" s="27">
        <v>5.2809999999999135E-2</v>
      </c>
      <c r="O7" s="27">
        <v>0.10975000000000001</v>
      </c>
      <c r="P7" s="8"/>
    </row>
    <row r="8" spans="1:16" x14ac:dyDescent="0.25">
      <c r="A8" s="2" t="s">
        <v>46</v>
      </c>
      <c r="B8" s="23">
        <v>1962600090.7305086</v>
      </c>
      <c r="C8" s="3">
        <v>543015044.68271565</v>
      </c>
      <c r="D8" s="3">
        <v>1569046695.7607329</v>
      </c>
      <c r="E8" s="13">
        <v>1101475.5</v>
      </c>
      <c r="F8" s="3">
        <v>134.55353081934456</v>
      </c>
      <c r="G8" s="25">
        <v>101927.26401551008</v>
      </c>
      <c r="H8" s="25">
        <v>188088.51957179574</v>
      </c>
      <c r="I8" s="27">
        <v>0.1868300000000005</v>
      </c>
      <c r="J8" s="27">
        <v>0.22897000000000034</v>
      </c>
      <c r="K8" s="27">
        <v>0.66025000000000134</v>
      </c>
      <c r="L8" s="27">
        <v>-1.9209999999999283E-2</v>
      </c>
      <c r="M8" s="27">
        <v>0.23486600000000024</v>
      </c>
      <c r="N8" s="27">
        <v>5.2799999999999514E-2</v>
      </c>
      <c r="O8" s="27">
        <v>0.10975000000000001</v>
      </c>
      <c r="P8" s="8"/>
    </row>
    <row r="9" spans="1:16" x14ac:dyDescent="0.25">
      <c r="A9" s="2" t="s">
        <v>47</v>
      </c>
      <c r="B9" s="23">
        <v>2029813221.6230009</v>
      </c>
      <c r="C9" s="3">
        <v>509731696.02124918</v>
      </c>
      <c r="D9" s="3">
        <v>1796433378.5854456</v>
      </c>
      <c r="E9" s="13">
        <v>1061824.9000000001</v>
      </c>
      <c r="F9" s="3">
        <v>151.96199667184379</v>
      </c>
      <c r="G9" s="25">
        <v>98292.175759073536</v>
      </c>
      <c r="H9" s="25">
        <v>304694.29791453411</v>
      </c>
      <c r="I9" s="27">
        <v>0.13607000000000014</v>
      </c>
      <c r="J9" s="27">
        <v>0.18885999999999825</v>
      </c>
      <c r="K9" s="27">
        <v>0.54804999999999993</v>
      </c>
      <c r="L9" s="27">
        <v>-3.4899999999998599E-2</v>
      </c>
      <c r="M9" s="27">
        <v>0.25387700000000013</v>
      </c>
      <c r="N9" s="27">
        <v>5.2799999999999514E-2</v>
      </c>
      <c r="O9" s="27">
        <v>0.10974000000000039</v>
      </c>
      <c r="P9" s="8"/>
    </row>
    <row r="10" spans="1:16" x14ac:dyDescent="0.25">
      <c r="A10" s="2" t="s">
        <v>48</v>
      </c>
      <c r="B10" s="23">
        <v>1000716835.9891734</v>
      </c>
      <c r="C10" s="3">
        <v>122893757.12544881</v>
      </c>
      <c r="D10" s="3">
        <v>1780347963.9314425</v>
      </c>
      <c r="E10" s="13">
        <v>1075893</v>
      </c>
      <c r="F10" s="3">
        <v>148.55360534967235</v>
      </c>
      <c r="G10" s="25">
        <v>75978.527205197359</v>
      </c>
      <c r="H10" s="25">
        <v>386484.06439059373</v>
      </c>
      <c r="I10" s="27">
        <v>0.1998899999999999</v>
      </c>
      <c r="J10" s="27">
        <v>0.30321000000000353</v>
      </c>
      <c r="K10" s="27">
        <v>0.53491999999999962</v>
      </c>
      <c r="L10" s="27">
        <v>1.3329999999999842E-2</v>
      </c>
      <c r="M10" s="27">
        <v>0.25881099999999968</v>
      </c>
      <c r="N10" s="27">
        <v>-3.5999999999880572E-4</v>
      </c>
      <c r="O10" s="27">
        <v>0.21596000000000082</v>
      </c>
      <c r="P10" s="8"/>
    </row>
    <row r="11" spans="1:16" x14ac:dyDescent="0.25">
      <c r="A11" s="2" t="s">
        <v>49</v>
      </c>
      <c r="B11" s="23">
        <v>1577819973.0535281</v>
      </c>
      <c r="C11" s="3">
        <v>475844939.99056143</v>
      </c>
      <c r="D11" s="3">
        <v>1976837529.729207</v>
      </c>
      <c r="E11" s="13">
        <v>1127763</v>
      </c>
      <c r="F11" s="3">
        <v>169.98337360892577</v>
      </c>
      <c r="G11" s="25">
        <v>83367.695538868837</v>
      </c>
      <c r="H11" s="25">
        <v>201459.48009236864</v>
      </c>
      <c r="I11" s="27">
        <v>0.28980999999999923</v>
      </c>
      <c r="J11" s="27">
        <v>0.48452999999999946</v>
      </c>
      <c r="K11" s="27">
        <v>0.5265500000000003</v>
      </c>
      <c r="L11" s="27">
        <v>2.3460000000000036E-2</v>
      </c>
      <c r="M11" s="27">
        <v>0.30923100000000048</v>
      </c>
      <c r="N11" s="27">
        <v>-3.5999999999880572E-4</v>
      </c>
      <c r="O11" s="27">
        <v>0.2159500000000012</v>
      </c>
      <c r="P11" s="8"/>
    </row>
    <row r="12" spans="1:16" x14ac:dyDescent="0.25">
      <c r="A12" s="2" t="s">
        <v>50</v>
      </c>
      <c r="B12" s="23">
        <v>2257378617.8844028</v>
      </c>
      <c r="C12" s="3">
        <v>740986831.0928582</v>
      </c>
      <c r="D12" s="3">
        <v>2322587751.8984613</v>
      </c>
      <c r="E12" s="13">
        <v>1122552.5999999999</v>
      </c>
      <c r="F12" s="3">
        <v>168.778764022677</v>
      </c>
      <c r="G12" s="25">
        <v>101890.53684552111</v>
      </c>
      <c r="H12" s="25">
        <v>233426.65639264855</v>
      </c>
      <c r="I12" s="27">
        <v>0.13992999999999967</v>
      </c>
      <c r="J12" s="27">
        <v>0.31084000000000245</v>
      </c>
      <c r="K12" s="27">
        <v>0.47711999999999932</v>
      </c>
      <c r="L12" s="27">
        <v>1.8959999999999866E-2</v>
      </c>
      <c r="M12" s="27">
        <v>0.22662699999999969</v>
      </c>
      <c r="N12" s="27">
        <v>-3.5999999999880572E-4</v>
      </c>
      <c r="O12" s="27">
        <v>0.2159500000000012</v>
      </c>
      <c r="P12" s="8"/>
    </row>
    <row r="13" spans="1:16" x14ac:dyDescent="0.25">
      <c r="A13" s="2" t="s">
        <v>51</v>
      </c>
      <c r="B13" s="23">
        <v>2344266247.5322556</v>
      </c>
      <c r="C13" s="3">
        <v>802278898.12790263</v>
      </c>
      <c r="D13" s="3">
        <v>2687825703.1802797</v>
      </c>
      <c r="E13" s="13">
        <v>1097235</v>
      </c>
      <c r="F13" s="3">
        <v>181.94915613821223</v>
      </c>
      <c r="G13" s="25">
        <v>98256.758410412644</v>
      </c>
      <c r="H13" s="25">
        <v>378139.88512438902</v>
      </c>
      <c r="I13" s="27">
        <v>0.14403000000000077</v>
      </c>
      <c r="J13" s="27">
        <v>0.45358000000000231</v>
      </c>
      <c r="K13" s="27">
        <v>0.47251999999999938</v>
      </c>
      <c r="L13" s="27">
        <v>3.279999999999994E-2</v>
      </c>
      <c r="M13" s="27">
        <v>0.18009599999999981</v>
      </c>
      <c r="N13" s="27">
        <v>-3.5999999999880572E-4</v>
      </c>
      <c r="O13" s="27">
        <v>0.21595999999999904</v>
      </c>
      <c r="P13" s="8"/>
    </row>
    <row r="14" spans="1:16" x14ac:dyDescent="0.25">
      <c r="A14" s="2" t="s">
        <v>52</v>
      </c>
      <c r="B14" s="23">
        <v>1046487802.1387174</v>
      </c>
      <c r="C14" s="3">
        <v>158862398.55382749</v>
      </c>
      <c r="D14" s="3">
        <v>2648751857.1535621</v>
      </c>
      <c r="E14" s="13">
        <v>1031057.8</v>
      </c>
      <c r="F14" s="3">
        <v>164.25192078589905</v>
      </c>
      <c r="G14" s="25">
        <v>70991.727095847848</v>
      </c>
      <c r="H14" s="25">
        <v>396973.05188490544</v>
      </c>
      <c r="I14" s="27">
        <v>4.4729999999997716E-2</v>
      </c>
      <c r="J14" s="27">
        <v>0.25671999999999784</v>
      </c>
      <c r="K14" s="27">
        <v>0.46321999999999974</v>
      </c>
      <c r="L14" s="27">
        <v>-4.2559999999999931E-2</v>
      </c>
      <c r="M14" s="27">
        <v>0.10045500000000018</v>
      </c>
      <c r="N14" s="27">
        <v>-6.7890000000000228E-2</v>
      </c>
      <c r="O14" s="27">
        <v>2.6769999999999072E-2</v>
      </c>
      <c r="P14" s="8"/>
    </row>
    <row r="15" spans="1:16" x14ac:dyDescent="0.25">
      <c r="A15" s="2" t="s">
        <v>53</v>
      </c>
      <c r="B15" s="23">
        <v>1758853942.3880935</v>
      </c>
      <c r="C15" s="3">
        <v>593334416.46190095</v>
      </c>
      <c r="D15" s="3">
        <v>2872314914.1730242</v>
      </c>
      <c r="E15" s="13">
        <v>1086041.8</v>
      </c>
      <c r="F15" s="3">
        <v>189.20898661187809</v>
      </c>
      <c r="G15" s="25">
        <v>77895.912279545417</v>
      </c>
      <c r="H15" s="25">
        <v>206926.99133537765</v>
      </c>
      <c r="I15" s="27">
        <v>0.10861999999999838</v>
      </c>
      <c r="J15" s="27">
        <v>0.22067000000000192</v>
      </c>
      <c r="K15" s="27">
        <v>0.42756999999999934</v>
      </c>
      <c r="L15" s="27">
        <v>-3.7700000000000955E-2</v>
      </c>
      <c r="M15" s="27">
        <v>0.107151</v>
      </c>
      <c r="N15" s="27">
        <v>-6.7890000000000228E-2</v>
      </c>
      <c r="O15" s="27">
        <v>2.6779999999998694E-2</v>
      </c>
      <c r="P15" s="8"/>
    </row>
    <row r="16" spans="1:16" x14ac:dyDescent="0.25">
      <c r="A16" s="2" t="s">
        <v>54</v>
      </c>
      <c r="B16" s="23">
        <v>2736371038.5340815</v>
      </c>
      <c r="C16" s="3">
        <v>1028951022.0982914</v>
      </c>
      <c r="D16" s="3">
        <v>3346069781.7233477</v>
      </c>
      <c r="E16" s="13">
        <v>1074677.3999999999</v>
      </c>
      <c r="F16" s="3">
        <v>207.19745031066381</v>
      </c>
      <c r="G16" s="25">
        <v>95203.019214247965</v>
      </c>
      <c r="H16" s="25">
        <v>239761.7410839207</v>
      </c>
      <c r="I16" s="27">
        <v>0.19243000000000166</v>
      </c>
      <c r="J16" s="27">
        <v>0.32831999999999795</v>
      </c>
      <c r="K16" s="27">
        <v>0.40747999999999962</v>
      </c>
      <c r="L16" s="27">
        <v>-4.3590000000000018E-2</v>
      </c>
      <c r="M16" s="27">
        <v>0.20508300000000013</v>
      </c>
      <c r="N16" s="27">
        <v>-6.7880000000000607E-2</v>
      </c>
      <c r="O16" s="27">
        <v>2.6779999999998694E-2</v>
      </c>
      <c r="P16" s="8"/>
    </row>
    <row r="17" spans="1:16" x14ac:dyDescent="0.25">
      <c r="A17" s="2" t="s">
        <v>55</v>
      </c>
      <c r="B17" s="23">
        <v>2934054801.6291437</v>
      </c>
      <c r="C17" s="3">
        <v>1268726375.4131935</v>
      </c>
      <c r="D17" s="3">
        <v>3940002117.8850965</v>
      </c>
      <c r="E17" s="13">
        <v>1009488.2</v>
      </c>
      <c r="F17" s="3">
        <v>246.29085619620497</v>
      </c>
      <c r="G17" s="25">
        <v>91807.741410358765</v>
      </c>
      <c r="H17" s="25">
        <v>388402.41569579626</v>
      </c>
      <c r="I17" s="27">
        <v>0.22440999999999889</v>
      </c>
      <c r="J17" s="27">
        <v>0.45830999999999733</v>
      </c>
      <c r="K17" s="27">
        <v>0.41751999999999967</v>
      </c>
      <c r="L17" s="27">
        <v>-8.3350000000001145E-2</v>
      </c>
      <c r="M17" s="27">
        <v>0.30278600000000022</v>
      </c>
      <c r="N17" s="27">
        <v>-6.7890000000000228E-2</v>
      </c>
      <c r="O17" s="27">
        <v>2.678000000000047E-2</v>
      </c>
      <c r="P17" s="8"/>
    </row>
    <row r="18" spans="1:16" x14ac:dyDescent="0.25">
      <c r="A18" s="2" t="s">
        <v>56</v>
      </c>
      <c r="B18" s="23">
        <v>1383152556.4119298</v>
      </c>
      <c r="C18" s="3">
        <v>216674638.08251899</v>
      </c>
      <c r="D18" s="3">
        <v>3873006794.840353</v>
      </c>
      <c r="E18" s="13">
        <v>967358.7</v>
      </c>
      <c r="F18" s="3">
        <v>228.01568490258828</v>
      </c>
      <c r="G18" s="8">
        <v>79480.321420000007</v>
      </c>
      <c r="H18" s="8">
        <v>507049.14800000004</v>
      </c>
      <c r="I18" s="3">
        <v>0.27892000000000294</v>
      </c>
      <c r="J18" s="3">
        <v>0.3103599999999993</v>
      </c>
      <c r="K18" s="3">
        <v>0.41356999999999999</v>
      </c>
      <c r="L18" s="3">
        <v>-6.3779999999999504E-2</v>
      </c>
      <c r="M18" s="3">
        <v>0.32801300000000033</v>
      </c>
      <c r="N18" s="3">
        <v>0.11294999999999966</v>
      </c>
      <c r="O18" s="3">
        <v>0.24474000000000018</v>
      </c>
      <c r="P18" s="8"/>
    </row>
    <row r="19" spans="1:16" x14ac:dyDescent="0.25">
      <c r="A19" s="2" t="s">
        <v>57</v>
      </c>
      <c r="B19" s="23">
        <v>2254483485.8138533</v>
      </c>
      <c r="C19" s="3">
        <v>779946308.80031896</v>
      </c>
      <c r="D19" s="3">
        <v>4147324240.3785267</v>
      </c>
      <c r="E19" s="13">
        <v>1012031.2999999999</v>
      </c>
      <c r="F19" s="3">
        <v>244.77950779070014</v>
      </c>
      <c r="G19" s="8">
        <v>89926.421149999995</v>
      </c>
      <c r="H19" s="8">
        <v>248198.64</v>
      </c>
      <c r="I19" s="3">
        <v>0.24826000000000192</v>
      </c>
      <c r="J19" s="3">
        <v>0.27346999999999966</v>
      </c>
      <c r="K19" s="3">
        <v>0.39613000000000298</v>
      </c>
      <c r="L19" s="3">
        <v>-7.0579999999999643E-2</v>
      </c>
      <c r="M19" s="3">
        <v>0.25750600000000023</v>
      </c>
      <c r="N19" s="3">
        <v>0.1436200000000003</v>
      </c>
      <c r="O19" s="3">
        <v>0.18186000000000035</v>
      </c>
      <c r="P19" s="8"/>
    </row>
    <row r="20" spans="1:16" x14ac:dyDescent="0.25">
      <c r="A20" s="2" t="s">
        <v>58</v>
      </c>
      <c r="B20" s="23">
        <v>3528712258.1585855</v>
      </c>
      <c r="C20" s="3">
        <v>1386072430.4342258</v>
      </c>
      <c r="D20" s="3">
        <v>4771601486.6201353</v>
      </c>
      <c r="E20" s="13">
        <v>985399.79999999993</v>
      </c>
      <c r="F20" s="3">
        <v>268.89295475179711</v>
      </c>
      <c r="G20" s="8">
        <v>101432.79041</v>
      </c>
      <c r="H20" s="8">
        <v>228225.44</v>
      </c>
      <c r="I20" s="3">
        <v>0.25430000000000064</v>
      </c>
      <c r="J20" s="3">
        <v>0.29793000000000092</v>
      </c>
      <c r="K20" s="3">
        <v>0.37778000000000134</v>
      </c>
      <c r="L20" s="3">
        <v>-8.6729999999999308E-2</v>
      </c>
      <c r="M20" s="3">
        <v>0.26064099999999968</v>
      </c>
      <c r="N20" s="3">
        <v>6.3380000000000436E-2</v>
      </c>
      <c r="O20" s="3">
        <v>-4.9310000000000187E-2</v>
      </c>
      <c r="P20" s="8"/>
    </row>
    <row r="21" spans="1:16" x14ac:dyDescent="0.25">
      <c r="A21" s="2" t="s">
        <v>59</v>
      </c>
      <c r="B21" s="23">
        <v>3736635405.9992075</v>
      </c>
      <c r="C21" s="3">
        <v>1680545161.5197785</v>
      </c>
      <c r="D21" s="3">
        <v>5541348509.2009954</v>
      </c>
      <c r="E21" s="13">
        <v>903806.39999999991</v>
      </c>
      <c r="F21" s="3">
        <v>318.98184228082351</v>
      </c>
      <c r="G21" s="8">
        <v>90232.125090000001</v>
      </c>
      <c r="H21" s="8">
        <v>465951.31000000006</v>
      </c>
      <c r="I21" s="3">
        <v>0.24180000000000135</v>
      </c>
      <c r="J21" s="3">
        <v>0.28110000000000213</v>
      </c>
      <c r="K21" s="3">
        <v>0.35903000000000063</v>
      </c>
      <c r="L21" s="3">
        <v>-0.11057999999999879</v>
      </c>
      <c r="M21" s="3">
        <v>0.25862099999999977</v>
      </c>
      <c r="N21" s="3">
        <v>-1.7310000000000159E-2</v>
      </c>
      <c r="O21" s="3">
        <v>0.18204000000000065</v>
      </c>
      <c r="P21" s="8"/>
    </row>
    <row r="22" spans="1:16" x14ac:dyDescent="0.25">
      <c r="A22" s="2" t="s">
        <v>60</v>
      </c>
      <c r="B22" s="23">
        <v>1802541119.6825449</v>
      </c>
      <c r="C22" s="3">
        <v>342954587.79857367</v>
      </c>
      <c r="D22" s="3">
        <v>5470053836.4200897</v>
      </c>
      <c r="E22" s="11">
        <v>1181300</v>
      </c>
      <c r="F22" s="3">
        <v>299.35254093122364</v>
      </c>
      <c r="G22" s="8">
        <v>76117.903120000003</v>
      </c>
      <c r="H22" s="8">
        <v>533495.54509999999</v>
      </c>
      <c r="I22" s="3">
        <v>0.2648299999999999</v>
      </c>
      <c r="J22" s="3">
        <v>0.45920000000000272</v>
      </c>
      <c r="K22" s="3">
        <v>0.36271000000000342</v>
      </c>
      <c r="L22" s="3">
        <v>0.19980999999999938</v>
      </c>
      <c r="M22" s="3">
        <v>0.27220800000000001</v>
      </c>
      <c r="N22" s="3">
        <v>-4.3229999999999436E-2</v>
      </c>
      <c r="O22" s="3">
        <v>5.0850000000000506E-2</v>
      </c>
      <c r="P22" s="8"/>
    </row>
    <row r="23" spans="1:16" x14ac:dyDescent="0.25">
      <c r="A23" s="2" t="s">
        <v>61</v>
      </c>
      <c r="B23" s="23">
        <v>2776215526.9090204</v>
      </c>
      <c r="C23" s="3">
        <v>1004093056.2510031</v>
      </c>
      <c r="D23" s="3">
        <v>5799006978.3496866</v>
      </c>
      <c r="E23" s="11">
        <v>1184000</v>
      </c>
      <c r="F23" s="3">
        <v>318.39621799137166</v>
      </c>
      <c r="G23" s="8">
        <v>87973.913</v>
      </c>
      <c r="H23" s="8">
        <v>242985.02116</v>
      </c>
      <c r="I23" s="3">
        <v>0.20815999999999946</v>
      </c>
      <c r="J23" s="3">
        <v>0.25261000000000067</v>
      </c>
      <c r="K23" s="3">
        <v>0.35042999999999935</v>
      </c>
      <c r="L23" s="3">
        <v>0.15694000000000052</v>
      </c>
      <c r="M23" s="3">
        <v>0.26293899999999937</v>
      </c>
      <c r="N23" s="3">
        <v>-2.1950000000000358E-2</v>
      </c>
      <c r="O23" s="3">
        <v>-2.1229999999999194E-2</v>
      </c>
      <c r="P23" s="8"/>
    </row>
    <row r="24" spans="1:16" x14ac:dyDescent="0.25">
      <c r="A24" s="2" t="s">
        <v>62</v>
      </c>
      <c r="B24" s="23">
        <v>4413118226.9018698</v>
      </c>
      <c r="C24" s="3">
        <v>2136631998.5348566</v>
      </c>
      <c r="D24" s="3">
        <v>6791035828.5531158</v>
      </c>
      <c r="E24" s="11">
        <v>1239200</v>
      </c>
      <c r="F24" s="3">
        <v>328.49140761954624</v>
      </c>
      <c r="G24" s="8">
        <v>118322.84672</v>
      </c>
      <c r="H24" s="8">
        <v>339731.15500000003</v>
      </c>
      <c r="I24" s="3">
        <v>0.22364999999999924</v>
      </c>
      <c r="J24" s="3">
        <v>0.43276000000000181</v>
      </c>
      <c r="K24" s="3">
        <v>0.3657199999999996</v>
      </c>
      <c r="L24" s="3">
        <v>0.2291799999999995</v>
      </c>
      <c r="M24" s="3">
        <v>0.20019800000000032</v>
      </c>
      <c r="N24" s="3">
        <v>0.15401999999999916</v>
      </c>
      <c r="O24" s="3">
        <v>0.39782000000000117</v>
      </c>
      <c r="P24" s="8"/>
    </row>
    <row r="25" spans="1:16" x14ac:dyDescent="0.25">
      <c r="A25" s="2" t="s">
        <v>63</v>
      </c>
      <c r="B25" s="23">
        <v>3524394221.2853322</v>
      </c>
      <c r="C25" s="3">
        <v>1489885849.914556</v>
      </c>
      <c r="D25" s="3">
        <v>7345415547.074193</v>
      </c>
      <c r="E25" s="11">
        <v>1119900</v>
      </c>
      <c r="F25" s="3">
        <v>351.2971001826607</v>
      </c>
      <c r="G25" s="8">
        <v>117128.36332999999</v>
      </c>
      <c r="H25" s="8">
        <v>471132.77</v>
      </c>
      <c r="I25" s="3">
        <v>-5.84699999999998E-2</v>
      </c>
      <c r="J25" s="3">
        <v>-0.12040999999999968</v>
      </c>
      <c r="K25" s="3">
        <v>0.29123999999999839</v>
      </c>
      <c r="L25" s="3">
        <v>0.21438000000000024</v>
      </c>
      <c r="M25" s="3">
        <v>9.6498000000000417E-2</v>
      </c>
      <c r="N25" s="3">
        <v>0.26088999999999984</v>
      </c>
      <c r="O25" s="3">
        <v>1.1049999999999116E-2</v>
      </c>
      <c r="P25" s="8"/>
    </row>
    <row r="26" spans="1:16" x14ac:dyDescent="0.25">
      <c r="A26" s="2" t="s">
        <v>64</v>
      </c>
      <c r="B26" s="23">
        <v>1550134375.8557782</v>
      </c>
      <c r="C26" s="3">
        <v>305234877.06413126</v>
      </c>
      <c r="D26" s="3">
        <v>7161285695.9589615</v>
      </c>
      <c r="E26" s="11">
        <v>1124900</v>
      </c>
      <c r="F26" s="3">
        <v>304.23531886384001</v>
      </c>
      <c r="G26" s="8">
        <v>68230.445849999989</v>
      </c>
      <c r="H26" s="8">
        <v>469505.49860000005</v>
      </c>
      <c r="I26" s="3">
        <v>-0.15085000000000193</v>
      </c>
      <c r="J26" s="3">
        <v>-0.11652000000000129</v>
      </c>
      <c r="K26" s="3">
        <v>0.27826999999999913</v>
      </c>
      <c r="L26" s="3">
        <v>-4.8930000000000362E-2</v>
      </c>
      <c r="M26" s="3">
        <v>1.6179999999999417E-2</v>
      </c>
      <c r="N26" s="3">
        <v>-0.10939000000000121</v>
      </c>
      <c r="O26" s="3">
        <v>-0.12777999999999956</v>
      </c>
      <c r="P26" s="8"/>
    </row>
    <row r="27" spans="1:16" x14ac:dyDescent="0.25">
      <c r="A27" s="2" t="s">
        <v>65</v>
      </c>
      <c r="B27" s="23">
        <v>1864290743.3454373</v>
      </c>
      <c r="C27" s="3">
        <v>559526039.32273698</v>
      </c>
      <c r="D27" s="3">
        <v>7138937034.7546549</v>
      </c>
      <c r="E27" s="11">
        <v>1113400</v>
      </c>
      <c r="F27" s="3">
        <v>281.15243632840003</v>
      </c>
      <c r="G27" s="8">
        <v>81493.067379999993</v>
      </c>
      <c r="H27" s="8">
        <v>177825.45915000001</v>
      </c>
      <c r="I27" s="3">
        <v>-0.39819999999999922</v>
      </c>
      <c r="J27" s="3">
        <v>-0.58474999999999966</v>
      </c>
      <c r="K27" s="3">
        <v>0.21499000000000024</v>
      </c>
      <c r="L27" s="3">
        <v>-6.1480000000001311E-2</v>
      </c>
      <c r="M27" s="3">
        <v>-0.12439999999999962</v>
      </c>
      <c r="N27" s="3">
        <v>-7.6529999999999987E-2</v>
      </c>
      <c r="O27" s="3">
        <v>-0.31219000000000108</v>
      </c>
      <c r="P27" s="8"/>
    </row>
    <row r="28" spans="1:16" x14ac:dyDescent="0.25">
      <c r="A28" s="2" t="s">
        <v>66</v>
      </c>
      <c r="B28" s="23">
        <v>2778438290.8340325</v>
      </c>
      <c r="C28" s="3">
        <v>1128134573.4296792</v>
      </c>
      <c r="D28" s="3">
        <v>7458870927.0747299</v>
      </c>
      <c r="E28" s="11">
        <v>1149000</v>
      </c>
      <c r="F28" s="3">
        <v>289.72942584871993</v>
      </c>
      <c r="G28" s="8">
        <v>99061.964770000006</v>
      </c>
      <c r="H28" s="8">
        <v>205867.63910999999</v>
      </c>
      <c r="I28" s="3">
        <v>-0.46269000000000204</v>
      </c>
      <c r="J28" s="3">
        <v>-0.63867000000000118</v>
      </c>
      <c r="K28" s="3">
        <v>9.8189999999998889E-2</v>
      </c>
      <c r="L28" s="3">
        <v>-7.5580000000000425E-2</v>
      </c>
      <c r="M28" s="3">
        <v>-0.12556299999999965</v>
      </c>
      <c r="N28" s="3">
        <v>-0.17766999999999911</v>
      </c>
      <c r="O28" s="3">
        <v>-0.5009200000000007</v>
      </c>
      <c r="P28" s="8"/>
    </row>
    <row r="29" spans="1:16" x14ac:dyDescent="0.25">
      <c r="A29" s="2" t="s">
        <v>67</v>
      </c>
      <c r="B29" s="23">
        <v>2794293511.7693634</v>
      </c>
      <c r="C29" s="3">
        <v>1249037656.6505401</v>
      </c>
      <c r="D29" s="3">
        <v>7835349974.7113171</v>
      </c>
      <c r="E29" s="11">
        <v>1222700</v>
      </c>
      <c r="F29" s="3">
        <v>312.54540722239994</v>
      </c>
      <c r="G29" s="8">
        <v>95701.884430000006</v>
      </c>
      <c r="H29" s="8">
        <v>373545.141</v>
      </c>
      <c r="I29" s="27">
        <v>-0.23214000000000112</v>
      </c>
      <c r="J29" s="27">
        <v>-0.1763300000000001</v>
      </c>
      <c r="K29" s="27">
        <v>6.8090000000001538E-2</v>
      </c>
      <c r="L29" s="27">
        <v>8.7819999999998899E-2</v>
      </c>
      <c r="M29" s="27">
        <v>-0.11688200000000037</v>
      </c>
      <c r="N29" s="27">
        <v>-0.20204000000000022</v>
      </c>
      <c r="O29" s="27">
        <v>-0.23209999999999908</v>
      </c>
      <c r="P29" s="8"/>
    </row>
    <row r="30" spans="1:16" s="13" customFormat="1" x14ac:dyDescent="0.25">
      <c r="A30" s="14" t="s">
        <v>68</v>
      </c>
      <c r="B30" s="24">
        <v>1417516688.3</v>
      </c>
      <c r="C30" s="15">
        <v>273198831.5</v>
      </c>
      <c r="D30" s="15">
        <v>7607501774.8757505</v>
      </c>
      <c r="E30" s="28">
        <v>1143600</v>
      </c>
      <c r="F30" s="15">
        <v>267.33333333333331</v>
      </c>
      <c r="G30" s="8">
        <v>77894.71431000001</v>
      </c>
      <c r="H30" s="8">
        <v>419748.93</v>
      </c>
      <c r="I30" s="27">
        <v>-8.9439999999999742E-2</v>
      </c>
      <c r="J30" s="27">
        <v>1.5355799999999995</v>
      </c>
      <c r="K30" s="27">
        <v>0.15110999999999919</v>
      </c>
      <c r="L30" s="27">
        <v>1.6490000000001004E-2</v>
      </c>
      <c r="M30" s="27">
        <v>-0.1293059999999997</v>
      </c>
      <c r="N30" s="27">
        <v>0.13246000000000002</v>
      </c>
      <c r="O30" s="27">
        <v>-0.11202000000000112</v>
      </c>
      <c r="P30" s="9" t="s">
        <v>32</v>
      </c>
    </row>
    <row r="31" spans="1:16" s="13" customFormat="1" x14ac:dyDescent="0.25">
      <c r="A31" s="14" t="s">
        <v>69</v>
      </c>
      <c r="B31" s="24">
        <v>1914208824.3900001</v>
      </c>
      <c r="C31" s="15">
        <v>577795725.01999998</v>
      </c>
      <c r="D31" s="15">
        <v>7573804121.1439629</v>
      </c>
      <c r="E31" s="28">
        <v>1225200</v>
      </c>
      <c r="F31" s="15">
        <v>276</v>
      </c>
      <c r="G31" s="8">
        <v>92988.758140000005</v>
      </c>
      <c r="H31" s="8">
        <v>209705.29579999999</v>
      </c>
      <c r="I31" s="27">
        <v>2.6419999999998112E-2</v>
      </c>
      <c r="J31" s="27">
        <v>1.229969999999998</v>
      </c>
      <c r="K31" s="27">
        <v>0.23962999999999823</v>
      </c>
      <c r="L31" s="27">
        <v>9.5680000000001542E-2</v>
      </c>
      <c r="M31" s="27">
        <v>-1.8495999999999846E-2</v>
      </c>
      <c r="N31" s="27">
        <v>0.13195999999999941</v>
      </c>
      <c r="O31" s="27">
        <v>0.16490000000000116</v>
      </c>
      <c r="P31" s="8"/>
    </row>
    <row r="32" spans="1:16" s="13" customFormat="1" x14ac:dyDescent="0.25">
      <c r="A32" s="14" t="s">
        <v>70</v>
      </c>
      <c r="B32" s="24">
        <v>2869821659.6000004</v>
      </c>
      <c r="C32" s="15">
        <v>982783206.08000004</v>
      </c>
      <c r="D32" s="15">
        <v>7784783838.7347641</v>
      </c>
      <c r="E32" s="28">
        <v>1240000</v>
      </c>
      <c r="F32" s="15">
        <v>297.33333333333331</v>
      </c>
      <c r="G32" s="8">
        <v>108592.31959</v>
      </c>
      <c r="H32" s="8">
        <v>250173.7188</v>
      </c>
      <c r="I32" s="27">
        <v>3.236000000000061E-2</v>
      </c>
      <c r="J32" s="27">
        <v>0.93368999999999858</v>
      </c>
      <c r="K32" s="27">
        <v>0.3277000000000001</v>
      </c>
      <c r="L32" s="27">
        <v>7.6220000000001065E-2</v>
      </c>
      <c r="M32" s="27">
        <v>2.5905999999999985E-2</v>
      </c>
      <c r="N32" s="27">
        <v>9.185999999999872E-2</v>
      </c>
      <c r="O32" s="27">
        <v>0.19491999999999976</v>
      </c>
      <c r="P32" s="8"/>
    </row>
    <row r="33" spans="1:16" s="13" customFormat="1" x14ac:dyDescent="0.25">
      <c r="A33" s="14" t="s">
        <v>71</v>
      </c>
      <c r="B33" s="24">
        <v>3136211907.3400002</v>
      </c>
      <c r="C33" s="15">
        <v>1304536070.3199999</v>
      </c>
      <c r="D33" s="15">
        <v>8178266288.9900246</v>
      </c>
      <c r="E33" s="28">
        <v>1214700</v>
      </c>
      <c r="F33" s="15">
        <v>325.33333333333331</v>
      </c>
      <c r="G33" s="8">
        <v>98210.299800000008</v>
      </c>
      <c r="H33" s="8">
        <v>416254.50920000003</v>
      </c>
      <c r="I33" s="3">
        <v>0.11543999999999954</v>
      </c>
      <c r="J33" s="3">
        <v>0.92063999999999879</v>
      </c>
      <c r="K33" s="3">
        <v>0.4030699999999996</v>
      </c>
      <c r="L33" s="3">
        <v>-6.5600000000003433E-3</v>
      </c>
      <c r="M33" s="3">
        <v>4.0099999999999802E-2</v>
      </c>
      <c r="N33" s="3">
        <v>2.5880000000000791E-2</v>
      </c>
      <c r="O33" s="3">
        <v>0.10825999999999958</v>
      </c>
      <c r="P33" s="8"/>
    </row>
    <row r="34" spans="1:16" x14ac:dyDescent="0.25">
      <c r="A34" s="2" t="s">
        <v>72</v>
      </c>
      <c r="B34" s="23">
        <v>1550767571.1864214</v>
      </c>
      <c r="C34" s="3">
        <v>254894110.1489659</v>
      </c>
      <c r="D34" s="3">
        <v>7922289440.6299019</v>
      </c>
      <c r="E34" s="11">
        <v>1154200</v>
      </c>
      <c r="F34" s="3">
        <v>274.23389942770831</v>
      </c>
      <c r="G34" s="8">
        <v>67644.329120000009</v>
      </c>
      <c r="H34" s="8">
        <v>449544.59100000001</v>
      </c>
      <c r="I34" s="3">
        <v>8.9849999999998431E-2</v>
      </c>
      <c r="J34" s="3">
        <v>-1.7158100000000012</v>
      </c>
      <c r="K34" s="3">
        <v>0.30756999999999834</v>
      </c>
      <c r="L34" s="3">
        <v>9.2300000000005156E-3</v>
      </c>
      <c r="M34" s="3">
        <v>2.5484999999999758E-2</v>
      </c>
      <c r="N34" s="3">
        <v>-0.14109000000000016</v>
      </c>
      <c r="O34" s="3">
        <v>6.8580000000000751E-2</v>
      </c>
      <c r="P34" s="8"/>
    </row>
    <row r="35" spans="1:16" x14ac:dyDescent="0.25">
      <c r="A35" s="2" t="s">
        <v>73</v>
      </c>
      <c r="B35" s="23">
        <v>2007227347.3478127</v>
      </c>
      <c r="C35" s="3">
        <v>473371797.77345097</v>
      </c>
      <c r="D35" s="3">
        <v>7810198047.2624769</v>
      </c>
      <c r="E35" s="11">
        <v>1205300</v>
      </c>
      <c r="F35" s="3">
        <v>278.53970300564123</v>
      </c>
      <c r="G35" s="8">
        <v>92038.917459999997</v>
      </c>
      <c r="H35" s="8">
        <v>279400.76</v>
      </c>
      <c r="I35" s="3">
        <v>4.7450000000001324E-2</v>
      </c>
      <c r="J35" s="3">
        <v>-1.3971799999999988</v>
      </c>
      <c r="K35" s="3">
        <v>0.19661999999999935</v>
      </c>
      <c r="L35" s="3">
        <v>-1.6370000000000218E-2</v>
      </c>
      <c r="M35" s="3">
        <v>9.1589999999994731E-3</v>
      </c>
      <c r="N35" s="3">
        <v>-1.0259999999998826E-2</v>
      </c>
      <c r="O35" s="3">
        <v>0.28693999999999953</v>
      </c>
      <c r="P35" s="8"/>
    </row>
    <row r="36" spans="1:16" x14ac:dyDescent="0.25">
      <c r="A36" s="2" t="s">
        <v>74</v>
      </c>
      <c r="B36" s="23">
        <v>2821176820.9569058</v>
      </c>
      <c r="C36" s="3">
        <v>681341117.96955895</v>
      </c>
      <c r="D36" s="3">
        <v>7828492815.6810884</v>
      </c>
      <c r="E36" s="11">
        <v>1222800</v>
      </c>
      <c r="F36" s="3">
        <v>283.81624494027852</v>
      </c>
      <c r="G36" s="8">
        <v>102919.61491</v>
      </c>
      <c r="H36" s="8">
        <v>285390.18</v>
      </c>
      <c r="I36" s="3">
        <v>-1.7099999999999227E-2</v>
      </c>
      <c r="J36" s="3">
        <v>-1.4379500000000007</v>
      </c>
      <c r="K36" s="3">
        <v>5.0910000000001787E-2</v>
      </c>
      <c r="L36" s="3">
        <v>-1.3970000000000482E-2</v>
      </c>
      <c r="M36" s="3">
        <v>-4.6527000000000207E-2</v>
      </c>
      <c r="N36" s="3">
        <v>-5.3659999999998931E-2</v>
      </c>
      <c r="O36" s="3">
        <v>0.13170000000000037</v>
      </c>
      <c r="P36" s="8"/>
    </row>
    <row r="37" spans="1:16" x14ac:dyDescent="0.25">
      <c r="A37" s="2" t="s">
        <v>75</v>
      </c>
      <c r="B37" s="23">
        <v>2916144566.160078</v>
      </c>
      <c r="C37" s="3">
        <v>1008035610.011382</v>
      </c>
      <c r="D37" s="3">
        <v>8041889540.903863</v>
      </c>
      <c r="E37" s="11">
        <v>1116900</v>
      </c>
      <c r="F37" s="3">
        <v>302.45835250559389</v>
      </c>
      <c r="G37" s="8">
        <v>94680.443880000006</v>
      </c>
      <c r="H37" s="8">
        <v>490295.38589999999</v>
      </c>
      <c r="I37" s="3">
        <v>-7.2749999999999204E-2</v>
      </c>
      <c r="J37" s="3">
        <v>-1.1350100000000012</v>
      </c>
      <c r="K37" s="3">
        <v>-6.869000000000014E-2</v>
      </c>
      <c r="L37" s="3">
        <v>-8.3940000000000126E-2</v>
      </c>
      <c r="M37" s="3">
        <v>-7.2905999999999693E-2</v>
      </c>
      <c r="N37" s="3">
        <v>-3.6610000000001364E-2</v>
      </c>
      <c r="O37" s="3">
        <v>0.16371000000000002</v>
      </c>
      <c r="P37" s="8"/>
    </row>
    <row r="38" spans="1:16" x14ac:dyDescent="0.25">
      <c r="A38" s="2" t="s">
        <v>76</v>
      </c>
      <c r="B38" s="23">
        <v>1448275551.4837847</v>
      </c>
      <c r="C38" s="3">
        <v>199002727.43819711</v>
      </c>
      <c r="D38" s="3">
        <v>7759196700.3215876</v>
      </c>
      <c r="E38" s="11">
        <v>1138500</v>
      </c>
      <c r="F38" s="3">
        <v>310.03320171441788</v>
      </c>
      <c r="G38" s="8">
        <v>82238.196640000009</v>
      </c>
      <c r="H38" s="8">
        <v>580284.33990000002</v>
      </c>
      <c r="I38" s="3">
        <v>-6.8379999999997665E-2</v>
      </c>
      <c r="J38" s="3">
        <v>-0.24752999999999759</v>
      </c>
      <c r="K38" s="3">
        <v>-7.0959999999999468E-2</v>
      </c>
      <c r="L38" s="3">
        <v>-1.3700000000000045E-2</v>
      </c>
      <c r="M38" s="3">
        <v>0.12269899999999989</v>
      </c>
      <c r="N38" s="3">
        <v>0.19536000000000087</v>
      </c>
      <c r="O38" s="3">
        <v>0.25527999999999906</v>
      </c>
      <c r="P38" s="8"/>
    </row>
    <row r="39" spans="1:16" x14ac:dyDescent="0.25">
      <c r="A39" s="2" t="s">
        <v>77</v>
      </c>
      <c r="B39" s="23">
        <v>1889962854.1749308</v>
      </c>
      <c r="C39" s="3">
        <v>371992828.89416641</v>
      </c>
      <c r="D39" s="3">
        <v>7594432562.6420078</v>
      </c>
      <c r="E39" s="11">
        <v>1166500</v>
      </c>
      <c r="F39" s="3">
        <v>312.34404994831579</v>
      </c>
      <c r="G39" s="8">
        <v>72013.476939999993</v>
      </c>
      <c r="H39" s="8">
        <v>332467.17720999999</v>
      </c>
      <c r="I39" s="3">
        <v>-6.0200000000001808E-2</v>
      </c>
      <c r="J39" s="3">
        <v>-0.24100999999999928</v>
      </c>
      <c r="K39" s="3">
        <v>-7.5039999999997775E-2</v>
      </c>
      <c r="L39" s="3">
        <v>-3.2720000000001193E-2</v>
      </c>
      <c r="M39" s="3">
        <v>0.11454500000000056</v>
      </c>
      <c r="N39" s="3">
        <v>-0.24536000000000158</v>
      </c>
      <c r="O39" s="3">
        <v>0.17389999999999972</v>
      </c>
      <c r="P39" s="8"/>
    </row>
    <row r="40" spans="1:16" x14ac:dyDescent="0.25">
      <c r="A40" s="2" t="s">
        <v>78</v>
      </c>
      <c r="B40" s="23">
        <v>2516097721.0938697</v>
      </c>
      <c r="C40" s="3">
        <v>532183256.03940094</v>
      </c>
      <c r="D40" s="3">
        <v>7534020888.1335468</v>
      </c>
      <c r="E40" s="11">
        <v>1194200</v>
      </c>
      <c r="F40" s="3">
        <v>308.5352282189686</v>
      </c>
      <c r="G40" s="8">
        <v>94513.645860000004</v>
      </c>
      <c r="H40" s="8">
        <v>306461.53737999999</v>
      </c>
      <c r="I40" s="3">
        <v>-0.11443999999999832</v>
      </c>
      <c r="J40" s="3">
        <v>-0.24706999999999724</v>
      </c>
      <c r="K40" s="3">
        <v>-8.107000000000042E-2</v>
      </c>
      <c r="L40" s="3">
        <v>-2.365999999999957E-2</v>
      </c>
      <c r="M40" s="3">
        <v>8.3509000000000277E-2</v>
      </c>
      <c r="N40" s="3">
        <v>-8.5200000000000387E-2</v>
      </c>
      <c r="O40" s="3">
        <v>7.1239999999999526E-2</v>
      </c>
      <c r="P40" s="8"/>
    </row>
    <row r="41" spans="1:16" x14ac:dyDescent="0.25">
      <c r="A41" s="2" t="s">
        <v>79</v>
      </c>
      <c r="B41" s="23">
        <v>2589315265.9005075</v>
      </c>
      <c r="C41" s="3">
        <v>878904151.30132616</v>
      </c>
      <c r="D41" s="3">
        <v>7684662334.5076656</v>
      </c>
      <c r="E41" s="11">
        <v>1192100</v>
      </c>
      <c r="F41" s="3">
        <v>334.40244712935817</v>
      </c>
      <c r="G41" s="8">
        <v>95720.394709999993</v>
      </c>
      <c r="H41" s="8">
        <v>569098.60830000008</v>
      </c>
      <c r="I41" s="3">
        <v>-0.11887000000000114</v>
      </c>
      <c r="J41" s="3">
        <v>-0.13707999999999743</v>
      </c>
      <c r="K41" s="3">
        <v>-8.4120000000002193E-2</v>
      </c>
      <c r="L41" s="3">
        <v>6.5160000000000551E-2</v>
      </c>
      <c r="M41" s="3">
        <v>0.10040099999999974</v>
      </c>
      <c r="N41" s="3">
        <v>1.0930000000000106E-2</v>
      </c>
      <c r="O41" s="3">
        <v>0.14905000000000079</v>
      </c>
      <c r="P41" s="8"/>
    </row>
    <row r="42" spans="1:16" x14ac:dyDescent="0.25">
      <c r="A42" s="2" t="s">
        <v>80</v>
      </c>
      <c r="B42" s="23">
        <v>1519496654.0792518</v>
      </c>
      <c r="C42" s="3">
        <v>184529333.66367203</v>
      </c>
      <c r="D42" s="3">
        <v>7411146817.980485</v>
      </c>
      <c r="E42" s="11">
        <v>1129400</v>
      </c>
      <c r="F42" s="3">
        <v>285.85425598478668</v>
      </c>
      <c r="G42" s="8">
        <v>77567.117329999994</v>
      </c>
      <c r="H42" s="8">
        <v>567821.40049999999</v>
      </c>
      <c r="I42" s="3">
        <v>4.8009999999997888E-2</v>
      </c>
      <c r="J42" s="3">
        <v>-7.5510000000001298E-2</v>
      </c>
      <c r="K42" s="3">
        <v>-8.4009999999999252E-2</v>
      </c>
      <c r="L42" s="3">
        <v>-8.0200000000001381E-3</v>
      </c>
      <c r="M42" s="3">
        <v>-8.1197999999999659E-2</v>
      </c>
      <c r="N42" s="3">
        <v>-5.8479999999999421E-2</v>
      </c>
      <c r="O42" s="3">
        <v>-2.1709999999998786E-2</v>
      </c>
      <c r="P42" s="8"/>
    </row>
    <row r="43" spans="1:16" x14ac:dyDescent="0.25">
      <c r="A43" s="2" t="s">
        <v>81</v>
      </c>
      <c r="B43" s="23">
        <v>1883118080.6200128</v>
      </c>
      <c r="C43" s="3">
        <v>342058665.36918038</v>
      </c>
      <c r="D43" s="3">
        <v>7245824676.302968</v>
      </c>
      <c r="E43" s="11">
        <v>1179800</v>
      </c>
      <c r="F43" s="3">
        <v>294.48811162848625</v>
      </c>
      <c r="G43" s="8">
        <v>71762.238890000008</v>
      </c>
      <c r="H43" s="8">
        <v>273563.51647999999</v>
      </c>
      <c r="I43" s="3">
        <v>-3.6199999999979582E-3</v>
      </c>
      <c r="J43" s="3">
        <v>-8.3890000000000242E-2</v>
      </c>
      <c r="K43" s="3">
        <v>-8.4020000000002426E-2</v>
      </c>
      <c r="L43" s="3">
        <v>1.1340000000000572E-2</v>
      </c>
      <c r="M43" s="3">
        <v>-5.8866000000000085E-2</v>
      </c>
      <c r="N43" s="3">
        <v>-3.4999999999989484E-3</v>
      </c>
      <c r="O43" s="3">
        <v>-0.19500999999999991</v>
      </c>
      <c r="P43" s="8"/>
    </row>
    <row r="44" spans="1:16" x14ac:dyDescent="0.25">
      <c r="A44" s="2" t="s">
        <v>82</v>
      </c>
      <c r="B44" s="23">
        <v>2645969863.2823715</v>
      </c>
      <c r="C44" s="3">
        <v>505968791.8697086</v>
      </c>
      <c r="D44" s="3">
        <v>7187114717.6096449</v>
      </c>
      <c r="E44" s="11">
        <v>1182700</v>
      </c>
      <c r="F44" s="3">
        <v>311.50445286778802</v>
      </c>
      <c r="G44" s="8">
        <v>85208.206949999993</v>
      </c>
      <c r="H44" s="8">
        <v>308530.35639999999</v>
      </c>
      <c r="I44" s="3">
        <v>5.0319999999999254E-2</v>
      </c>
      <c r="J44" s="3">
        <v>-5.0510000000002719E-2</v>
      </c>
      <c r="K44" s="3">
        <v>-8.2920000000001437E-2</v>
      </c>
      <c r="L44" s="3">
        <v>-9.6800000000012432E-3</v>
      </c>
      <c r="M44" s="3">
        <v>9.5779999999994203E-3</v>
      </c>
      <c r="N44" s="3">
        <v>-0.10365000000000002</v>
      </c>
      <c r="O44" s="3">
        <v>6.7300000000010129E-3</v>
      </c>
      <c r="P44" s="8"/>
    </row>
    <row r="45" spans="1:16" x14ac:dyDescent="0.25">
      <c r="A45" s="2" t="s">
        <v>83</v>
      </c>
      <c r="B45" s="23">
        <v>2795367226.3461032</v>
      </c>
      <c r="C45" s="3">
        <v>845922127.20277131</v>
      </c>
      <c r="D45" s="3">
        <v>7335312258.0508251</v>
      </c>
      <c r="E45" s="11">
        <v>1166700</v>
      </c>
      <c r="F45" s="3">
        <v>335.24033647060941</v>
      </c>
      <c r="G45" s="8">
        <v>90914.587170000013</v>
      </c>
      <c r="H45" s="8">
        <v>567815.22629999998</v>
      </c>
      <c r="I45" s="3">
        <v>7.6570000000000249E-2</v>
      </c>
      <c r="J45" s="3">
        <v>-3.825000000000145E-2</v>
      </c>
      <c r="K45" s="3">
        <v>-8.0499999999997129E-2</v>
      </c>
      <c r="L45" s="3">
        <v>-2.1539999999999893E-2</v>
      </c>
      <c r="M45" s="3">
        <v>2.5020000000006704E-3</v>
      </c>
      <c r="N45" s="3">
        <v>-5.1509999999998612E-2</v>
      </c>
      <c r="O45" s="3">
        <v>-2.260000000001483E-3</v>
      </c>
      <c r="P45" s="8"/>
    </row>
    <row r="46" spans="1:16" x14ac:dyDescent="0.25">
      <c r="A46" s="2" t="s">
        <v>84</v>
      </c>
      <c r="B46" s="23">
        <v>1466004926.477154</v>
      </c>
      <c r="C46" s="3">
        <v>195667087.0467402</v>
      </c>
      <c r="D46" s="3">
        <v>7085946897.3763285</v>
      </c>
      <c r="E46" s="11">
        <v>1176900</v>
      </c>
      <c r="F46" s="3">
        <v>284.43066483459017</v>
      </c>
      <c r="G46" s="8">
        <v>61390.616110000003</v>
      </c>
      <c r="H46" s="8">
        <v>551095.36230000004</v>
      </c>
      <c r="I46" s="3">
        <v>-3.5839999999996763E-2</v>
      </c>
      <c r="J46" s="3">
        <v>5.8599999999998431E-2</v>
      </c>
      <c r="K46" s="3">
        <v>-7.8779999999998296E-2</v>
      </c>
      <c r="L46" s="3">
        <v>4.1189999999998506E-2</v>
      </c>
      <c r="M46" s="3">
        <v>-4.9929999999998032E-3</v>
      </c>
      <c r="N46" s="3">
        <v>-0.2338900000000006</v>
      </c>
      <c r="O46" s="3">
        <v>-2.990000000000137E-2</v>
      </c>
      <c r="P46" s="8"/>
    </row>
    <row r="47" spans="1:16" x14ac:dyDescent="0.25">
      <c r="A47" s="2" t="s">
        <v>85</v>
      </c>
      <c r="B47" s="23">
        <v>1838623403.2418387</v>
      </c>
      <c r="C47" s="3">
        <v>329334401.95406765</v>
      </c>
      <c r="D47" s="3">
        <v>6929250193.6799526</v>
      </c>
      <c r="E47" s="11">
        <v>1182900</v>
      </c>
      <c r="F47" s="3">
        <v>292.40239087854457</v>
      </c>
      <c r="G47" s="8">
        <v>85002.915099999998</v>
      </c>
      <c r="H47" s="8">
        <v>282590.03240999999</v>
      </c>
      <c r="I47" s="3">
        <v>-2.3920000000000385E-2</v>
      </c>
      <c r="J47" s="3">
        <v>-3.7900000000000489E-2</v>
      </c>
      <c r="K47" s="3">
        <v>-7.7859999999997598E-2</v>
      </c>
      <c r="L47" s="3">
        <v>2.6200000000002888E-3</v>
      </c>
      <c r="M47" s="3">
        <v>-7.1080000000005583E-3</v>
      </c>
      <c r="N47" s="3">
        <v>0.16933000000000042</v>
      </c>
      <c r="O47" s="3">
        <v>3.2460000000000377E-2</v>
      </c>
      <c r="P47" s="8"/>
    </row>
    <row r="48" spans="1:16" x14ac:dyDescent="0.25">
      <c r="A48" s="2" t="s">
        <v>86</v>
      </c>
      <c r="B48" s="23">
        <v>2590174339.0369263</v>
      </c>
      <c r="C48" s="3">
        <v>455216468.03680253</v>
      </c>
      <c r="D48" s="3">
        <v>6855917564.8180361</v>
      </c>
      <c r="E48" s="11">
        <v>1153000</v>
      </c>
      <c r="F48" s="3">
        <v>313.19638644105589</v>
      </c>
      <c r="G48" s="8">
        <v>92196.144809999998</v>
      </c>
      <c r="H48" s="8">
        <v>312937.95163999998</v>
      </c>
      <c r="I48" s="3">
        <v>-2.1309999999999718E-2</v>
      </c>
      <c r="J48" s="3">
        <v>-0.10570999999999842</v>
      </c>
      <c r="K48" s="3">
        <v>-7.8759999999999053E-2</v>
      </c>
      <c r="L48" s="3">
        <v>-2.5430000000000064E-2</v>
      </c>
      <c r="M48" s="3">
        <v>5.4160000000003095E-3</v>
      </c>
      <c r="N48" s="3">
        <v>7.8820000000000334E-2</v>
      </c>
      <c r="O48" s="3">
        <v>1.4179999999999637E-2</v>
      </c>
      <c r="P48" s="8"/>
    </row>
    <row r="49" spans="1:16" x14ac:dyDescent="0.25">
      <c r="A49" s="2" t="s">
        <v>87</v>
      </c>
      <c r="B49" s="23">
        <v>2662578027.2521415</v>
      </c>
      <c r="C49" s="3">
        <v>723626411.22664773</v>
      </c>
      <c r="D49" s="3">
        <v>6947297533.3131227</v>
      </c>
      <c r="E49" s="11">
        <v>1111700</v>
      </c>
      <c r="F49" s="3">
        <v>323.9544588485291</v>
      </c>
      <c r="G49" s="8">
        <v>84024.254030000011</v>
      </c>
      <c r="H49" s="8">
        <v>565778.49080000003</v>
      </c>
      <c r="I49" s="3">
        <v>-4.8670000000001323E-2</v>
      </c>
      <c r="J49" s="3">
        <v>-0.15615000000000023</v>
      </c>
      <c r="K49" s="3">
        <v>-8.2890000000002573E-2</v>
      </c>
      <c r="L49" s="3">
        <v>-4.8289999999999722E-2</v>
      </c>
      <c r="M49" s="3">
        <v>-3.4244000000000163E-2</v>
      </c>
      <c r="N49" s="3">
        <v>-7.8820000000000334E-2</v>
      </c>
      <c r="O49" s="3">
        <v>-3.5899999999990939E-3</v>
      </c>
      <c r="P49" s="8"/>
    </row>
    <row r="50" spans="1:16" x14ac:dyDescent="0.25">
      <c r="A50" s="2" t="s">
        <v>88</v>
      </c>
      <c r="B50" s="23">
        <v>1307099056.0014501</v>
      </c>
      <c r="C50" s="3">
        <v>162633478.46885878</v>
      </c>
      <c r="D50" s="3">
        <v>6697512743.7287817</v>
      </c>
      <c r="E50" s="11">
        <v>1099200</v>
      </c>
      <c r="F50" s="3">
        <v>261.02720627091844</v>
      </c>
      <c r="G50" s="8">
        <v>66583.493050000005</v>
      </c>
      <c r="H50" s="8">
        <v>538711.58639999991</v>
      </c>
      <c r="I50" s="3">
        <v>-0.11473000000000155</v>
      </c>
      <c r="J50" s="3">
        <v>-0.18490999999999858</v>
      </c>
      <c r="K50" s="3">
        <v>-8.4179999999999922E-2</v>
      </c>
      <c r="L50" s="3">
        <v>-6.8299999999998917E-2</v>
      </c>
      <c r="M50" s="3">
        <v>-8.586399999999994E-2</v>
      </c>
      <c r="N50" s="3">
        <v>8.1200000000000827E-2</v>
      </c>
      <c r="O50" s="3">
        <v>-2.2719999999999629E-2</v>
      </c>
      <c r="P50" s="8"/>
    </row>
    <row r="51" spans="1:16" x14ac:dyDescent="0.25">
      <c r="A51" s="2" t="s">
        <v>89</v>
      </c>
      <c r="B51" s="23">
        <v>1640499607.8624105</v>
      </c>
      <c r="C51" s="3">
        <v>295498114.7925806</v>
      </c>
      <c r="D51" s="3">
        <v>6539935975.4178905</v>
      </c>
      <c r="E51" s="11">
        <v>1083500</v>
      </c>
      <c r="F51" s="3">
        <v>268.51200909119387</v>
      </c>
      <c r="G51" s="8">
        <v>70093.773619999993</v>
      </c>
      <c r="H51" s="8">
        <v>223498.11425000001</v>
      </c>
      <c r="I51" s="3">
        <v>-0.11401000000000039</v>
      </c>
      <c r="J51" s="3">
        <v>-0.1084200000000024</v>
      </c>
      <c r="K51" s="3">
        <v>-8.4730000000000416E-2</v>
      </c>
      <c r="L51" s="3">
        <v>-8.7770000000000792E-2</v>
      </c>
      <c r="M51" s="3">
        <v>-8.523499999999995E-2</v>
      </c>
      <c r="N51" s="3">
        <v>-0.19284999999999997</v>
      </c>
      <c r="O51" s="3">
        <v>-0.23459000000000074</v>
      </c>
      <c r="P51" s="8"/>
    </row>
    <row r="52" spans="1:16" x14ac:dyDescent="0.25">
      <c r="A52" s="2" t="s">
        <v>90</v>
      </c>
      <c r="B52" s="23">
        <v>2245933696.5613871</v>
      </c>
      <c r="C52" s="3">
        <v>411758988.9435879</v>
      </c>
      <c r="D52" s="3">
        <v>6459994570.0131483</v>
      </c>
      <c r="E52" s="11">
        <v>1108400</v>
      </c>
      <c r="F52" s="3">
        <v>276.72533622203605</v>
      </c>
      <c r="G52" s="8">
        <v>83096.389679999993</v>
      </c>
      <c r="H52" s="8">
        <v>370063.61689999996</v>
      </c>
      <c r="I52" s="3">
        <v>-0.14260000000000161</v>
      </c>
      <c r="J52" s="3">
        <v>-0.10032999999999959</v>
      </c>
      <c r="K52" s="3">
        <v>-8.5239999999998872E-2</v>
      </c>
      <c r="L52" s="3">
        <v>-3.9449999999998653E-2</v>
      </c>
      <c r="M52" s="3">
        <v>-0.12380499999999994</v>
      </c>
      <c r="N52" s="3">
        <v>-0.10391000000000084</v>
      </c>
      <c r="O52" s="3">
        <v>0.16766999999999932</v>
      </c>
      <c r="P52" s="8"/>
    </row>
    <row r="53" spans="1:16" x14ac:dyDescent="0.25">
      <c r="A53" s="2" t="s">
        <v>91</v>
      </c>
      <c r="B53" s="23">
        <v>2318323595.3165069</v>
      </c>
      <c r="C53" s="3">
        <v>682263732.71763909</v>
      </c>
      <c r="D53" s="3">
        <v>6546353081.143074</v>
      </c>
      <c r="E53" s="11">
        <v>1046800</v>
      </c>
      <c r="F53" s="3">
        <v>293.93176436193556</v>
      </c>
      <c r="G53" s="8">
        <v>78171.236619999996</v>
      </c>
      <c r="H53" s="8">
        <v>520582.66680000001</v>
      </c>
      <c r="I53" s="3">
        <v>-0.13844999999999885</v>
      </c>
      <c r="J53" s="3">
        <v>-5.8859999999999246E-2</v>
      </c>
      <c r="K53" s="3">
        <v>-8.3869999999997447E-2</v>
      </c>
      <c r="L53" s="3">
        <v>-6.0150000000000148E-2</v>
      </c>
      <c r="M53" s="3">
        <v>-9.7255000000000535E-2</v>
      </c>
      <c r="N53" s="3">
        <v>-7.2200000000000486E-2</v>
      </c>
      <c r="O53" s="3">
        <v>-8.3260000000001E-2</v>
      </c>
      <c r="P53" s="8"/>
    </row>
    <row r="54" spans="1:16" x14ac:dyDescent="0.25">
      <c r="A54" s="2" t="s">
        <v>92</v>
      </c>
      <c r="B54" s="23">
        <v>1256681454.3941424</v>
      </c>
      <c r="C54" s="3">
        <v>150929738.50201994</v>
      </c>
      <c r="D54" s="3">
        <v>6309593270.1871319</v>
      </c>
      <c r="E54" s="11">
        <v>1000700</v>
      </c>
      <c r="F54" s="3">
        <v>255.17985903987147</v>
      </c>
      <c r="G54" s="8">
        <v>73716.872380000001</v>
      </c>
      <c r="H54" s="8">
        <v>468121.21640000003</v>
      </c>
      <c r="I54" s="3">
        <v>-3.9339999999999264E-2</v>
      </c>
      <c r="J54" s="3">
        <v>-7.4690000000000367E-2</v>
      </c>
      <c r="K54" s="3">
        <v>-8.3760000000001611E-2</v>
      </c>
      <c r="L54" s="3">
        <v>-9.3880000000000408E-2</v>
      </c>
      <c r="M54" s="3">
        <v>-2.2656000000000454E-2</v>
      </c>
      <c r="N54" s="3">
        <v>0.10177999999999976</v>
      </c>
      <c r="O54" s="3">
        <v>-0.14045999999999914</v>
      </c>
      <c r="P54" s="8"/>
    </row>
    <row r="55" spans="1:16" x14ac:dyDescent="0.25">
      <c r="A55" s="2" t="s">
        <v>93</v>
      </c>
      <c r="B55" s="23">
        <v>1610150847.0312088</v>
      </c>
      <c r="C55" s="3">
        <v>243592318.11922881</v>
      </c>
      <c r="D55" s="3">
        <v>6140268997.5493126</v>
      </c>
      <c r="E55" s="11">
        <v>1004900</v>
      </c>
      <c r="F55" s="3">
        <v>262.93647181150959</v>
      </c>
      <c r="G55" s="8">
        <v>75683.445449999999</v>
      </c>
      <c r="H55" s="8">
        <v>253080.584</v>
      </c>
      <c r="I55" s="3">
        <v>-1.8679999999999808E-2</v>
      </c>
      <c r="J55" s="3">
        <v>-0.19315999999999889</v>
      </c>
      <c r="K55" s="3">
        <v>-8.6079999999999046E-2</v>
      </c>
      <c r="L55" s="3">
        <v>-7.5309999999999988E-2</v>
      </c>
      <c r="M55" s="3">
        <v>-2.0983999999999448E-2</v>
      </c>
      <c r="N55" s="3">
        <v>7.6719999999999899E-2</v>
      </c>
      <c r="O55" s="3">
        <v>0.12429999999999986</v>
      </c>
      <c r="P55" s="8"/>
    </row>
    <row r="56" spans="1:16" x14ac:dyDescent="0.25">
      <c r="A56" s="2" t="s">
        <v>94</v>
      </c>
      <c r="B56" s="23">
        <v>2181815778.9143767</v>
      </c>
      <c r="C56" s="3">
        <v>348494821.0617426</v>
      </c>
      <c r="D56" s="3">
        <v>6042352440.3088923</v>
      </c>
      <c r="E56" s="11">
        <v>1010400</v>
      </c>
      <c r="F56" s="3">
        <v>272.16221864311603</v>
      </c>
      <c r="G56" s="8">
        <v>85977.294510000007</v>
      </c>
      <c r="H56" s="8">
        <v>299771.46279999998</v>
      </c>
      <c r="I56" s="3">
        <v>-2.897000000000105E-2</v>
      </c>
      <c r="J56" s="3">
        <v>-0.1668200000000013</v>
      </c>
      <c r="K56" s="3">
        <v>-8.8560000000001082E-2</v>
      </c>
      <c r="L56" s="3">
        <v>-9.2570000000000263E-2</v>
      </c>
      <c r="M56" s="3">
        <v>-1.6626999999999725E-2</v>
      </c>
      <c r="N56" s="3">
        <v>3.408000000000122E-2</v>
      </c>
      <c r="O56" s="3">
        <v>-0.21064999999999934</v>
      </c>
      <c r="P56" s="8"/>
    </row>
    <row r="57" spans="1:16" x14ac:dyDescent="0.25">
      <c r="A57" s="2" t="s">
        <v>95</v>
      </c>
      <c r="B57" s="23">
        <v>2158112532.6065679</v>
      </c>
      <c r="C57" s="3">
        <v>508658496.28282171</v>
      </c>
      <c r="D57" s="3">
        <v>6045429916.0631409</v>
      </c>
      <c r="E57" s="11">
        <v>1009100</v>
      </c>
      <c r="F57" s="3">
        <v>282.9629943523575</v>
      </c>
      <c r="G57" s="8">
        <v>82776.108049999995</v>
      </c>
      <c r="H57" s="8">
        <v>588933.75899999996</v>
      </c>
      <c r="I57" s="3">
        <v>-7.1609999999999729E-2</v>
      </c>
      <c r="J57" s="3">
        <v>-0.2936399999999999</v>
      </c>
      <c r="K57" s="3">
        <v>-9.8370000000002733E-2</v>
      </c>
      <c r="L57" s="3">
        <v>-3.668000000000049E-2</v>
      </c>
      <c r="M57" s="3">
        <v>-3.80319999999994E-2</v>
      </c>
      <c r="N57" s="3">
        <v>5.7230000000000558E-2</v>
      </c>
      <c r="O57" s="3">
        <v>0.12337000000000131</v>
      </c>
      <c r="P57" s="8"/>
    </row>
    <row r="58" spans="1:16" x14ac:dyDescent="0.25">
      <c r="A58" s="2" t="s">
        <v>96</v>
      </c>
      <c r="B58" s="23">
        <v>1266621056.3720789</v>
      </c>
      <c r="C58" s="3">
        <v>136123795.87852198</v>
      </c>
      <c r="D58" s="3">
        <v>5824832697.787097</v>
      </c>
      <c r="E58" s="11">
        <v>974500</v>
      </c>
      <c r="F58" s="3">
        <v>241.42154203626478</v>
      </c>
      <c r="G58" s="8">
        <v>54857.374670000005</v>
      </c>
      <c r="H58" s="8">
        <v>603218.53630000004</v>
      </c>
      <c r="I58" s="3">
        <v>7.8800000000001091E-3</v>
      </c>
      <c r="J58" s="3">
        <v>-0.10324999999999918</v>
      </c>
      <c r="K58" s="3">
        <v>-9.8430000000000462E-2</v>
      </c>
      <c r="L58" s="3">
        <v>-2.6529999999999276E-2</v>
      </c>
      <c r="M58" s="3">
        <v>-5.5424000000000362E-2</v>
      </c>
      <c r="N58" s="3">
        <v>-0.29550000000000054</v>
      </c>
      <c r="O58" s="3">
        <v>0.25354999999999883</v>
      </c>
      <c r="P58" s="8"/>
    </row>
    <row r="59" spans="1:16" x14ac:dyDescent="0.25">
      <c r="A59" s="2" t="s">
        <v>97</v>
      </c>
      <c r="B59" s="23">
        <v>1600774480.6870365</v>
      </c>
      <c r="C59" s="3">
        <v>231757328.49194753</v>
      </c>
      <c r="D59" s="3">
        <v>5672645459.9929104</v>
      </c>
      <c r="E59" s="11">
        <v>1041500</v>
      </c>
      <c r="F59" s="3">
        <v>251.17323450750268</v>
      </c>
      <c r="G59" s="8">
        <v>78014.335430000006</v>
      </c>
      <c r="H59" s="8">
        <v>336538.36450000003</v>
      </c>
      <c r="I59" s="3">
        <v>-5.8399999999991792E-3</v>
      </c>
      <c r="J59" s="3">
        <v>-4.9810000000000798E-2</v>
      </c>
      <c r="K59" s="3">
        <v>-9.7430000000002792E-2</v>
      </c>
      <c r="L59" s="3">
        <v>3.577000000000119E-2</v>
      </c>
      <c r="M59" s="3">
        <v>-4.5768999999999949E-2</v>
      </c>
      <c r="N59" s="3">
        <v>3.0339999999998923E-2</v>
      </c>
      <c r="O59" s="3">
        <v>0.28501000000000154</v>
      </c>
      <c r="P59" s="8"/>
    </row>
    <row r="60" spans="1:16" x14ac:dyDescent="0.25">
      <c r="A60" s="2" t="s">
        <v>98</v>
      </c>
      <c r="B60" s="23">
        <v>2099451181.1648955</v>
      </c>
      <c r="C60" s="3">
        <v>354992392.43926644</v>
      </c>
      <c r="D60" s="3">
        <v>5602008622.4568243</v>
      </c>
      <c r="E60" s="11">
        <v>1033400.0000000001</v>
      </c>
      <c r="F60" s="3">
        <v>257.22164245905037</v>
      </c>
      <c r="G60" s="8">
        <v>105696.44438</v>
      </c>
      <c r="H60" s="8">
        <v>316516.66229999997</v>
      </c>
      <c r="I60" s="3">
        <v>-3.8479999999999848E-2</v>
      </c>
      <c r="J60" s="3">
        <v>1.8480000000000274E-2</v>
      </c>
      <c r="K60" s="3">
        <v>-9.3810000000001281E-2</v>
      </c>
      <c r="L60" s="3">
        <v>2.2499999999999076E-2</v>
      </c>
      <c r="M60" s="3">
        <v>-5.6460000000000399E-2</v>
      </c>
      <c r="N60" s="3">
        <v>0.20648999999999873</v>
      </c>
      <c r="O60" s="3">
        <v>5.4349999999999454E-2</v>
      </c>
      <c r="P60" s="8"/>
    </row>
    <row r="61" spans="1:16" x14ac:dyDescent="0.25">
      <c r="A61" s="2" t="s">
        <v>99</v>
      </c>
      <c r="B61" s="23">
        <v>2340785726.9415255</v>
      </c>
      <c r="C61" s="3">
        <v>566092851.97200537</v>
      </c>
      <c r="D61" s="3">
        <v>5661563902.5171852</v>
      </c>
      <c r="E61" s="11">
        <v>1001500</v>
      </c>
      <c r="F61" s="3">
        <v>274.08582966007509</v>
      </c>
      <c r="G61" s="8">
        <v>106335.06908</v>
      </c>
      <c r="H61" s="8">
        <v>523391.41980000003</v>
      </c>
      <c r="I61" s="3">
        <v>8.1250000000000711E-2</v>
      </c>
      <c r="J61" s="3">
        <v>0.10698000000000008</v>
      </c>
      <c r="K61" s="3">
        <v>-8.4219999999998407E-2</v>
      </c>
      <c r="L61" s="3">
        <v>-7.5599999999997891E-3</v>
      </c>
      <c r="M61" s="3">
        <v>-3.187500000000032E-2</v>
      </c>
      <c r="N61" s="3">
        <v>0.25046000000000035</v>
      </c>
      <c r="O61" s="3">
        <v>-0.11798000000000108</v>
      </c>
      <c r="P61" s="8"/>
    </row>
    <row r="62" spans="1:16" x14ac:dyDescent="0.25">
      <c r="A62" s="2" t="s">
        <v>100</v>
      </c>
      <c r="B62" s="23">
        <v>1352676041.699266</v>
      </c>
      <c r="C62" s="3">
        <v>159100390.79382256</v>
      </c>
      <c r="D62" s="3">
        <v>5473945941.8676195</v>
      </c>
      <c r="E62" s="11">
        <v>1027900.0000000001</v>
      </c>
      <c r="F62" s="3">
        <v>203.87723870928232</v>
      </c>
      <c r="G62" s="8">
        <v>79745.678509999998</v>
      </c>
      <c r="H62" s="8">
        <v>502019.85279999999</v>
      </c>
      <c r="I62" s="3">
        <v>6.5729999999998512E-2</v>
      </c>
      <c r="J62" s="3">
        <v>0.15597999999999956</v>
      </c>
      <c r="K62" s="3">
        <v>-8.0949999999997857E-2</v>
      </c>
      <c r="L62" s="3">
        <v>5.3350000000000009E-2</v>
      </c>
      <c r="M62" s="3">
        <v>-0.16902699999999982</v>
      </c>
      <c r="N62" s="3">
        <v>0.37410999999999994</v>
      </c>
      <c r="O62" s="3">
        <v>-0.18362999999999907</v>
      </c>
      <c r="P62" s="8"/>
    </row>
    <row r="63" spans="1:16" x14ac:dyDescent="0.25">
      <c r="A63" s="2" t="s">
        <v>101</v>
      </c>
      <c r="B63" s="23">
        <v>1622513413.1976416</v>
      </c>
      <c r="C63" s="3">
        <v>230947043.37550086</v>
      </c>
      <c r="D63" s="3">
        <v>5338816870.7995396</v>
      </c>
      <c r="E63" s="11">
        <v>1090300</v>
      </c>
      <c r="F63" s="3">
        <v>201.1610432426246</v>
      </c>
      <c r="G63" s="8">
        <v>74255.433479999992</v>
      </c>
      <c r="H63" s="8">
        <v>339699.21889999998</v>
      </c>
      <c r="I63" s="3">
        <v>1.3489999999997337E-2</v>
      </c>
      <c r="J63" s="3">
        <v>-3.4999999999989484E-3</v>
      </c>
      <c r="K63" s="3">
        <v>-7.9249999999998266E-2</v>
      </c>
      <c r="L63" s="3">
        <v>4.5790000000000219E-2</v>
      </c>
      <c r="M63" s="3">
        <v>-0.22203700000000026</v>
      </c>
      <c r="N63" s="3">
        <v>-4.9379999999999313E-2</v>
      </c>
      <c r="O63" s="3">
        <v>9.3499999999995254E-3</v>
      </c>
      <c r="P63" s="8"/>
    </row>
    <row r="64" spans="1:16" x14ac:dyDescent="0.25">
      <c r="A64" s="2" t="s">
        <v>102</v>
      </c>
      <c r="B64" s="23">
        <v>2001190001.0417869</v>
      </c>
      <c r="C64" s="3">
        <v>320059981.41386819</v>
      </c>
      <c r="D64" s="3">
        <v>5263912016.1078835</v>
      </c>
      <c r="E64" s="11">
        <v>1105900</v>
      </c>
      <c r="F64" s="3">
        <v>203.06677627823638</v>
      </c>
      <c r="G64" s="8">
        <v>96961.684540000017</v>
      </c>
      <c r="H64" s="8">
        <v>417737.76489999995</v>
      </c>
      <c r="I64" s="3">
        <v>-4.7929999999997364E-2</v>
      </c>
      <c r="J64" s="3">
        <v>-0.10359000000000052</v>
      </c>
      <c r="K64" s="3">
        <v>-8.0040000000000333E-2</v>
      </c>
      <c r="L64" s="3">
        <v>6.7809999999999704E-2</v>
      </c>
      <c r="M64" s="3">
        <v>-0.23640300000000014</v>
      </c>
      <c r="N64" s="3">
        <v>-8.6259999999999337E-2</v>
      </c>
      <c r="O64" s="3">
        <v>0.27748000000000062</v>
      </c>
      <c r="P64" s="8"/>
    </row>
    <row r="65" spans="1:16" x14ac:dyDescent="0.25">
      <c r="A65" s="2" t="s">
        <v>103</v>
      </c>
      <c r="B65" s="23">
        <v>2192720897.1392689</v>
      </c>
      <c r="C65" s="3">
        <v>488237827.81670004</v>
      </c>
      <c r="D65" s="3">
        <v>5293659111.9925089</v>
      </c>
      <c r="E65" s="11">
        <v>1028900.0000000001</v>
      </c>
      <c r="F65" s="3">
        <v>216.07773779269124</v>
      </c>
      <c r="G65" s="8">
        <v>79353.415070000003</v>
      </c>
      <c r="H65" s="8">
        <v>523965.38530000002</v>
      </c>
      <c r="I65" s="3">
        <v>-6.5339999999999065E-2</v>
      </c>
      <c r="J65" s="3">
        <v>-0.1479600000000012</v>
      </c>
      <c r="K65" s="3">
        <v>-8.3490000000001174E-2</v>
      </c>
      <c r="L65" s="3">
        <v>2.6989999999999625E-2</v>
      </c>
      <c r="M65" s="3">
        <v>-0.23780299999999954</v>
      </c>
      <c r="N65" s="3">
        <v>-0.29268000000000072</v>
      </c>
      <c r="O65" s="3">
        <v>1.0900000000013677E-3</v>
      </c>
      <c r="P65" s="8"/>
    </row>
    <row r="66" spans="1:16" x14ac:dyDescent="0.25">
      <c r="A66" s="2" t="s">
        <v>104</v>
      </c>
      <c r="B66" s="23">
        <v>1378546952.2415795</v>
      </c>
      <c r="C66" s="3">
        <v>158664342.97361743</v>
      </c>
      <c r="D66" s="3">
        <v>5124174762.1770535</v>
      </c>
      <c r="E66" s="11">
        <v>945000</v>
      </c>
      <c r="F66" s="3">
        <v>192.68803293943918</v>
      </c>
      <c r="G66" s="8">
        <v>86599.284610000002</v>
      </c>
      <c r="H66" s="8">
        <v>528849.21470000001</v>
      </c>
      <c r="I66" s="3">
        <v>1.8950000000000244E-2</v>
      </c>
      <c r="J66" s="3">
        <v>-2.74999999999892E-3</v>
      </c>
      <c r="K66" s="3">
        <v>-8.2209999999999894E-2</v>
      </c>
      <c r="L66" s="3">
        <v>-8.4089999999999776E-2</v>
      </c>
      <c r="M66" s="3">
        <v>-5.6445000000000078E-2</v>
      </c>
      <c r="N66" s="3">
        <v>8.244999999999969E-2</v>
      </c>
      <c r="O66" s="3">
        <v>5.2059999999999107E-2</v>
      </c>
      <c r="P66" s="8"/>
    </row>
    <row r="67" spans="1:16" x14ac:dyDescent="0.25">
      <c r="A67" s="2" t="s">
        <v>105</v>
      </c>
      <c r="B67" s="23">
        <v>1658429421.3414204</v>
      </c>
      <c r="C67" s="3">
        <v>215920441.8911629</v>
      </c>
      <c r="D67" s="3">
        <v>4997518289.202898</v>
      </c>
      <c r="E67" s="12">
        <v>1052800</v>
      </c>
      <c r="F67" s="3">
        <v>199.68082404231401</v>
      </c>
      <c r="G67" s="8">
        <v>73901.678050000002</v>
      </c>
      <c r="H67" s="8">
        <v>344236.21850000002</v>
      </c>
      <c r="I67" s="3">
        <v>2.1900000000002251E-2</v>
      </c>
      <c r="J67" s="3">
        <v>-6.7280000000000229E-2</v>
      </c>
      <c r="K67" s="3">
        <v>-8.1859999999998934E-2</v>
      </c>
      <c r="L67" s="3">
        <v>-3.5000000000000142E-2</v>
      </c>
      <c r="M67" s="3">
        <v>-7.3860000000003367E-3</v>
      </c>
      <c r="N67" s="3">
        <v>-4.7800000000002285E-3</v>
      </c>
      <c r="O67" s="3">
        <v>1.3259999999998939E-2</v>
      </c>
      <c r="P67" s="8"/>
    </row>
    <row r="68" spans="1:16" x14ac:dyDescent="0.25">
      <c r="A68" s="2" t="s">
        <v>106</v>
      </c>
      <c r="B68" s="23">
        <v>2060293345.7490041</v>
      </c>
      <c r="C68" s="3">
        <v>309331096.82197297</v>
      </c>
      <c r="D68" s="3">
        <v>4933241032.8359365</v>
      </c>
      <c r="E68" s="11">
        <v>990400</v>
      </c>
      <c r="F68" s="3">
        <v>204.54283284045164</v>
      </c>
      <c r="G68" s="8">
        <v>107441.27492999999</v>
      </c>
      <c r="H68" s="8">
        <v>470247.74230000004</v>
      </c>
      <c r="I68" s="3">
        <v>2.9099999999999682E-2</v>
      </c>
      <c r="J68" s="3">
        <v>-3.4099999999998687E-2</v>
      </c>
      <c r="K68" s="3">
        <v>-8.0289999999997974E-2</v>
      </c>
      <c r="L68" s="3">
        <v>-0.11031000000000013</v>
      </c>
      <c r="M68" s="3">
        <v>7.2419999999997486E-3</v>
      </c>
      <c r="N68" s="3">
        <v>0.10262999999999955</v>
      </c>
      <c r="O68" s="3">
        <v>0.11840999999999902</v>
      </c>
      <c r="P68" s="8"/>
    </row>
    <row r="69" spans="1:16" x14ac:dyDescent="0.25">
      <c r="A69" s="2" t="s">
        <v>107</v>
      </c>
      <c r="B69" s="23">
        <v>2256771456.5746508</v>
      </c>
      <c r="C69" s="3">
        <v>476520529.96743381</v>
      </c>
      <c r="D69" s="3">
        <v>4972491299.1745996</v>
      </c>
      <c r="E69" s="11">
        <v>929200</v>
      </c>
      <c r="F69" s="3">
        <v>219.05173946163617</v>
      </c>
      <c r="G69" s="8">
        <v>125232.40094000001</v>
      </c>
      <c r="H69" s="8">
        <v>523631.64789999998</v>
      </c>
      <c r="I69" s="3">
        <v>2.8789999999997207E-2</v>
      </c>
      <c r="J69" s="3">
        <v>-2.4290000000000589E-2</v>
      </c>
      <c r="K69" s="3">
        <v>-7.745999999999853E-2</v>
      </c>
      <c r="L69" s="3">
        <v>-0.10191999999999979</v>
      </c>
      <c r="M69" s="3">
        <v>1.3669999999999405E-2</v>
      </c>
      <c r="N69" s="3">
        <v>0.45626000000000033</v>
      </c>
      <c r="O69" s="3">
        <v>-6.4000000000064006E-4</v>
      </c>
      <c r="P69" s="8"/>
    </row>
    <row r="70" spans="1:16" x14ac:dyDescent="0.25">
      <c r="A70" s="2" t="s">
        <v>108</v>
      </c>
      <c r="B70" s="23">
        <v>1320785475.590975</v>
      </c>
      <c r="C70" s="3">
        <v>138007607.64544237</v>
      </c>
      <c r="D70" s="3">
        <v>4806671298.8031349</v>
      </c>
      <c r="E70" s="11">
        <v>946500</v>
      </c>
      <c r="F70" s="3">
        <v>197.98617749826346</v>
      </c>
      <c r="G70" s="8">
        <v>119294.0548</v>
      </c>
      <c r="H70" s="8">
        <v>627901.12070000009</v>
      </c>
      <c r="I70" s="3">
        <v>-4.2809999999999349E-2</v>
      </c>
      <c r="J70" s="3">
        <v>-0.13948000000000249</v>
      </c>
      <c r="K70" s="3">
        <v>-7.8460000000003305E-2</v>
      </c>
      <c r="L70" s="3">
        <v>1.589999999998426E-3</v>
      </c>
      <c r="M70" s="3">
        <v>2.7124000000000592E-2</v>
      </c>
      <c r="N70" s="3">
        <v>0.32029999999999959</v>
      </c>
      <c r="O70" s="3">
        <v>0.17168000000000028</v>
      </c>
      <c r="P70" s="8"/>
    </row>
    <row r="71" spans="1:16" x14ac:dyDescent="0.25">
      <c r="A71" s="2" t="s">
        <v>109</v>
      </c>
      <c r="B71" s="23">
        <v>1370687235.8231177</v>
      </c>
      <c r="C71" s="3">
        <v>159181278.70518181</v>
      </c>
      <c r="D71" s="3">
        <v>4661846501.0860872</v>
      </c>
      <c r="E71" s="12">
        <v>1027099.9999999999</v>
      </c>
      <c r="F71" s="3">
        <v>196.99626153463763</v>
      </c>
      <c r="G71" s="8">
        <v>126882.63688999999</v>
      </c>
      <c r="H71" s="8">
        <v>294459.58425999997</v>
      </c>
      <c r="I71" s="32">
        <v>-0.19056000000000139</v>
      </c>
      <c r="J71" s="32">
        <v>-0.30487000000000108</v>
      </c>
      <c r="K71" s="32">
        <v>-8.3159999999999457E-2</v>
      </c>
      <c r="L71" s="32">
        <v>-2.4710000000000676E-2</v>
      </c>
      <c r="M71" s="32">
        <v>-1.3535000000000075E-2</v>
      </c>
      <c r="N71" s="32">
        <v>0.5405300000000004</v>
      </c>
      <c r="O71" s="32">
        <v>-0.1561799999999991</v>
      </c>
      <c r="P71" s="8"/>
    </row>
    <row r="72" spans="1:16" x14ac:dyDescent="0.25">
      <c r="A72" s="5" t="s">
        <v>6</v>
      </c>
      <c r="B72" s="20" t="s">
        <v>29</v>
      </c>
      <c r="C72" s="20" t="s">
        <v>29</v>
      </c>
      <c r="D72" s="20" t="s">
        <v>29</v>
      </c>
      <c r="E72" s="1" t="s">
        <v>7</v>
      </c>
      <c r="F72" s="1" t="s">
        <v>29</v>
      </c>
      <c r="G72" s="1" t="s">
        <v>136</v>
      </c>
      <c r="H72" s="1" t="s">
        <v>137</v>
      </c>
      <c r="I72" s="1"/>
      <c r="J72" s="1"/>
      <c r="K72" s="1"/>
      <c r="L72" s="1"/>
      <c r="M72" s="1"/>
      <c r="N72" s="1"/>
      <c r="O72" s="1"/>
    </row>
    <row r="73" spans="1:16" x14ac:dyDescent="0.25">
      <c r="A73" s="5" t="s">
        <v>27</v>
      </c>
      <c r="B73" s="21" t="s">
        <v>24</v>
      </c>
      <c r="C73" s="1" t="s">
        <v>31</v>
      </c>
      <c r="D73" s="1" t="s">
        <v>37</v>
      </c>
      <c r="E73" s="1"/>
      <c r="F73" s="1" t="s">
        <v>24</v>
      </c>
      <c r="G73" s="1" t="s">
        <v>135</v>
      </c>
      <c r="H73" s="1" t="s">
        <v>135</v>
      </c>
      <c r="I73" s="1" t="s">
        <v>138</v>
      </c>
      <c r="J73" s="1" t="s">
        <v>139</v>
      </c>
      <c r="K73" s="1" t="s">
        <v>140</v>
      </c>
      <c r="L73" s="1" t="s">
        <v>141</v>
      </c>
      <c r="M73" s="1" t="s">
        <v>142</v>
      </c>
      <c r="N73" s="1" t="s">
        <v>143</v>
      </c>
      <c r="O73" s="1" t="s">
        <v>144</v>
      </c>
    </row>
    <row r="74" spans="1:16" x14ac:dyDescent="0.25">
      <c r="A74" s="3"/>
      <c r="C74" s="3"/>
    </row>
    <row r="75" spans="1:16" x14ac:dyDescent="0.25">
      <c r="A75" s="3"/>
      <c r="C75" s="3"/>
    </row>
    <row r="76" spans="1:16" x14ac:dyDescent="0.25">
      <c r="A76" s="3"/>
      <c r="C76" s="3"/>
    </row>
    <row r="77" spans="1:16" x14ac:dyDescent="0.25">
      <c r="A77" s="3"/>
      <c r="C77" s="3"/>
    </row>
    <row r="78" spans="1:16" x14ac:dyDescent="0.25">
      <c r="A78" s="3"/>
      <c r="C78" s="3"/>
    </row>
    <row r="79" spans="1:16" x14ac:dyDescent="0.25">
      <c r="A79" s="3"/>
      <c r="C79" s="3"/>
    </row>
    <row r="80" spans="1:16" x14ac:dyDescent="0.25">
      <c r="A80" s="3"/>
      <c r="C80" s="3"/>
    </row>
    <row r="81" spans="1:3" x14ac:dyDescent="0.25">
      <c r="A81" s="3"/>
      <c r="C81" s="3"/>
    </row>
    <row r="82" spans="1:3" x14ac:dyDescent="0.25">
      <c r="A82" s="3"/>
      <c r="C82" s="3"/>
    </row>
    <row r="83" spans="1:3" x14ac:dyDescent="0.25">
      <c r="A83" s="3"/>
      <c r="C83" s="3"/>
    </row>
    <row r="84" spans="1:3" x14ac:dyDescent="0.25">
      <c r="A84" s="3"/>
      <c r="C84" s="3"/>
    </row>
    <row r="85" spans="1:3" x14ac:dyDescent="0.25">
      <c r="A85" s="3"/>
      <c r="C85" s="3"/>
    </row>
    <row r="86" spans="1:3" x14ac:dyDescent="0.25">
      <c r="A86" s="3"/>
      <c r="C86" s="3"/>
    </row>
    <row r="87" spans="1:3" x14ac:dyDescent="0.25">
      <c r="A87" s="3"/>
      <c r="C87" s="3"/>
    </row>
    <row r="88" spans="1:3" x14ac:dyDescent="0.25">
      <c r="A88" s="3"/>
      <c r="C88" s="3"/>
    </row>
    <row r="89" spans="1:3" x14ac:dyDescent="0.25">
      <c r="A89" s="3"/>
      <c r="C89" s="3"/>
    </row>
    <row r="90" spans="1:3" x14ac:dyDescent="0.25">
      <c r="A90" s="3"/>
      <c r="C90" s="3"/>
    </row>
    <row r="91" spans="1:3" x14ac:dyDescent="0.25">
      <c r="A91" s="3"/>
      <c r="C91" s="3"/>
    </row>
    <row r="92" spans="1:3" x14ac:dyDescent="0.25">
      <c r="A92" s="3"/>
      <c r="C92" s="3"/>
    </row>
    <row r="93" spans="1:3" x14ac:dyDescent="0.25">
      <c r="A93" s="3"/>
      <c r="C93" s="3"/>
    </row>
    <row r="94" spans="1:3" x14ac:dyDescent="0.25">
      <c r="A94" s="3"/>
      <c r="C94" s="3"/>
    </row>
    <row r="95" spans="1:3" x14ac:dyDescent="0.25">
      <c r="A95" s="3"/>
      <c r="C95" s="3"/>
    </row>
    <row r="96" spans="1:3" x14ac:dyDescent="0.25">
      <c r="A96" s="3"/>
      <c r="C96" s="3"/>
    </row>
    <row r="97" spans="1:3" x14ac:dyDescent="0.25">
      <c r="A97" s="3"/>
      <c r="C97" s="3"/>
    </row>
    <row r="98" spans="1:3" x14ac:dyDescent="0.25">
      <c r="A98" s="3"/>
      <c r="C98" s="3"/>
    </row>
    <row r="99" spans="1:3" x14ac:dyDescent="0.25">
      <c r="A99" s="3"/>
      <c r="C99" s="3"/>
    </row>
    <row r="100" spans="1:3" x14ac:dyDescent="0.25">
      <c r="A100" s="3"/>
      <c r="C100" s="3"/>
    </row>
    <row r="101" spans="1:3" x14ac:dyDescent="0.25">
      <c r="A101" s="3"/>
      <c r="C101" s="3"/>
    </row>
    <row r="102" spans="1:3" x14ac:dyDescent="0.25">
      <c r="A102" s="3"/>
      <c r="C102" s="3"/>
    </row>
    <row r="103" spans="1:3" x14ac:dyDescent="0.25">
      <c r="A103" s="3"/>
      <c r="C103" s="3"/>
    </row>
    <row r="104" spans="1:3" x14ac:dyDescent="0.25">
      <c r="A104" s="3"/>
      <c r="C104" s="3"/>
    </row>
    <row r="105" spans="1:3" x14ac:dyDescent="0.25">
      <c r="A105" s="3"/>
      <c r="C105" s="3"/>
    </row>
    <row r="106" spans="1:3" x14ac:dyDescent="0.25">
      <c r="A106" s="3"/>
      <c r="C106" s="3"/>
    </row>
    <row r="107" spans="1:3" x14ac:dyDescent="0.25">
      <c r="A107" s="3"/>
      <c r="C107" s="3"/>
    </row>
    <row r="108" spans="1:3" x14ac:dyDescent="0.25">
      <c r="A108" s="3"/>
      <c r="C108" s="3"/>
    </row>
    <row r="109" spans="1:3" x14ac:dyDescent="0.25">
      <c r="A109" s="3"/>
      <c r="C109" s="3"/>
    </row>
    <row r="110" spans="1:3" x14ac:dyDescent="0.25">
      <c r="A110" s="3"/>
      <c r="C110" s="3"/>
    </row>
    <row r="111" spans="1:3" x14ac:dyDescent="0.25">
      <c r="A111" s="3"/>
      <c r="C111" s="3"/>
    </row>
    <row r="112" spans="1:3" x14ac:dyDescent="0.25">
      <c r="A112" s="3"/>
      <c r="C112" s="3"/>
    </row>
    <row r="113" spans="1:3" x14ac:dyDescent="0.25">
      <c r="A113" s="3"/>
      <c r="C113" s="3"/>
    </row>
    <row r="114" spans="1:3" x14ac:dyDescent="0.25">
      <c r="A114" s="3"/>
      <c r="C114" s="3"/>
    </row>
    <row r="115" spans="1:3" x14ac:dyDescent="0.25">
      <c r="A115" s="3"/>
      <c r="C115" s="3"/>
    </row>
    <row r="116" spans="1:3" x14ac:dyDescent="0.25">
      <c r="A116" s="3"/>
      <c r="C116" s="3"/>
    </row>
    <row r="117" spans="1:3" x14ac:dyDescent="0.25">
      <c r="A117" s="3"/>
      <c r="C117" s="3"/>
    </row>
    <row r="118" spans="1:3" x14ac:dyDescent="0.25">
      <c r="A118" s="3"/>
      <c r="C118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3DEA-3661-4BDD-9B58-ABF35B63A59D}">
  <dimension ref="A1:AE73"/>
  <sheetViews>
    <sheetView tabSelected="1" zoomScale="120" zoomScaleNormal="120" workbookViewId="0">
      <selection activeCell="G7" sqref="G7"/>
    </sheetView>
  </sheetViews>
  <sheetFormatPr defaultRowHeight="15" x14ac:dyDescent="0.25"/>
  <cols>
    <col min="1" max="1" width="9.140625" style="8"/>
    <col min="2" max="2" width="17.28515625" bestFit="1" customWidth="1"/>
    <col min="3" max="3" width="12.140625" customWidth="1"/>
    <col min="4" max="4" width="21.7109375" customWidth="1"/>
    <col min="5" max="5" width="16.42578125" customWidth="1"/>
    <col min="6" max="6" width="19.85546875" customWidth="1"/>
    <col min="7" max="7" width="9.85546875" customWidth="1"/>
    <col min="8" max="8" width="12.42578125" style="8" customWidth="1"/>
    <col min="9" max="9" width="19.42578125" customWidth="1"/>
    <col min="10" max="10" width="20.28515625" bestFit="1" customWidth="1"/>
    <col min="11" max="11" width="11.5703125" bestFit="1" customWidth="1"/>
    <col min="12" max="12" width="24" bestFit="1" customWidth="1"/>
    <col min="13" max="13" width="19" customWidth="1"/>
    <col min="14" max="14" width="18.140625" bestFit="1" customWidth="1"/>
    <col min="15" max="15" width="17" customWidth="1"/>
    <col min="16" max="16" width="16.140625" customWidth="1"/>
    <col min="17" max="30" width="9.140625" style="8"/>
    <col min="31" max="31" width="18.140625" bestFit="1" customWidth="1"/>
  </cols>
  <sheetData>
    <row r="1" spans="1:31" x14ac:dyDescent="0.25">
      <c r="A1" s="2" t="s">
        <v>3</v>
      </c>
      <c r="B1" s="2" t="s">
        <v>14</v>
      </c>
      <c r="C1" s="2" t="s">
        <v>26</v>
      </c>
      <c r="D1" s="17" t="s">
        <v>38</v>
      </c>
      <c r="E1" s="2" t="s">
        <v>28</v>
      </c>
      <c r="F1" s="2" t="s">
        <v>35</v>
      </c>
      <c r="G1" s="2" t="s">
        <v>114</v>
      </c>
      <c r="H1" s="2" t="s">
        <v>115</v>
      </c>
      <c r="I1" s="2" t="s">
        <v>34</v>
      </c>
      <c r="J1" s="2" t="s">
        <v>20</v>
      </c>
      <c r="K1" s="2" t="s">
        <v>22</v>
      </c>
      <c r="L1" s="2" t="s">
        <v>33</v>
      </c>
      <c r="M1" s="5" t="s">
        <v>110</v>
      </c>
      <c r="N1" s="2" t="s">
        <v>113</v>
      </c>
      <c r="O1" s="2" t="s">
        <v>127</v>
      </c>
      <c r="P1" s="2" t="s">
        <v>128</v>
      </c>
      <c r="Q1" s="5" t="s">
        <v>121</v>
      </c>
      <c r="R1" s="5" t="s">
        <v>122</v>
      </c>
      <c r="S1" s="5" t="s">
        <v>123</v>
      </c>
      <c r="T1" s="5" t="s">
        <v>124</v>
      </c>
      <c r="U1" s="5" t="s">
        <v>125</v>
      </c>
      <c r="V1" s="5" t="s">
        <v>132</v>
      </c>
      <c r="W1" s="5" t="s">
        <v>133</v>
      </c>
      <c r="X1" s="2" t="s">
        <v>116</v>
      </c>
      <c r="Y1" s="2" t="s">
        <v>117</v>
      </c>
      <c r="Z1" s="2" t="s">
        <v>118</v>
      </c>
      <c r="AA1" s="2" t="s">
        <v>119</v>
      </c>
      <c r="AB1" s="2" t="s">
        <v>120</v>
      </c>
      <c r="AC1" s="2" t="s">
        <v>130</v>
      </c>
      <c r="AD1" s="2" t="s">
        <v>131</v>
      </c>
    </row>
    <row r="2" spans="1:31" x14ac:dyDescent="0.25">
      <c r="A2" s="2" t="s">
        <v>40</v>
      </c>
      <c r="B2" s="8">
        <v>408994028.25999999</v>
      </c>
      <c r="C2" s="10">
        <v>1.8</v>
      </c>
      <c r="D2" s="23">
        <f>B2*(1+(C3/100))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752419060.20218301</v>
      </c>
      <c r="E2" s="3">
        <v>43949570.609999999</v>
      </c>
      <c r="F2" s="23">
        <f>E2*(1+(C3/100))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80853245.597130865</v>
      </c>
      <c r="G2" s="3"/>
      <c r="H2" s="3">
        <f>AVERAGE(G6:G71)</f>
        <v>2.6436371226264882E-2</v>
      </c>
      <c r="I2" s="3">
        <f>((1+H2)/(H2+0.05))*F2*0.6</f>
        <v>651449387.36234438</v>
      </c>
      <c r="J2" s="13">
        <v>1221500</v>
      </c>
      <c r="K2" s="13">
        <v>10.4</v>
      </c>
      <c r="L2" s="13">
        <f>J2*(1-(K2/100))</f>
        <v>1094464</v>
      </c>
      <c r="M2" s="3">
        <v>48</v>
      </c>
      <c r="N2" s="23">
        <f>M2*(1+(C3/100))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88.304748710769758</v>
      </c>
      <c r="O2" s="25">
        <v>72096.70094389985</v>
      </c>
      <c r="P2" s="25">
        <v>279050.13526277361</v>
      </c>
      <c r="Q2" s="3">
        <v>20.438800000000001</v>
      </c>
      <c r="R2" s="3">
        <v>18.20815</v>
      </c>
      <c r="S2" s="3">
        <v>19.519690000000001</v>
      </c>
      <c r="T2" s="3">
        <v>13.90578</v>
      </c>
      <c r="U2" s="3">
        <v>4.4807940000000004</v>
      </c>
      <c r="V2" s="30">
        <v>11.18576</v>
      </c>
      <c r="W2" s="30">
        <v>12.539149999999999</v>
      </c>
      <c r="X2" s="27"/>
      <c r="Y2" s="27"/>
      <c r="Z2" s="27"/>
      <c r="AA2" s="27"/>
      <c r="AB2" s="27"/>
      <c r="AC2" s="27"/>
      <c r="AD2" s="27"/>
      <c r="AE2" s="26" t="s">
        <v>129</v>
      </c>
    </row>
    <row r="3" spans="1:31" x14ac:dyDescent="0.25">
      <c r="A3" s="2" t="s">
        <v>41</v>
      </c>
      <c r="B3" s="8">
        <v>556303717.91000009</v>
      </c>
      <c r="C3" s="10">
        <v>1.2</v>
      </c>
      <c r="D3" s="23">
        <f>B3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1030501090.1933217</v>
      </c>
      <c r="E3" s="3">
        <v>139520255.25999999</v>
      </c>
      <c r="F3" s="23">
        <f>E3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258448344.88907874</v>
      </c>
      <c r="G3" s="3"/>
      <c r="H3" s="3" t="s">
        <v>39</v>
      </c>
      <c r="I3" s="3">
        <f>((1-0.05)*I2)+(F3*0.6)</f>
        <v>773945924.92767441</v>
      </c>
      <c r="J3" s="13">
        <f>((2*1239500)-J2)</f>
        <v>1257500</v>
      </c>
      <c r="K3" s="13">
        <f>((2*10.3)-K2)</f>
        <v>10.200000000000001</v>
      </c>
      <c r="L3" s="13">
        <f>(J3*(1-(K3/100)))</f>
        <v>1129235</v>
      </c>
      <c r="M3" s="3">
        <v>52.666666666666664</v>
      </c>
      <c r="N3" s="23">
        <f>M3*(1+(C4/100))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97.560119894127055</v>
      </c>
      <c r="O3" s="25">
        <v>79108.348565576904</v>
      </c>
      <c r="P3" s="25">
        <v>145458.24873371344</v>
      </c>
      <c r="Q3" s="3">
        <v>20.753309999999999</v>
      </c>
      <c r="R3" s="3">
        <v>19.37021</v>
      </c>
      <c r="S3" s="3">
        <v>19.902699999999999</v>
      </c>
      <c r="T3" s="3">
        <v>13.937049999999999</v>
      </c>
      <c r="U3" s="3">
        <v>4.5804689999999999</v>
      </c>
      <c r="V3" s="30">
        <v>11.27857</v>
      </c>
      <c r="W3" s="30">
        <v>11.887639999999999</v>
      </c>
      <c r="X3" s="27"/>
      <c r="Y3" s="27"/>
      <c r="Z3" s="27"/>
      <c r="AA3" s="27"/>
      <c r="AB3" s="27"/>
      <c r="AC3" s="27"/>
      <c r="AD3" s="27"/>
    </row>
    <row r="4" spans="1:31" x14ac:dyDescent="0.25">
      <c r="A4" s="2" t="s">
        <v>42</v>
      </c>
      <c r="B4" s="8">
        <v>887621710.55999994</v>
      </c>
      <c r="C4" s="10">
        <v>2.2000000000000002</v>
      </c>
      <c r="D4" s="23">
        <f>B4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1628148547.193975</v>
      </c>
      <c r="E4" s="3">
        <v>235454706.25999999</v>
      </c>
      <c r="F4" s="23">
        <f>E4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431890335.0001936</v>
      </c>
      <c r="G4" s="3"/>
      <c r="H4" s="3"/>
      <c r="I4" s="3">
        <f t="shared" ref="I4:I67" si="0">((1-0.05)*I3)+(F4*0.6)</f>
        <v>994382829.68140674</v>
      </c>
      <c r="J4" s="13">
        <f>((3*1242200)-J2-J3)</f>
        <v>1247600</v>
      </c>
      <c r="K4" s="13">
        <f>((3*10.2)-K2-K3)</f>
        <v>9.9999999999999947</v>
      </c>
      <c r="L4" s="13">
        <f>(J4*(1-(K4/100)))</f>
        <v>1122840</v>
      </c>
      <c r="M4" s="3">
        <v>58</v>
      </c>
      <c r="N4" s="23">
        <f>M4*(1+(C5/100))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106.38835735290101</v>
      </c>
      <c r="O4" s="25">
        <v>96684.837600569328</v>
      </c>
      <c r="P4" s="25">
        <v>168539.26472496203</v>
      </c>
      <c r="Q4" s="3">
        <v>21.210709999999999</v>
      </c>
      <c r="R4" s="3">
        <v>19.883679999999998</v>
      </c>
      <c r="S4" s="3">
        <v>20.333639999999999</v>
      </c>
      <c r="T4" s="3">
        <v>13.931369999999999</v>
      </c>
      <c r="U4" s="3">
        <v>4.6670959999999999</v>
      </c>
      <c r="V4" s="30">
        <v>11.47921</v>
      </c>
      <c r="W4" s="30">
        <v>12.03492</v>
      </c>
      <c r="X4" s="27"/>
      <c r="Y4" s="27"/>
      <c r="Z4" s="27"/>
      <c r="AA4" s="27"/>
      <c r="AB4" s="27"/>
      <c r="AC4" s="27"/>
      <c r="AD4" s="27"/>
    </row>
    <row r="5" spans="1:31" x14ac:dyDescent="0.25">
      <c r="A5" s="2" t="s">
        <v>43</v>
      </c>
      <c r="B5" s="8">
        <v>966764746.81000006</v>
      </c>
      <c r="C5" s="10">
        <v>2.4</v>
      </c>
      <c r="D5" s="23">
        <f>B5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1771587438.8315737</v>
      </c>
      <c r="E5" s="3">
        <v>230291603.54000002</v>
      </c>
      <c r="F5" s="23">
        <f>E5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422007229.2106719</v>
      </c>
      <c r="G5" s="3"/>
      <c r="H5" s="3"/>
      <c r="I5" s="3">
        <f t="shared" si="0"/>
        <v>1197868025.7237394</v>
      </c>
      <c r="J5" s="13">
        <f>((4*1236400)-J2-J3-J4)</f>
        <v>1219000</v>
      </c>
      <c r="K5" s="13">
        <f>((4*10.1)-K2-K3-K4)</f>
        <v>9.8000000000000025</v>
      </c>
      <c r="L5" s="13">
        <f>(J5*(1-(K5/100)))</f>
        <v>1099538</v>
      </c>
      <c r="M5" s="3">
        <v>64.333333333333329</v>
      </c>
      <c r="N5" s="23">
        <f>M5*(1+(C6/100))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117.8902371104943</v>
      </c>
      <c r="O5" s="25">
        <v>93236.712889953895</v>
      </c>
      <c r="P5" s="25">
        <v>273025.45127855102</v>
      </c>
      <c r="Q5" s="3">
        <v>21.29514</v>
      </c>
      <c r="R5" s="3">
        <v>19.860530000000001</v>
      </c>
      <c r="S5" s="3">
        <v>20.614170000000001</v>
      </c>
      <c r="T5" s="3">
        <v>13.910399999999999</v>
      </c>
      <c r="U5" s="3">
        <v>4.7697539999999998</v>
      </c>
      <c r="V5" s="30">
        <v>11.4429</v>
      </c>
      <c r="W5" s="30">
        <v>12.51732</v>
      </c>
      <c r="X5" s="27"/>
      <c r="Y5" s="27"/>
      <c r="Z5" s="27"/>
      <c r="AA5" s="27"/>
      <c r="AB5" s="27"/>
      <c r="AC5" s="27"/>
      <c r="AD5" s="27"/>
    </row>
    <row r="6" spans="1:31" x14ac:dyDescent="0.25">
      <c r="A6" s="2" t="s">
        <v>44</v>
      </c>
      <c r="B6" s="8">
        <v>485874788.19999999</v>
      </c>
      <c r="C6" s="10">
        <v>3</v>
      </c>
      <c r="D6" s="23">
        <f>B6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819404974.73931587</v>
      </c>
      <c r="E6" s="3">
        <v>53811244.979999997</v>
      </c>
      <c r="F6" s="23">
        <f>E6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90750133.376704454</v>
      </c>
      <c r="G6" s="3">
        <f>(F6/F2)-1</f>
        <v>0.12240557205194968</v>
      </c>
      <c r="H6" s="3"/>
      <c r="I6" s="3">
        <f t="shared" si="0"/>
        <v>1192424704.4635751</v>
      </c>
      <c r="J6" s="13">
        <v>1179600</v>
      </c>
      <c r="K6" s="13">
        <v>10</v>
      </c>
      <c r="L6" s="13">
        <f t="shared" ref="L6:L21" si="1">J6*(1-(K6/100))</f>
        <v>1061640</v>
      </c>
      <c r="M6" s="3">
        <v>68</v>
      </c>
      <c r="N6" s="23">
        <f>M6*(1+(C7/100))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114.67880127860782</v>
      </c>
      <c r="O6" s="25">
        <v>76005.914206685105</v>
      </c>
      <c r="P6" s="25">
        <v>311417.7987754732</v>
      </c>
      <c r="Q6" s="3">
        <v>20.524090000000001</v>
      </c>
      <c r="R6" s="3">
        <v>18.323619999999998</v>
      </c>
      <c r="S6" s="3">
        <v>20.624839999999999</v>
      </c>
      <c r="T6" s="3">
        <v>13.87533</v>
      </c>
      <c r="U6" s="3">
        <v>4.7421350000000002</v>
      </c>
      <c r="V6" s="30">
        <v>11.238569999999999</v>
      </c>
      <c r="W6" s="30">
        <v>12.64889</v>
      </c>
      <c r="X6" s="27">
        <f t="shared" ref="X6:X37" si="2" xml:space="preserve"> (Q6-Q2)</f>
        <v>8.5290000000000532E-2</v>
      </c>
      <c r="Y6" s="27">
        <f t="shared" ref="Y6:Y37" si="3" xml:space="preserve"> (R6-R2)</f>
        <v>0.11546999999999841</v>
      </c>
      <c r="Z6" s="27">
        <f t="shared" ref="Z6:Z37" si="4" xml:space="preserve"> (S6-S2)</f>
        <v>1.1051499999999983</v>
      </c>
      <c r="AA6" s="27">
        <f t="shared" ref="AA6:AA37" si="5" xml:space="preserve"> (T6-T2)</f>
        <v>-3.0450000000000088E-2</v>
      </c>
      <c r="AB6" s="27">
        <f t="shared" ref="AB6:AB37" si="6" xml:space="preserve"> (U6-U2)</f>
        <v>0.26134099999999982</v>
      </c>
      <c r="AC6" s="27">
        <f t="shared" ref="AC6:AC37" si="7" xml:space="preserve"> (V6-V2)</f>
        <v>5.2809999999999135E-2</v>
      </c>
      <c r="AD6" s="27">
        <f t="shared" ref="AD6:AD37" si="8" xml:space="preserve"> (W6-W2)</f>
        <v>0.10974000000000039</v>
      </c>
    </row>
    <row r="7" spans="1:31" x14ac:dyDescent="0.25">
      <c r="A7" s="2" t="s">
        <v>45</v>
      </c>
      <c r="B7" s="8">
        <v>709818027.11000001</v>
      </c>
      <c r="C7" s="10">
        <v>3.3</v>
      </c>
      <c r="D7" s="23">
        <f>B7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1180851047.8324785</v>
      </c>
      <c r="E7" s="3">
        <v>176192285.98000002</v>
      </c>
      <c r="F7" s="23">
        <f>E7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293112935.39074951</v>
      </c>
      <c r="G7" s="3">
        <f>(F7/F3)-1</f>
        <v>0.1341257980063606</v>
      </c>
      <c r="H7" s="3"/>
      <c r="I7" s="3">
        <f t="shared" si="0"/>
        <v>1308671230.4748459</v>
      </c>
      <c r="J7" s="13">
        <f>((2*1199100)-J6)</f>
        <v>1218600</v>
      </c>
      <c r="K7" s="13">
        <f>((2*9.8)-K6)</f>
        <v>9.6000000000000014</v>
      </c>
      <c r="L7" s="13">
        <f t="shared" si="1"/>
        <v>1101614.4000000001</v>
      </c>
      <c r="M7" s="3">
        <v>75</v>
      </c>
      <c r="N7" s="23">
        <f>M7*(1+(C8/100))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124.76976521436137</v>
      </c>
      <c r="O7" s="25">
        <v>83397.746018731224</v>
      </c>
      <c r="P7" s="25">
        <v>162330.28373819706</v>
      </c>
      <c r="Q7" s="3">
        <v>20.889500000000002</v>
      </c>
      <c r="R7" s="3">
        <v>19.49607</v>
      </c>
      <c r="S7" s="3">
        <v>20.759419999999999</v>
      </c>
      <c r="T7" s="3">
        <v>13.91229</v>
      </c>
      <c r="U7" s="3">
        <v>4.8264699999999996</v>
      </c>
      <c r="V7" s="30">
        <v>11.331379999999999</v>
      </c>
      <c r="W7" s="30">
        <v>11.997389999999999</v>
      </c>
      <c r="X7" s="27">
        <f t="shared" si="2"/>
        <v>0.1361900000000027</v>
      </c>
      <c r="Y7" s="27">
        <f t="shared" si="3"/>
        <v>0.12585999999999942</v>
      </c>
      <c r="Z7" s="27">
        <f t="shared" si="4"/>
        <v>0.85671999999999926</v>
      </c>
      <c r="AA7" s="27">
        <f t="shared" si="5"/>
        <v>-2.4759999999998783E-2</v>
      </c>
      <c r="AB7" s="27">
        <f t="shared" si="6"/>
        <v>0.24600099999999969</v>
      </c>
      <c r="AC7" s="27">
        <f t="shared" si="7"/>
        <v>5.2809999999999135E-2</v>
      </c>
      <c r="AD7" s="27">
        <f t="shared" si="8"/>
        <v>0.10975000000000001</v>
      </c>
    </row>
    <row r="8" spans="1:31" x14ac:dyDescent="0.25">
      <c r="A8" s="2" t="s">
        <v>46</v>
      </c>
      <c r="B8" s="8">
        <v>1196053395.7</v>
      </c>
      <c r="C8" s="10">
        <v>2.6</v>
      </c>
      <c r="D8" s="23">
        <f>B8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1962600090.7305086</v>
      </c>
      <c r="E8" s="3">
        <v>330925791.33999997</v>
      </c>
      <c r="F8" s="23">
        <f>E8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543015044.68271565</v>
      </c>
      <c r="G8" s="3">
        <f>(F8/F4)-1</f>
        <v>0.25729844054619155</v>
      </c>
      <c r="H8" s="3"/>
      <c r="I8" s="3">
        <f t="shared" si="0"/>
        <v>1569046695.7607329</v>
      </c>
      <c r="J8" s="13">
        <f>((3*1205100)-J6-J7)</f>
        <v>1217100</v>
      </c>
      <c r="K8" s="13">
        <f>((3*9.7)-K7-K6)</f>
        <v>9.4999999999999964</v>
      </c>
      <c r="L8" s="13">
        <f t="shared" si="1"/>
        <v>1101475.5</v>
      </c>
      <c r="M8" s="3">
        <v>82</v>
      </c>
      <c r="N8" s="23">
        <f>M8*(1+(C9/100))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134.55353081934456</v>
      </c>
      <c r="O8" s="25">
        <v>101927.26401551008</v>
      </c>
      <c r="P8" s="25">
        <v>188088.51957179574</v>
      </c>
      <c r="Q8" s="3">
        <v>21.397539999999999</v>
      </c>
      <c r="R8" s="3">
        <v>20.112649999999999</v>
      </c>
      <c r="S8" s="3">
        <v>20.99389</v>
      </c>
      <c r="T8" s="3">
        <v>13.91216</v>
      </c>
      <c r="U8" s="3">
        <v>4.9019620000000002</v>
      </c>
      <c r="V8" s="30">
        <v>11.53201</v>
      </c>
      <c r="W8" s="30">
        <v>12.14467</v>
      </c>
      <c r="X8" s="27">
        <f t="shared" si="2"/>
        <v>0.1868300000000005</v>
      </c>
      <c r="Y8" s="27">
        <f t="shared" si="3"/>
        <v>0.22897000000000034</v>
      </c>
      <c r="Z8" s="27">
        <f t="shared" si="4"/>
        <v>0.66025000000000134</v>
      </c>
      <c r="AA8" s="27">
        <f t="shared" si="5"/>
        <v>-1.9209999999999283E-2</v>
      </c>
      <c r="AB8" s="27">
        <f t="shared" si="6"/>
        <v>0.23486600000000024</v>
      </c>
      <c r="AC8" s="27">
        <f t="shared" si="7"/>
        <v>5.2799999999999514E-2</v>
      </c>
      <c r="AD8" s="27">
        <f t="shared" si="8"/>
        <v>0.10975000000000001</v>
      </c>
    </row>
    <row r="9" spans="1:31" x14ac:dyDescent="0.25">
      <c r="A9" s="2" t="s">
        <v>47</v>
      </c>
      <c r="B9" s="8">
        <v>1246688238.9499998</v>
      </c>
      <c r="C9" s="10">
        <v>3.1</v>
      </c>
      <c r="D9" s="23">
        <f>B9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2029813221.6230009</v>
      </c>
      <c r="E9" s="3">
        <v>313071421.38999999</v>
      </c>
      <c r="F9" s="23">
        <f>E9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509731696.02124918</v>
      </c>
      <c r="G9" s="3">
        <f t="shared" ref="G9:G70" si="9">(F9/F5)-1</f>
        <v>0.20787432237750592</v>
      </c>
      <c r="H9" s="3"/>
      <c r="I9" s="3">
        <f t="shared" si="0"/>
        <v>1796433378.5854456</v>
      </c>
      <c r="J9" s="13">
        <f>((4*1196500)-J6-J7-J8)</f>
        <v>1170700</v>
      </c>
      <c r="K9" s="13">
        <f>((4*9.6)-K6-K7-K8)</f>
        <v>9.3000000000000007</v>
      </c>
      <c r="L9" s="13">
        <f t="shared" si="1"/>
        <v>1061824.9000000001</v>
      </c>
      <c r="M9" s="3">
        <v>93.333333333333329</v>
      </c>
      <c r="N9" s="23">
        <f>M9*(1+(C10/100))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151.96199667184379</v>
      </c>
      <c r="O9" s="25">
        <v>98292.175759073536</v>
      </c>
      <c r="P9" s="25">
        <v>304694.29791453411</v>
      </c>
      <c r="Q9" s="3">
        <v>21.43121</v>
      </c>
      <c r="R9" s="3">
        <v>20.049389999999999</v>
      </c>
      <c r="S9" s="3">
        <v>21.162220000000001</v>
      </c>
      <c r="T9" s="3">
        <v>13.875500000000001</v>
      </c>
      <c r="U9" s="3">
        <v>5.023631</v>
      </c>
      <c r="V9" s="30">
        <v>11.495699999999999</v>
      </c>
      <c r="W9" s="30">
        <v>12.62706</v>
      </c>
      <c r="X9" s="27">
        <f t="shared" si="2"/>
        <v>0.13607000000000014</v>
      </c>
      <c r="Y9" s="27">
        <f t="shared" si="3"/>
        <v>0.18885999999999825</v>
      </c>
      <c r="Z9" s="27">
        <f t="shared" si="4"/>
        <v>0.54804999999999993</v>
      </c>
      <c r="AA9" s="27">
        <f t="shared" si="5"/>
        <v>-3.4899999999998599E-2</v>
      </c>
      <c r="AB9" s="27">
        <f t="shared" si="6"/>
        <v>0.25387700000000013</v>
      </c>
      <c r="AC9" s="27">
        <f t="shared" si="7"/>
        <v>5.2799999999999514E-2</v>
      </c>
      <c r="AD9" s="27">
        <f t="shared" si="8"/>
        <v>0.10974000000000039</v>
      </c>
    </row>
    <row r="10" spans="1:31" x14ac:dyDescent="0.25">
      <c r="A10" s="2" t="s">
        <v>48</v>
      </c>
      <c r="B10" s="8">
        <v>669149286.60000002</v>
      </c>
      <c r="C10" s="10">
        <v>3.2</v>
      </c>
      <c r="D10" s="23">
        <f>B10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1000716835.9891734</v>
      </c>
      <c r="E10" s="3">
        <v>82175363.649999991</v>
      </c>
      <c r="F10" s="23">
        <f>E10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122893757.12544881</v>
      </c>
      <c r="G10" s="3">
        <f t="shared" si="9"/>
        <v>0.3541991901578363</v>
      </c>
      <c r="H10" s="3"/>
      <c r="I10" s="3">
        <f>((1-0.05)*I9)+(F10*0.6)</f>
        <v>1780347963.9314425</v>
      </c>
      <c r="J10" s="13">
        <v>1182300</v>
      </c>
      <c r="K10" s="13">
        <v>9</v>
      </c>
      <c r="L10" s="13">
        <f t="shared" si="1"/>
        <v>1075893</v>
      </c>
      <c r="M10" s="3">
        <v>99.333333333333329</v>
      </c>
      <c r="N10" s="23">
        <f>M10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</f>
        <v>148.55360534967235</v>
      </c>
      <c r="O10" s="25">
        <v>75978.527205197359</v>
      </c>
      <c r="P10" s="25">
        <v>386484.06439059373</v>
      </c>
      <c r="Q10" s="3">
        <v>20.723980000000001</v>
      </c>
      <c r="R10" s="3">
        <v>18.626830000000002</v>
      </c>
      <c r="S10" s="3">
        <v>21.159759999999999</v>
      </c>
      <c r="T10" s="3">
        <v>13.88866</v>
      </c>
      <c r="U10" s="3">
        <v>5.0009459999999999</v>
      </c>
      <c r="V10" s="30">
        <v>11.23821</v>
      </c>
      <c r="W10" s="30">
        <v>12.864850000000001</v>
      </c>
      <c r="X10" s="27">
        <f t="shared" si="2"/>
        <v>0.1998899999999999</v>
      </c>
      <c r="Y10" s="27">
        <f t="shared" si="3"/>
        <v>0.30321000000000353</v>
      </c>
      <c r="Z10" s="27">
        <f t="shared" si="4"/>
        <v>0.53491999999999962</v>
      </c>
      <c r="AA10" s="27">
        <f t="shared" si="5"/>
        <v>1.3329999999999842E-2</v>
      </c>
      <c r="AB10" s="27">
        <f t="shared" si="6"/>
        <v>0.25881099999999968</v>
      </c>
      <c r="AC10" s="27">
        <f t="shared" si="7"/>
        <v>-3.5999999999880572E-4</v>
      </c>
      <c r="AD10" s="27">
        <f t="shared" si="8"/>
        <v>0.21596000000000082</v>
      </c>
    </row>
    <row r="11" spans="1:31" x14ac:dyDescent="0.25">
      <c r="A11" s="2" t="s">
        <v>49</v>
      </c>
      <c r="B11" s="8">
        <v>1064359137.4200001</v>
      </c>
      <c r="C11" s="10">
        <v>2.8</v>
      </c>
      <c r="D11" s="23">
        <f>B11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1577819973.0535281</v>
      </c>
      <c r="E11" s="3">
        <v>320993471.06999999</v>
      </c>
      <c r="F11" s="23">
        <f>E11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475844939.99056143</v>
      </c>
      <c r="G11" s="3">
        <f t="shared" si="9"/>
        <v>0.62341842524353774</v>
      </c>
      <c r="H11" s="3"/>
      <c r="I11" s="3">
        <f t="shared" si="0"/>
        <v>1976837529.729207</v>
      </c>
      <c r="J11" s="13">
        <f>((2*1205400)-J10)</f>
        <v>1228500</v>
      </c>
      <c r="K11" s="13">
        <f>((2*8.6)-K10)</f>
        <v>8.1999999999999993</v>
      </c>
      <c r="L11" s="13">
        <f t="shared" si="1"/>
        <v>1127763</v>
      </c>
      <c r="M11" s="3">
        <v>114.66666666666667</v>
      </c>
      <c r="N11" s="23">
        <f>M11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</f>
        <v>169.98337360892577</v>
      </c>
      <c r="O11" s="25">
        <v>83367.695538868837</v>
      </c>
      <c r="P11" s="25">
        <v>201459.48009236864</v>
      </c>
      <c r="Q11" s="3">
        <v>21.179310000000001</v>
      </c>
      <c r="R11" s="3">
        <v>19.980599999999999</v>
      </c>
      <c r="S11" s="3">
        <v>21.285969999999999</v>
      </c>
      <c r="T11" s="3">
        <v>13.935750000000001</v>
      </c>
      <c r="U11" s="3">
        <v>5.1357010000000001</v>
      </c>
      <c r="V11" s="30">
        <v>11.331020000000001</v>
      </c>
      <c r="W11" s="30">
        <v>12.213340000000001</v>
      </c>
      <c r="X11" s="27">
        <f t="shared" si="2"/>
        <v>0.28980999999999923</v>
      </c>
      <c r="Y11" s="27">
        <f t="shared" si="3"/>
        <v>0.48452999999999946</v>
      </c>
      <c r="Z11" s="27">
        <f t="shared" si="4"/>
        <v>0.5265500000000003</v>
      </c>
      <c r="AA11" s="27">
        <f t="shared" si="5"/>
        <v>2.3460000000000036E-2</v>
      </c>
      <c r="AB11" s="27">
        <f t="shared" si="6"/>
        <v>0.30923100000000048</v>
      </c>
      <c r="AC11" s="27">
        <f t="shared" si="7"/>
        <v>-3.5999999999880572E-4</v>
      </c>
      <c r="AD11" s="27">
        <f t="shared" si="8"/>
        <v>0.2159500000000012</v>
      </c>
    </row>
    <row r="12" spans="1:31" x14ac:dyDescent="0.25">
      <c r="A12" s="2" t="s">
        <v>50</v>
      </c>
      <c r="B12" s="8">
        <v>1560390848.21</v>
      </c>
      <c r="C12" s="10">
        <v>3.7</v>
      </c>
      <c r="D12" s="23">
        <f>B12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2257378617.8844028</v>
      </c>
      <c r="E12" s="3">
        <v>512199885.62</v>
      </c>
      <c r="F12" s="23">
        <f>E12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740986831.0928582</v>
      </c>
      <c r="G12" s="3">
        <f t="shared" si="9"/>
        <v>0.36457882400996411</v>
      </c>
      <c r="H12" s="3"/>
      <c r="I12" s="3">
        <f t="shared" si="0"/>
        <v>2322587751.8984613</v>
      </c>
      <c r="J12" s="13">
        <f>((3*1209000)-J10-J11)</f>
        <v>1216200</v>
      </c>
      <c r="K12" s="13">
        <f>((3*8.3)-K10-K11)</f>
        <v>7.7000000000000028</v>
      </c>
      <c r="L12" s="13">
        <f t="shared" si="1"/>
        <v>1122552.5999999999</v>
      </c>
      <c r="M12" s="3">
        <v>116.66666666666667</v>
      </c>
      <c r="N12" s="23">
        <f>M12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</f>
        <v>168.778764022677</v>
      </c>
      <c r="O12" s="25">
        <v>101890.53684552111</v>
      </c>
      <c r="P12" s="25">
        <v>233426.65639264855</v>
      </c>
      <c r="Q12" s="3">
        <v>21.537469999999999</v>
      </c>
      <c r="R12" s="3">
        <v>20.423490000000001</v>
      </c>
      <c r="S12" s="3">
        <v>21.47101</v>
      </c>
      <c r="T12" s="3">
        <v>13.93112</v>
      </c>
      <c r="U12" s="3">
        <v>5.1285889999999998</v>
      </c>
      <c r="V12" s="30">
        <v>11.531650000000001</v>
      </c>
      <c r="W12" s="30">
        <v>12.360620000000001</v>
      </c>
      <c r="X12" s="27">
        <f t="shared" si="2"/>
        <v>0.13992999999999967</v>
      </c>
      <c r="Y12" s="27">
        <f t="shared" si="3"/>
        <v>0.31084000000000245</v>
      </c>
      <c r="Z12" s="27">
        <f t="shared" si="4"/>
        <v>0.47711999999999932</v>
      </c>
      <c r="AA12" s="27">
        <f t="shared" si="5"/>
        <v>1.8959999999999866E-2</v>
      </c>
      <c r="AB12" s="27">
        <f t="shared" si="6"/>
        <v>0.22662699999999969</v>
      </c>
      <c r="AC12" s="27">
        <f t="shared" si="7"/>
        <v>-3.5999999999880572E-4</v>
      </c>
      <c r="AD12" s="27">
        <f t="shared" si="8"/>
        <v>0.2159500000000012</v>
      </c>
    </row>
    <row r="13" spans="1:31" x14ac:dyDescent="0.25">
      <c r="A13" s="2" t="s">
        <v>51</v>
      </c>
      <c r="B13" s="8">
        <v>1636291257.1600001</v>
      </c>
      <c r="C13" s="10">
        <v>3.3</v>
      </c>
      <c r="D13" s="23">
        <f>B13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2344266247.5322556</v>
      </c>
      <c r="E13" s="3">
        <v>559988417.77999997</v>
      </c>
      <c r="F13" s="23">
        <f>E13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802278898.12790263</v>
      </c>
      <c r="G13" s="3">
        <f t="shared" si="9"/>
        <v>0.57392389837664326</v>
      </c>
      <c r="H13" s="3"/>
      <c r="I13" s="3">
        <f t="shared" si="0"/>
        <v>2687825703.1802797</v>
      </c>
      <c r="J13" s="13">
        <f>((4*1203300)-J10-J11-J12)</f>
        <v>1186200</v>
      </c>
      <c r="K13" s="13">
        <f>((4*8.1)-K10-K11-K12)</f>
        <v>7.4999999999999964</v>
      </c>
      <c r="L13" s="13">
        <f t="shared" si="1"/>
        <v>1097235</v>
      </c>
      <c r="M13" s="3">
        <v>127</v>
      </c>
      <c r="N13" s="23">
        <f>M13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</f>
        <v>181.94915613821223</v>
      </c>
      <c r="O13" s="25">
        <v>98256.758410412644</v>
      </c>
      <c r="P13" s="25">
        <v>378139.88512438902</v>
      </c>
      <c r="Q13" s="3">
        <v>21.575240000000001</v>
      </c>
      <c r="R13" s="3">
        <v>20.502970000000001</v>
      </c>
      <c r="S13" s="3">
        <v>21.634740000000001</v>
      </c>
      <c r="T13" s="3">
        <v>13.908300000000001</v>
      </c>
      <c r="U13" s="3">
        <v>5.2037269999999998</v>
      </c>
      <c r="V13" s="30">
        <v>11.495340000000001</v>
      </c>
      <c r="W13" s="30">
        <v>12.843019999999999</v>
      </c>
      <c r="X13" s="27">
        <f t="shared" si="2"/>
        <v>0.14403000000000077</v>
      </c>
      <c r="Y13" s="27">
        <f t="shared" si="3"/>
        <v>0.45358000000000231</v>
      </c>
      <c r="Z13" s="27">
        <f t="shared" si="4"/>
        <v>0.47251999999999938</v>
      </c>
      <c r="AA13" s="27">
        <f t="shared" si="5"/>
        <v>3.279999999999994E-2</v>
      </c>
      <c r="AB13" s="27">
        <f t="shared" si="6"/>
        <v>0.18009599999999981</v>
      </c>
      <c r="AC13" s="27">
        <f t="shared" si="7"/>
        <v>-3.5999999999880572E-4</v>
      </c>
      <c r="AD13" s="27">
        <f t="shared" si="8"/>
        <v>0.21595999999999904</v>
      </c>
    </row>
    <row r="14" spans="1:31" x14ac:dyDescent="0.25">
      <c r="A14" s="2" t="s">
        <v>52</v>
      </c>
      <c r="B14" s="8">
        <v>792157048.20999992</v>
      </c>
      <c r="C14" s="10">
        <v>2.8</v>
      </c>
      <c r="D14" s="23">
        <f>B14*(1+(C15/100))*(1+(C16/100))*(1+(C17/100))*(1+(C18/100))*(1+(C19/100))*(1+(C20/100))*(1+(C21/100))*(1+(C22/100))*(1+(C23/100))*(1+(C24/100))*(1+(C25/100))*(1+(C26/100))*(1+(C27/100))*(1+(C28/100))*(1+(C29/100))*(1+(C30/100))</f>
        <v>1046487802.1387174</v>
      </c>
      <c r="E14" s="3">
        <v>120253641.23</v>
      </c>
      <c r="F14" s="23">
        <f>E14*(1+(C15/100))*(1+(C16/100))*(1+(C17/100))*(1+(C18/100))*(1+(C19/100))*(1+(C20/100))*(1+(C21/100))*(1+(C22/100))*(1+(C23/100))*(1+(C24/100))*(1+(C25/100))*(1+(C26/100))*(1+(C27/100))*(1+(C28/100))*(1+(C29/100))*(1+(C30/100))</f>
        <v>158862398.55382749</v>
      </c>
      <c r="G14" s="3">
        <f t="shared" si="9"/>
        <v>0.29268078598705571</v>
      </c>
      <c r="H14" s="3"/>
      <c r="I14" s="3">
        <f t="shared" si="0"/>
        <v>2648751857.1535621</v>
      </c>
      <c r="J14" s="13">
        <v>1154600</v>
      </c>
      <c r="K14" s="13">
        <v>10.7</v>
      </c>
      <c r="L14" s="13">
        <f t="shared" si="1"/>
        <v>1031057.8</v>
      </c>
      <c r="M14" s="3">
        <v>124.33333333333333</v>
      </c>
      <c r="N14" s="23">
        <f>M14*(1+(C15/100))*(1+(C16/100))*(1+(C17/100))*(1+(C18/100))*(1+(C19/100))*(1+(C20/100))*(1+(C21/100))*(1+(C22/100))*(1+(C23/100))*(1+(C24/100))*(1+(C25/100))*(1+(C26/100))*(1+(C27/100))*(1+(C28/100))*(1+(C29/100))*(1+(C30/100))</f>
        <v>164.25192078589905</v>
      </c>
      <c r="O14" s="25">
        <v>70991.727095847848</v>
      </c>
      <c r="P14" s="25">
        <v>396973.05188490544</v>
      </c>
      <c r="Q14" s="3">
        <v>20.768709999999999</v>
      </c>
      <c r="R14" s="3">
        <v>18.88355</v>
      </c>
      <c r="S14" s="3">
        <v>21.622979999999998</v>
      </c>
      <c r="T14" s="3">
        <v>13.8461</v>
      </c>
      <c r="U14" s="3">
        <v>5.1014010000000001</v>
      </c>
      <c r="V14" s="30">
        <v>11.17032</v>
      </c>
      <c r="W14" s="30">
        <v>12.89162</v>
      </c>
      <c r="X14" s="27">
        <f t="shared" si="2"/>
        <v>4.4729999999997716E-2</v>
      </c>
      <c r="Y14" s="27">
        <f t="shared" si="3"/>
        <v>0.25671999999999784</v>
      </c>
      <c r="Z14" s="27">
        <f t="shared" si="4"/>
        <v>0.46321999999999974</v>
      </c>
      <c r="AA14" s="27">
        <f t="shared" si="5"/>
        <v>-4.2559999999999931E-2</v>
      </c>
      <c r="AB14" s="27">
        <f t="shared" si="6"/>
        <v>0.10045500000000018</v>
      </c>
      <c r="AC14" s="27">
        <f t="shared" si="7"/>
        <v>-6.7890000000000228E-2</v>
      </c>
      <c r="AD14" s="27">
        <f t="shared" si="8"/>
        <v>2.6769999999999072E-2</v>
      </c>
    </row>
    <row r="15" spans="1:31" x14ac:dyDescent="0.25">
      <c r="A15" s="2" t="s">
        <v>53</v>
      </c>
      <c r="B15" s="8">
        <v>1350993474.8400002</v>
      </c>
      <c r="C15" s="10">
        <v>3.4</v>
      </c>
      <c r="D15" s="23">
        <f>B15*(1+(C16/100))*(1+(C17/100))*(1+(C18/100))*(1+(C19/100))*(1+(C20/100))*(1+(C21/100))*(1+(C22/100))*(1+(C23/100))*(1+(C24/100))*(1+(C25/100))*(1+(C26/100))*(1+(C27/100))*(1+(C28/100))*(1+(C29/100))*(1+(C30/100))*(1+(C31/100))</f>
        <v>1758853942.3880935</v>
      </c>
      <c r="E15" s="3">
        <v>455746157.04000002</v>
      </c>
      <c r="F15" s="23">
        <f>E15*(1+(C16/100))*(1+(C17/100))*(1+(C18/100))*(1+(C19/100))*(1+(C20/100))*(1+(C21/100))*(1+(C22/100))*(1+(C23/100))*(1+(C24/100))*(1+(C25/100))*(1+(C26/100))*(1+(C27/100))*(1+(C28/100))*(1+(C29/100))*(1+(C30/100))*(1+(C31/100))</f>
        <v>593334416.46190095</v>
      </c>
      <c r="G15" s="3">
        <f t="shared" si="9"/>
        <v>0.24690706277904306</v>
      </c>
      <c r="H15" s="3"/>
      <c r="I15" s="3">
        <f t="shared" si="0"/>
        <v>2872314914.1730242</v>
      </c>
      <c r="J15" s="13">
        <f>((2*1176000)-J14)</f>
        <v>1197400</v>
      </c>
      <c r="K15" s="13">
        <f>((2*10)-K14)</f>
        <v>9.3000000000000007</v>
      </c>
      <c r="L15" s="13">
        <f t="shared" si="1"/>
        <v>1086041.8</v>
      </c>
      <c r="M15" s="3">
        <v>145.33333333333334</v>
      </c>
      <c r="N15" s="23">
        <f>M15*(1+(C16/100))*(1+(C17/100))*(1+(C18/100))*(1+(C19/100))*(1+(C20/100))*(1+(C21/100))*(1+(C22/100))*(1+(C23/100))*(1+(C24/100))*(1+(C25/100))*(1+(C26/100))*(1+(C27/100))*(1+(C28/100))*(1+(C29/100))*(1+(C30/100))*(1+(C31/100))</f>
        <v>189.20898661187809</v>
      </c>
      <c r="O15" s="25">
        <v>77895.912279545417</v>
      </c>
      <c r="P15" s="25">
        <v>206926.99133537765</v>
      </c>
      <c r="Q15" s="3">
        <v>21.287929999999999</v>
      </c>
      <c r="R15" s="3">
        <v>20.201270000000001</v>
      </c>
      <c r="S15" s="3">
        <v>21.713539999999998</v>
      </c>
      <c r="T15" s="3">
        <v>13.89805</v>
      </c>
      <c r="U15" s="3">
        <v>5.2428520000000001</v>
      </c>
      <c r="V15" s="30">
        <v>11.26313</v>
      </c>
      <c r="W15" s="30">
        <v>12.240119999999999</v>
      </c>
      <c r="X15" s="27">
        <f t="shared" si="2"/>
        <v>0.10861999999999838</v>
      </c>
      <c r="Y15" s="27">
        <f t="shared" si="3"/>
        <v>0.22067000000000192</v>
      </c>
      <c r="Z15" s="27">
        <f t="shared" si="4"/>
        <v>0.42756999999999934</v>
      </c>
      <c r="AA15" s="27">
        <f t="shared" si="5"/>
        <v>-3.7700000000000955E-2</v>
      </c>
      <c r="AB15" s="27">
        <f t="shared" si="6"/>
        <v>0.107151</v>
      </c>
      <c r="AC15" s="27">
        <f t="shared" si="7"/>
        <v>-6.7890000000000228E-2</v>
      </c>
      <c r="AD15" s="27">
        <f t="shared" si="8"/>
        <v>2.6779999999998694E-2</v>
      </c>
    </row>
    <row r="16" spans="1:31" x14ac:dyDescent="0.25">
      <c r="A16" s="2" t="s">
        <v>54</v>
      </c>
      <c r="B16" s="8">
        <v>2135064808.47</v>
      </c>
      <c r="C16" s="10">
        <v>2.8</v>
      </c>
      <c r="D16" s="23">
        <f>B16*(1+(C17/100))*(1+(C18/100))*(1+(C19/100))*(1+(C20/100))*(1+(C21/100))*(1+(C22/100))*(1+(C23/100))*(1+(C24/100))*(1+(C25/100))*(1+(C26/100))*(1+(C27/100))*(1+(C28/100))*(1+(C29/100))*(1+(C30/100))*(1+(C31/100))*(1+(C32/100))</f>
        <v>2736371038.5340815</v>
      </c>
      <c r="E16" s="3">
        <v>802843286.23000002</v>
      </c>
      <c r="F16" s="23">
        <f>E16*(1+(C17/100))*(1+(C18/100))*(1+(C19/100))*(1+(C20/100))*(1+(C21/100))*(1+(C22/100))*(1+(C23/100))*(1+(C24/100))*(1+(C25/100))*(1+(C26/100))*(1+(C27/100))*(1+(C28/100))*(1+(C29/100))*(1+(C30/100))*(1+(C31/100))*(1+(C32/100))</f>
        <v>1028951022.0982914</v>
      </c>
      <c r="G16" s="3">
        <f>(F16/F12)-1</f>
        <v>0.3886225489064683</v>
      </c>
      <c r="H16" s="3"/>
      <c r="I16" s="3">
        <f>((1-0.05)*I15)+(F16*0.6)</f>
        <v>3346069781.7233477</v>
      </c>
      <c r="J16" s="13">
        <f>((3*1184700)-J14-J15)</f>
        <v>1202100</v>
      </c>
      <c r="K16" s="13">
        <f>((3*10.2)-K14-K15)</f>
        <v>10.599999999999998</v>
      </c>
      <c r="L16" s="13">
        <f t="shared" si="1"/>
        <v>1074677.3999999999</v>
      </c>
      <c r="M16" s="3">
        <v>161.66666666666666</v>
      </c>
      <c r="N16" s="23">
        <f>M16*(1+(C17/100))*(1+(C18/100))*(1+(C19/100))*(1+(C20/100))*(1+(C21/100))*(1+(C22/100))*(1+(C23/100))*(1+(C24/100))*(1+(C25/100))*(1+(C26/100))*(1+(C27/100))*(1+(C28/100))*(1+(C29/100))*(1+(C30/100))*(1+(C31/100))*(1+(C32/100))</f>
        <v>207.19745031066381</v>
      </c>
      <c r="O16" s="25">
        <v>95203.019214247965</v>
      </c>
      <c r="P16" s="25">
        <v>239761.7410839207</v>
      </c>
      <c r="Q16" s="3">
        <v>21.729900000000001</v>
      </c>
      <c r="R16" s="3">
        <v>20.751809999999999</v>
      </c>
      <c r="S16" s="3">
        <v>21.878489999999999</v>
      </c>
      <c r="T16" s="3">
        <v>13.88753</v>
      </c>
      <c r="U16" s="3">
        <v>5.333672</v>
      </c>
      <c r="V16" s="30">
        <v>11.46377</v>
      </c>
      <c r="W16" s="30">
        <v>12.3874</v>
      </c>
      <c r="X16" s="27">
        <f t="shared" si="2"/>
        <v>0.19243000000000166</v>
      </c>
      <c r="Y16" s="27">
        <f t="shared" si="3"/>
        <v>0.32831999999999795</v>
      </c>
      <c r="Z16" s="27">
        <f t="shared" si="4"/>
        <v>0.40747999999999962</v>
      </c>
      <c r="AA16" s="27">
        <f t="shared" si="5"/>
        <v>-4.3590000000000018E-2</v>
      </c>
      <c r="AB16" s="27">
        <f t="shared" si="6"/>
        <v>0.20508300000000013</v>
      </c>
      <c r="AC16" s="27">
        <f t="shared" si="7"/>
        <v>-6.7880000000000607E-2</v>
      </c>
      <c r="AD16" s="27">
        <f t="shared" si="8"/>
        <v>2.6779999999998694E-2</v>
      </c>
    </row>
    <row r="17" spans="1:31" x14ac:dyDescent="0.25">
      <c r="A17" s="2" t="s">
        <v>55</v>
      </c>
      <c r="B17" s="8">
        <v>2271405676.54</v>
      </c>
      <c r="C17" s="10">
        <v>1.5</v>
      </c>
      <c r="D17" s="23">
        <f>B17*(1+(C18/100))*(1+(C19/100))*(1+(C20/100))*(1+(C21/100))*(1+(C22/100))*(1+(C23/100))*(1+(C24/100))*(1+(C25/100))*(1+(C26/100))*(1+(C27/100))*(1+(C28/100))*(1+(C29/100))*(1+(C30/100))*(1+(C31/100))*(1+(C32/100))*(1+(C33/100))</f>
        <v>2934054801.6291437</v>
      </c>
      <c r="E17" s="3">
        <v>982187616.09000003</v>
      </c>
      <c r="F17" s="23">
        <f>E17*(1+(C18/100))*(1+(C19/100))*(1+(C20/100))*(1+(C21/100))*(1+(C22/100))*(1+(C23/100))*(1+(C24/100))*(1+(C25/100))*(1+(C26/100))*(1+(C27/100))*(1+(C28/100))*(1+(C29/100))*(1+(C30/100))*(1+(C31/100))*(1+(C32/100))*(1+(C33/100))</f>
        <v>1268726375.4131935</v>
      </c>
      <c r="G17" s="3">
        <f t="shared" si="9"/>
        <v>0.58140314842348984</v>
      </c>
      <c r="H17" s="3"/>
      <c r="I17" s="3">
        <f t="shared" si="0"/>
        <v>3940002117.8850965</v>
      </c>
      <c r="J17" s="13">
        <f>((4*1181300)-J14-J15-J16)</f>
        <v>1171100</v>
      </c>
      <c r="K17" s="13">
        <f>((4*11.1)-K14-K15-K16)</f>
        <v>13.800000000000004</v>
      </c>
      <c r="L17" s="13">
        <f t="shared" si="1"/>
        <v>1009488.2</v>
      </c>
      <c r="M17" s="3">
        <v>190.66666666666666</v>
      </c>
      <c r="N17" s="23">
        <f>M17*(1+(C18/100))*(1+(C19/100))*(1+(C20/100))*(1+(C21/100))*(1+(C22/100))*(1+(C23/100))*(1+(C24/100))*(1+(C25/100))*(1+(C26/100))*(1+(C27/100))*(1+(C28/100))*(1+(C29/100))*(1+(C30/100))*(1+(C31/100))*(1+(C32/100))*(1+(C33/100))</f>
        <v>246.29085619620497</v>
      </c>
      <c r="O17" s="25">
        <v>91807.741410358765</v>
      </c>
      <c r="P17" s="25">
        <v>388402.41569579626</v>
      </c>
      <c r="Q17" s="3">
        <v>21.79965</v>
      </c>
      <c r="R17" s="3">
        <v>20.961279999999999</v>
      </c>
      <c r="S17" s="3">
        <v>22.05226</v>
      </c>
      <c r="T17" s="3">
        <v>13.824949999999999</v>
      </c>
      <c r="U17" s="3">
        <v>5.506513</v>
      </c>
      <c r="V17" s="30">
        <v>11.42745</v>
      </c>
      <c r="W17" s="30">
        <v>12.8698</v>
      </c>
      <c r="X17" s="27">
        <f t="shared" si="2"/>
        <v>0.22440999999999889</v>
      </c>
      <c r="Y17" s="27">
        <f t="shared" si="3"/>
        <v>0.45830999999999733</v>
      </c>
      <c r="Z17" s="27">
        <f t="shared" si="4"/>
        <v>0.41751999999999967</v>
      </c>
      <c r="AA17" s="27">
        <f t="shared" si="5"/>
        <v>-8.3350000000001145E-2</v>
      </c>
      <c r="AB17" s="27">
        <f t="shared" si="6"/>
        <v>0.30278600000000022</v>
      </c>
      <c r="AC17" s="27">
        <f t="shared" si="7"/>
        <v>-6.7890000000000228E-2</v>
      </c>
      <c r="AD17" s="27">
        <f t="shared" si="8"/>
        <v>2.678000000000047E-2</v>
      </c>
    </row>
    <row r="18" spans="1:31" x14ac:dyDescent="0.25">
      <c r="A18" s="2" t="s">
        <v>56</v>
      </c>
      <c r="B18" s="8">
        <v>1174789993.97</v>
      </c>
      <c r="C18" s="10">
        <v>4</v>
      </c>
      <c r="D18" s="23">
        <f>B18*(1+(C19/100))*(1+(C20/100))*(1+(C21/100))*(1+(C22/100))*(1+(C23/100))*(1+(C24/100))*(1+(C25/100))*(1+(C26/100))*(1+(C27/100))*(1+(C28/100))*(1+(C29/100))*(1+(C30/100))</f>
        <v>1383152556.4119298</v>
      </c>
      <c r="E18" s="3">
        <v>184034071.72</v>
      </c>
      <c r="F18" s="23">
        <f>E18*(1+(C19/100))*(1+(C20/100))*(1+(C21/100))*(1+(C22/100))*(1+(C23/100))*(1+(C24/100))*(1+(C25/100))*(1+(C26/100))*(1+(C27/100))*(1+(C28/100))*(1+(C29/100))*(1+(C30/100))</f>
        <v>216674638.08251899</v>
      </c>
      <c r="G18" s="3">
        <f t="shared" si="9"/>
        <v>0.36391392837432779</v>
      </c>
      <c r="H18" s="3"/>
      <c r="I18" s="3">
        <f t="shared" si="0"/>
        <v>3873006794.840353</v>
      </c>
      <c r="J18" s="13">
        <v>1142100</v>
      </c>
      <c r="K18" s="13">
        <v>15.3</v>
      </c>
      <c r="L18" s="13">
        <f t="shared" si="1"/>
        <v>967358.7</v>
      </c>
      <c r="M18" s="3">
        <v>193.66666666666666</v>
      </c>
      <c r="N18" s="23">
        <f>M18*(1+(C19/100))*(1+(C20/100))*(1+(C21/100))*(1+(C22/100))*(1+(C23/100))*(1+(C24/100))*(1+(C25/100))*(1+(C26/100))*(1+(C27/100))*(1+(C28/100))*(1+(C29/100))*(1+(C30/100))</f>
        <v>228.01568490258828</v>
      </c>
      <c r="O18" s="8">
        <v>79480.321420000007</v>
      </c>
      <c r="P18" s="8">
        <v>507049.14800000004</v>
      </c>
      <c r="Q18" s="3">
        <v>21.047630000000002</v>
      </c>
      <c r="R18" s="3">
        <v>19.193909999999999</v>
      </c>
      <c r="S18" s="3">
        <v>22.036549999999998</v>
      </c>
      <c r="T18" s="3">
        <v>13.78232</v>
      </c>
      <c r="U18" s="3">
        <v>5.4294140000000004</v>
      </c>
      <c r="V18" s="3">
        <v>11.28327</v>
      </c>
      <c r="W18" s="3">
        <v>13.13636</v>
      </c>
      <c r="X18" s="3">
        <f t="shared" si="2"/>
        <v>0.27892000000000294</v>
      </c>
      <c r="Y18" s="3">
        <f t="shared" si="3"/>
        <v>0.3103599999999993</v>
      </c>
      <c r="Z18" s="3">
        <f t="shared" si="4"/>
        <v>0.41356999999999999</v>
      </c>
      <c r="AA18" s="3">
        <f t="shared" si="5"/>
        <v>-6.3779999999999504E-2</v>
      </c>
      <c r="AB18" s="3">
        <f t="shared" si="6"/>
        <v>0.32801300000000033</v>
      </c>
      <c r="AC18" s="3">
        <f t="shared" si="7"/>
        <v>0.11294999999999966</v>
      </c>
      <c r="AD18" s="3">
        <f t="shared" si="8"/>
        <v>0.24474000000000018</v>
      </c>
    </row>
    <row r="19" spans="1:31" x14ac:dyDescent="0.25">
      <c r="A19" s="2" t="s">
        <v>57</v>
      </c>
      <c r="B19" s="8">
        <v>1928014919.5900002</v>
      </c>
      <c r="C19" s="10">
        <v>2.6</v>
      </c>
      <c r="D19" s="23">
        <f>B19*(1+(C20/100))*(1+(C21/100))*(1+(C22/100))*(1+(C23/100))*(1+(C24/100))*(1+(C25/100))*(1+(C26/100))*(1+(C27/100))*(1+(C28/100))*(1+(C29/100))*(1+(C30/100))*(1+(C31/100))</f>
        <v>2254483485.8138533</v>
      </c>
      <c r="E19" s="3">
        <v>667003386.5</v>
      </c>
      <c r="F19" s="23">
        <f>E19*(1+(C20/100))*(1+(C21/100))*(1+(C22/100))*(1+(C23/100))*(1+(C24/100))*(1+(C25/100))*(1+(C26/100))*(1+(C27/100))*(1+(C28/100))*(1+(C29/100))*(1+(C30/100))*(1+(C31/100))</f>
        <v>779946308.80031896</v>
      </c>
      <c r="G19" s="3">
        <f t="shared" si="9"/>
        <v>0.31451385114519259</v>
      </c>
      <c r="H19" s="3"/>
      <c r="I19" s="3">
        <f t="shared" si="0"/>
        <v>4147324240.3785267</v>
      </c>
      <c r="J19" s="13">
        <f>((2*1161500)-J18)</f>
        <v>1180900</v>
      </c>
      <c r="K19" s="13">
        <f>((2*14.8)-K18)</f>
        <v>14.3</v>
      </c>
      <c r="L19" s="13">
        <f t="shared" si="1"/>
        <v>1012031.2999999999</v>
      </c>
      <c r="M19" s="3">
        <v>209.33333333333334</v>
      </c>
      <c r="N19" s="23">
        <f>M19*(1+(C20/100))*(1+(C21/100))*(1+(C22/100))*(1+(C23/100))*(1+(C24/100))*(1+(C25/100))*(1+(C26/100))*(1+(C27/100))*(1+(C28/100))*(1+(C29/100))*(1+(C30/100))*(1+(C31/100))</f>
        <v>244.77950779070014</v>
      </c>
      <c r="O19" s="8">
        <v>89926.421149999995</v>
      </c>
      <c r="P19" s="8">
        <v>248198.64</v>
      </c>
      <c r="Q19" s="3">
        <v>21.536190000000001</v>
      </c>
      <c r="R19" s="3">
        <v>20.474740000000001</v>
      </c>
      <c r="S19" s="3">
        <v>22.109670000000001</v>
      </c>
      <c r="T19" s="3">
        <v>13.82747</v>
      </c>
      <c r="U19" s="3">
        <v>5.5003580000000003</v>
      </c>
      <c r="V19" s="3">
        <v>11.406750000000001</v>
      </c>
      <c r="W19" s="3">
        <v>12.42198</v>
      </c>
      <c r="X19" s="3">
        <f t="shared" si="2"/>
        <v>0.24826000000000192</v>
      </c>
      <c r="Y19" s="3">
        <f t="shared" si="3"/>
        <v>0.27346999999999966</v>
      </c>
      <c r="Z19" s="3">
        <f t="shared" si="4"/>
        <v>0.39613000000000298</v>
      </c>
      <c r="AA19" s="3">
        <f t="shared" si="5"/>
        <v>-7.0579999999999643E-2</v>
      </c>
      <c r="AB19" s="3">
        <f t="shared" si="6"/>
        <v>0.25750600000000023</v>
      </c>
      <c r="AC19" s="3">
        <f t="shared" si="7"/>
        <v>0.1436200000000003</v>
      </c>
      <c r="AD19" s="3">
        <f t="shared" si="8"/>
        <v>0.18186000000000035</v>
      </c>
    </row>
    <row r="20" spans="1:31" x14ac:dyDescent="0.25">
      <c r="A20" s="2" t="s">
        <v>58</v>
      </c>
      <c r="B20" s="8">
        <v>3044561895.0799999</v>
      </c>
      <c r="C20" s="10">
        <v>2.1</v>
      </c>
      <c r="D20" s="23">
        <f>B20*(1+(C21/100))*(1+(C22/100))*(1+(C23/100))*(1+(C24/100))*(1+(C25/100))*(1+(C26/100))*(1+(C27/100))*(1+(C28/100))*(1+(C29/100))*(1+(C30/100))*(1+(C31/100))*(1+(C32/100))</f>
        <v>3528712258.1585855</v>
      </c>
      <c r="E20" s="3">
        <v>1195898955.99</v>
      </c>
      <c r="F20" s="23">
        <f>E20*(1+(C21/100))*(1+(C22/100))*(1+(C23/100))*(1+(C24/100))*(1+(C25/100))*(1+(C26/100))*(1+(C27/100))*(1+(C28/100))*(1+(C29/100))*(1+(C30/100))*(1+(C31/100))*(1+(C32/100))</f>
        <v>1386072430.4342258</v>
      </c>
      <c r="G20" s="3">
        <f t="shared" si="9"/>
        <v>0.34707328207680233</v>
      </c>
      <c r="H20" s="3"/>
      <c r="I20" s="3">
        <f t="shared" si="0"/>
        <v>4771601486.6201353</v>
      </c>
      <c r="J20" s="13">
        <f>((3*1169600)-J18-J19)</f>
        <v>1185800</v>
      </c>
      <c r="K20" s="13">
        <f>((3*15.5)-K18-K19)</f>
        <v>16.899999999999999</v>
      </c>
      <c r="L20" s="13">
        <f t="shared" si="1"/>
        <v>985399.79999999993</v>
      </c>
      <c r="M20" s="3">
        <v>232</v>
      </c>
      <c r="N20" s="23">
        <f>M20*(1+(C21/100))*(1+(C22/100))*(1+(C23/100))*(1+(C24/100))*(1+(C25/100))*(1+(C26/100))*(1+(C27/100))*(1+(C28/100))*(1+(C29/100))*(1+(C30/100))*(1+(C31/100))*(1+(C32/100))</f>
        <v>268.89295475179711</v>
      </c>
      <c r="O20" s="8">
        <v>101432.79041</v>
      </c>
      <c r="P20" s="8">
        <v>228225.44</v>
      </c>
      <c r="Q20" s="3">
        <v>21.984200000000001</v>
      </c>
      <c r="R20" s="3">
        <v>21.04974</v>
      </c>
      <c r="S20" s="3">
        <v>22.256270000000001</v>
      </c>
      <c r="T20" s="3">
        <v>13.800800000000001</v>
      </c>
      <c r="U20" s="3">
        <v>5.5943129999999996</v>
      </c>
      <c r="V20" s="3">
        <v>11.527150000000001</v>
      </c>
      <c r="W20" s="3">
        <v>12.338089999999999</v>
      </c>
      <c r="X20" s="3">
        <f t="shared" si="2"/>
        <v>0.25430000000000064</v>
      </c>
      <c r="Y20" s="3">
        <f t="shared" si="3"/>
        <v>0.29793000000000092</v>
      </c>
      <c r="Z20" s="3">
        <f t="shared" si="4"/>
        <v>0.37778000000000134</v>
      </c>
      <c r="AA20" s="3">
        <f t="shared" si="5"/>
        <v>-8.6729999999999308E-2</v>
      </c>
      <c r="AB20" s="3">
        <f t="shared" si="6"/>
        <v>0.26064099999999968</v>
      </c>
      <c r="AC20" s="3">
        <f t="shared" si="7"/>
        <v>6.3380000000000436E-2</v>
      </c>
      <c r="AD20" s="3">
        <f t="shared" si="8"/>
        <v>-4.9310000000000187E-2</v>
      </c>
    </row>
    <row r="21" spans="1:31" x14ac:dyDescent="0.25">
      <c r="A21" s="2" t="s">
        <v>59</v>
      </c>
      <c r="B21" s="8">
        <v>3201897022.3199997</v>
      </c>
      <c r="C21" s="10">
        <v>1.6</v>
      </c>
      <c r="D21" s="23">
        <f>B21*(1+(C22/100))*(1+(C23/100))*(1+(C24/100))*(1+(C25/100))*(1+(C26/100))*(1+(C27/100))*(1+(C28/100))*(1+(C29/100))*(1+(C30/100))*(1+(C31/100))*(1+(C32/100))*(1+(C33/100))</f>
        <v>3736635405.9992075</v>
      </c>
      <c r="E21" s="3">
        <v>1440047519.73</v>
      </c>
      <c r="F21" s="23">
        <f>E21*(1+(C22/100))*(1+(C23/100))*(1+(C24/100))*(1+(C25/100))*(1+(C26/100))*(1+(C27/100))*(1+(C28/100))*(1+(C29/100))*(1+(C30/100))*(1+(C31/100))*(1+(C32/100))*(1+(C33/100))</f>
        <v>1680545161.5197785</v>
      </c>
      <c r="G21" s="3">
        <f t="shared" si="9"/>
        <v>0.32459227938133273</v>
      </c>
      <c r="H21" s="3"/>
      <c r="I21" s="3">
        <f t="shared" si="0"/>
        <v>5541348509.2009954</v>
      </c>
      <c r="J21" s="13">
        <f>((4*1168000)-J18-J19-J20)</f>
        <v>1163200</v>
      </c>
      <c r="K21" s="13">
        <f>((4*17.2)-K18-K19-K20)</f>
        <v>22.300000000000004</v>
      </c>
      <c r="L21" s="13">
        <f t="shared" si="1"/>
        <v>903806.39999999991</v>
      </c>
      <c r="M21" s="3">
        <v>273.33333333333331</v>
      </c>
      <c r="N21" s="23">
        <f>M21*(1+(C22/100))*(1+(C23/100))*(1+(C24/100))*(1+(C25/100))*(1+(C26/100))*(1+(C27/100))*(1+(C28/100))*(1+(C29/100))*(1+(C30/100))*(1+(C31/100))*(1+(C32/100))*(1+(C33/100))</f>
        <v>318.98184228082351</v>
      </c>
      <c r="O21" s="8">
        <v>90232.125090000001</v>
      </c>
      <c r="P21" s="8">
        <v>465951.31000000006</v>
      </c>
      <c r="Q21" s="3">
        <v>22.041450000000001</v>
      </c>
      <c r="R21" s="3">
        <v>21.242380000000001</v>
      </c>
      <c r="S21" s="3">
        <v>22.411290000000001</v>
      </c>
      <c r="T21" s="3">
        <v>13.714370000000001</v>
      </c>
      <c r="U21" s="3">
        <v>5.7651339999999998</v>
      </c>
      <c r="V21" s="3">
        <v>11.41014</v>
      </c>
      <c r="W21" s="3">
        <v>13.05184</v>
      </c>
      <c r="X21" s="3">
        <f t="shared" si="2"/>
        <v>0.24180000000000135</v>
      </c>
      <c r="Y21" s="3">
        <f t="shared" si="3"/>
        <v>0.28110000000000213</v>
      </c>
      <c r="Z21" s="3">
        <f t="shared" si="4"/>
        <v>0.35903000000000063</v>
      </c>
      <c r="AA21" s="3">
        <f t="shared" si="5"/>
        <v>-0.11057999999999879</v>
      </c>
      <c r="AB21" s="3">
        <f t="shared" si="6"/>
        <v>0.25862099999999977</v>
      </c>
      <c r="AC21" s="3">
        <f t="shared" si="7"/>
        <v>-1.7310000000000159E-2</v>
      </c>
      <c r="AD21" s="3">
        <f t="shared" si="8"/>
        <v>0.18204000000000065</v>
      </c>
    </row>
    <row r="22" spans="1:31" x14ac:dyDescent="0.25">
      <c r="A22" s="2" t="s">
        <v>60</v>
      </c>
      <c r="B22" s="8">
        <v>1653895969.3899999</v>
      </c>
      <c r="C22" s="10">
        <v>1.5</v>
      </c>
      <c r="D22" s="23">
        <f>B22*(1+(C23/100))*(1+(C24/100))*(1+(C25/100))*(1+(C26/100))*(1+(C27/100))*(1+(C28/100))*(1+(C29/100))*(1+(C30/100))</f>
        <v>1802541119.6825449</v>
      </c>
      <c r="E22" s="3">
        <v>314673104.68000001</v>
      </c>
      <c r="F22" s="23">
        <f>E22*(1+(C23/100))*(1+(C24/100))*(1+(C25/100))*(1+(C26/100))*(1+(C27/100))*(1+(C28/100))*(1+(C29/100))*(1+(C30/100))</f>
        <v>342954587.79857367</v>
      </c>
      <c r="G22" s="3">
        <f t="shared" si="9"/>
        <v>0.58280909493413735</v>
      </c>
      <c r="H22" s="3"/>
      <c r="I22" s="3">
        <f t="shared" si="0"/>
        <v>5470053836.4200897</v>
      </c>
      <c r="J22" s="11">
        <v>1435300</v>
      </c>
      <c r="K22" s="8">
        <v>17.7</v>
      </c>
      <c r="L22" s="11">
        <v>1181300</v>
      </c>
      <c r="M22" s="3">
        <v>274.66666666666669</v>
      </c>
      <c r="N22" s="23">
        <f>M22*(1+(C23/100))*(1+(C24/100))*(1+(C25/100))*(1+(C26/100))*(1+(C27/100))*(1+(C28/100))*(1+(C29/100))*(1+(C30/100))</f>
        <v>299.35254093122364</v>
      </c>
      <c r="O22" s="8">
        <v>76117.903120000003</v>
      </c>
      <c r="P22" s="8">
        <v>533495.54509999999</v>
      </c>
      <c r="Q22" s="3">
        <v>21.312460000000002</v>
      </c>
      <c r="R22" s="3">
        <v>19.653110000000002</v>
      </c>
      <c r="S22" s="3">
        <v>22.399260000000002</v>
      </c>
      <c r="T22" s="3">
        <v>13.98213</v>
      </c>
      <c r="U22" s="3">
        <v>5.7016220000000004</v>
      </c>
      <c r="V22" s="3">
        <v>11.24004</v>
      </c>
      <c r="W22" s="3">
        <v>13.18721</v>
      </c>
      <c r="X22" s="3">
        <f t="shared" si="2"/>
        <v>0.2648299999999999</v>
      </c>
      <c r="Y22" s="3">
        <f t="shared" si="3"/>
        <v>0.45920000000000272</v>
      </c>
      <c r="Z22" s="3">
        <f t="shared" si="4"/>
        <v>0.36271000000000342</v>
      </c>
      <c r="AA22" s="3">
        <f t="shared" si="5"/>
        <v>0.19980999999999938</v>
      </c>
      <c r="AB22" s="3">
        <f t="shared" si="6"/>
        <v>0.27220800000000001</v>
      </c>
      <c r="AC22" s="3">
        <f t="shared" si="7"/>
        <v>-4.3229999999999436E-2</v>
      </c>
      <c r="AD22" s="3">
        <f t="shared" si="8"/>
        <v>5.0850000000000506E-2</v>
      </c>
    </row>
    <row r="23" spans="1:31" x14ac:dyDescent="0.25">
      <c r="A23" s="2" t="s">
        <v>61</v>
      </c>
      <c r="B23" s="8">
        <v>2554776418.25</v>
      </c>
      <c r="C23" s="10">
        <v>2.2000000000000002</v>
      </c>
      <c r="D23" s="23">
        <f>B23*(1+(C24/100))*(1+(C25/100))*(1+(C26/100))*(1+(C27/100))*(1+(C28/100))*(1+(C29/100))*(1+(C30/100))*(1+(C31/100))</f>
        <v>2776215526.9090204</v>
      </c>
      <c r="E23" s="3">
        <v>924003643.44000006</v>
      </c>
      <c r="F23" s="23">
        <f>E23*(1+(C24/100))*(1+(C25/100))*(1+(C26/100))*(1+(C27/100))*(1+(C28/100))*(1+(C29/100))*(1+(C30/100))*(1+(C31/100))</f>
        <v>1004093056.2510031</v>
      </c>
      <c r="G23" s="3">
        <f t="shared" si="9"/>
        <v>0.28738740721198797</v>
      </c>
      <c r="H23" s="3"/>
      <c r="I23" s="3">
        <f t="shared" si="0"/>
        <v>5799006978.3496866</v>
      </c>
      <c r="J23" s="11">
        <v>1431400</v>
      </c>
      <c r="K23" s="3">
        <v>17.3</v>
      </c>
      <c r="L23" s="11">
        <v>1184000</v>
      </c>
      <c r="M23" s="3">
        <v>293</v>
      </c>
      <c r="N23" s="23">
        <f>M23*(1+(C24/100))*(1+(C25/100))*(1+(C26/100))*(1+(C27/100))*(1+(C28/100))*(1+(C29/100))*(1+(C30/100))*(1+(C31/100))</f>
        <v>318.39621799137166</v>
      </c>
      <c r="O23" s="8">
        <v>87973.913</v>
      </c>
      <c r="P23" s="8">
        <v>242985.02116</v>
      </c>
      <c r="Q23" s="3">
        <v>21.744350000000001</v>
      </c>
      <c r="R23" s="3">
        <v>20.727350000000001</v>
      </c>
      <c r="S23" s="3">
        <v>22.460100000000001</v>
      </c>
      <c r="T23" s="3">
        <v>13.98441</v>
      </c>
      <c r="U23" s="3">
        <v>5.7632969999999997</v>
      </c>
      <c r="V23" s="3">
        <v>11.3848</v>
      </c>
      <c r="W23" s="3">
        <v>12.40075</v>
      </c>
      <c r="X23" s="3">
        <f t="shared" si="2"/>
        <v>0.20815999999999946</v>
      </c>
      <c r="Y23" s="3">
        <f t="shared" si="3"/>
        <v>0.25261000000000067</v>
      </c>
      <c r="Z23" s="3">
        <f t="shared" si="4"/>
        <v>0.35042999999999935</v>
      </c>
      <c r="AA23" s="3">
        <f t="shared" si="5"/>
        <v>0.15694000000000052</v>
      </c>
      <c r="AB23" s="3">
        <f t="shared" si="6"/>
        <v>0.26293899999999937</v>
      </c>
      <c r="AC23" s="3">
        <f t="shared" si="7"/>
        <v>-2.1950000000000358E-2</v>
      </c>
      <c r="AD23" s="3">
        <f t="shared" si="8"/>
        <v>-2.1229999999999194E-2</v>
      </c>
    </row>
    <row r="24" spans="1:31" x14ac:dyDescent="0.25">
      <c r="A24" s="2" t="s">
        <v>62</v>
      </c>
      <c r="B24" s="8">
        <v>4133348218.5000005</v>
      </c>
      <c r="C24" s="10">
        <v>3</v>
      </c>
      <c r="D24" s="23">
        <f>B24*(1+(C25/100))*(1+(C26/100))*(1+(C27/100))*(1+(C28/100))*(1+(C29/100))*(1+(C30/100))*(1+(C31/100))*(1+(C32/100))</f>
        <v>4413118226.9018698</v>
      </c>
      <c r="E24" s="3">
        <v>2001180029.78</v>
      </c>
      <c r="F24" s="23">
        <f>E24*(1+(C25/100))*(1+(C26/100))*(1+(C27/100))*(1+(C28/100))*(1+(C29/100))*(1+(C30/100))*(1+(C31/100))*(1+(C32/100))</f>
        <v>2136631998.5348566</v>
      </c>
      <c r="G24" s="3">
        <f t="shared" si="9"/>
        <v>0.54150097182547463</v>
      </c>
      <c r="H24" s="3"/>
      <c r="I24" s="3">
        <f t="shared" si="0"/>
        <v>6791035828.5531158</v>
      </c>
      <c r="J24" s="11">
        <v>1468800</v>
      </c>
      <c r="K24" s="3">
        <v>15.6</v>
      </c>
      <c r="L24" s="11">
        <v>1239200</v>
      </c>
      <c r="M24" s="3">
        <v>307.66666666666669</v>
      </c>
      <c r="N24" s="23">
        <f>M24*(1+(C25/100))*(1+(C26/100))*(1+(C27/100))*(1+(C28/100))*(1+(C29/100))*(1+(C30/100))*(1+(C31/100))*(1+(C32/100))</f>
        <v>328.49140761954624</v>
      </c>
      <c r="O24" s="8">
        <v>118322.84672</v>
      </c>
      <c r="P24" s="8">
        <v>339731.15500000003</v>
      </c>
      <c r="Q24" s="3">
        <v>22.207850000000001</v>
      </c>
      <c r="R24" s="3">
        <v>21.482500000000002</v>
      </c>
      <c r="S24" s="3">
        <v>22.62199</v>
      </c>
      <c r="T24" s="3">
        <v>14.02998</v>
      </c>
      <c r="U24" s="3">
        <v>5.794511</v>
      </c>
      <c r="V24" s="3">
        <v>11.68117</v>
      </c>
      <c r="W24" s="3">
        <v>12.735910000000001</v>
      </c>
      <c r="X24" s="3">
        <f t="shared" si="2"/>
        <v>0.22364999999999924</v>
      </c>
      <c r="Y24" s="3">
        <f t="shared" si="3"/>
        <v>0.43276000000000181</v>
      </c>
      <c r="Z24" s="3">
        <f t="shared" si="4"/>
        <v>0.3657199999999996</v>
      </c>
      <c r="AA24" s="3">
        <f t="shared" si="5"/>
        <v>0.2291799999999995</v>
      </c>
      <c r="AB24" s="3">
        <f t="shared" si="6"/>
        <v>0.20019800000000032</v>
      </c>
      <c r="AC24" s="3">
        <f t="shared" si="7"/>
        <v>0.15401999999999916</v>
      </c>
      <c r="AD24" s="3">
        <f t="shared" si="8"/>
        <v>0.39782000000000117</v>
      </c>
    </row>
    <row r="25" spans="1:31" x14ac:dyDescent="0.25">
      <c r="A25" s="2" t="s">
        <v>63</v>
      </c>
      <c r="B25" s="8">
        <v>3343877490.77</v>
      </c>
      <c r="C25" s="10">
        <v>1.3</v>
      </c>
      <c r="D25" s="23">
        <f>B25*(1+(C26/100))*(1+(C27/100))*(1+(C28/100))*(1+(C29/100))*(1+(C30/100))*(1+(C31/100))*(1+(C32/100))+(1+(C33/100))</f>
        <v>3524394221.2853322</v>
      </c>
      <c r="E25" s="3">
        <v>1413575055.05</v>
      </c>
      <c r="F25" s="23">
        <f>E25*(1+(C26/100))*(1+(C27/100))*(1+(C28/100))*(1+(C29/100))*(1+(C30/100))*(1+(C31/100))*(1+(C32/100))+(1+(C33/100))</f>
        <v>1489885849.914556</v>
      </c>
      <c r="G25" s="3">
        <f t="shared" si="9"/>
        <v>-0.11345087056916836</v>
      </c>
      <c r="H25" s="3"/>
      <c r="I25" s="3">
        <f t="shared" si="0"/>
        <v>7345415547.074193</v>
      </c>
      <c r="J25" s="11">
        <v>1313500</v>
      </c>
      <c r="K25" s="3">
        <v>14.7</v>
      </c>
      <c r="L25" s="11">
        <v>1119900</v>
      </c>
      <c r="M25" s="3">
        <v>332.33333333333331</v>
      </c>
      <c r="N25" s="23">
        <f>M25*(1+(C26/100))*(1+(C27/100))*(1+(C28/100))*(1+(C29/100))*(1+(C30/100))*(1+(C31/100))*(1+(C32/100))+(1+(C33/100))</f>
        <v>351.2971001826607</v>
      </c>
      <c r="O25" s="8">
        <v>117128.36332999999</v>
      </c>
      <c r="P25" s="8">
        <v>471132.77</v>
      </c>
      <c r="Q25" s="3">
        <v>21.982980000000001</v>
      </c>
      <c r="R25" s="3">
        <v>21.121970000000001</v>
      </c>
      <c r="S25" s="3">
        <v>22.702529999999999</v>
      </c>
      <c r="T25" s="3">
        <v>13.928750000000001</v>
      </c>
      <c r="U25" s="3">
        <v>5.8616320000000002</v>
      </c>
      <c r="V25" s="3">
        <v>11.67103</v>
      </c>
      <c r="W25" s="3">
        <v>13.062889999999999</v>
      </c>
      <c r="X25" s="3">
        <f t="shared" si="2"/>
        <v>-5.84699999999998E-2</v>
      </c>
      <c r="Y25" s="3">
        <f t="shared" si="3"/>
        <v>-0.12040999999999968</v>
      </c>
      <c r="Z25" s="3">
        <f t="shared" si="4"/>
        <v>0.29123999999999839</v>
      </c>
      <c r="AA25" s="3">
        <f t="shared" si="5"/>
        <v>0.21438000000000024</v>
      </c>
      <c r="AB25" s="3">
        <f t="shared" si="6"/>
        <v>9.6498000000000417E-2</v>
      </c>
      <c r="AC25" s="3">
        <f t="shared" si="7"/>
        <v>0.26088999999999984</v>
      </c>
      <c r="AD25" s="3">
        <f t="shared" si="8"/>
        <v>1.1049999999999116E-2</v>
      </c>
    </row>
    <row r="26" spans="1:31" x14ac:dyDescent="0.25">
      <c r="A26" s="2" t="s">
        <v>64</v>
      </c>
      <c r="B26" s="8">
        <v>1516665896.22</v>
      </c>
      <c r="C26" s="10">
        <v>0</v>
      </c>
      <c r="D26" s="23">
        <f>B26*(1+(C27/100))*(1+(C28/100))*(1+(C29/100))*(1+(C30/100))</f>
        <v>1550134375.8557782</v>
      </c>
      <c r="E26" s="3">
        <v>298644643.71000004</v>
      </c>
      <c r="F26" s="23">
        <f>E26*(1+(C27/100))*(1+(C28/100))*(1+(C29/100))*(1+(C30/100))</f>
        <v>305234877.06413126</v>
      </c>
      <c r="G26" s="3">
        <f t="shared" si="9"/>
        <v>-0.10998456377727828</v>
      </c>
      <c r="H26" s="3"/>
      <c r="I26" s="3">
        <f t="shared" si="0"/>
        <v>7161285695.9589615</v>
      </c>
      <c r="J26" s="11">
        <v>1403800</v>
      </c>
      <c r="K26" s="3">
        <v>19.899999999999999</v>
      </c>
      <c r="L26" s="11">
        <v>1124900</v>
      </c>
      <c r="M26" s="3">
        <v>297.66666666666669</v>
      </c>
      <c r="N26" s="23">
        <f>M26*(1+(C27/100))*(1+(C28/100))*(1+(C29/100))*(1+(C30/100))</f>
        <v>304.23531886384001</v>
      </c>
      <c r="O26" s="8">
        <v>68230.445849999989</v>
      </c>
      <c r="P26" s="8">
        <v>469505.49860000005</v>
      </c>
      <c r="Q26" s="3">
        <v>21.16161</v>
      </c>
      <c r="R26" s="3">
        <v>19.53659</v>
      </c>
      <c r="S26" s="3">
        <v>22.677530000000001</v>
      </c>
      <c r="T26" s="3">
        <v>13.933199999999999</v>
      </c>
      <c r="U26" s="3">
        <v>5.7178019999999998</v>
      </c>
      <c r="V26" s="3">
        <v>11.130649999999999</v>
      </c>
      <c r="W26" s="3">
        <v>13.059430000000001</v>
      </c>
      <c r="X26" s="3">
        <f t="shared" si="2"/>
        <v>-0.15085000000000193</v>
      </c>
      <c r="Y26" s="3">
        <f t="shared" si="3"/>
        <v>-0.11652000000000129</v>
      </c>
      <c r="Z26" s="3">
        <f t="shared" si="4"/>
        <v>0.27826999999999913</v>
      </c>
      <c r="AA26" s="3">
        <f t="shared" si="5"/>
        <v>-4.8930000000000362E-2</v>
      </c>
      <c r="AB26" s="3">
        <f t="shared" si="6"/>
        <v>1.6179999999999417E-2</v>
      </c>
      <c r="AC26" s="3">
        <f t="shared" si="7"/>
        <v>-0.10939000000000121</v>
      </c>
      <c r="AD26" s="3">
        <f t="shared" si="8"/>
        <v>-0.12777999999999956</v>
      </c>
    </row>
    <row r="27" spans="1:31" x14ac:dyDescent="0.25">
      <c r="A27" s="2" t="s">
        <v>65</v>
      </c>
      <c r="B27" s="8">
        <v>1779288687.6499999</v>
      </c>
      <c r="C27" s="10">
        <v>-0.6</v>
      </c>
      <c r="D27" s="23">
        <f>B27*(1+(C28/100))*(1+(C29/100))*(1+(C30/100))*(1+(C31/100))</f>
        <v>1864290743.3454373</v>
      </c>
      <c r="E27" s="3">
        <v>534014533.81999999</v>
      </c>
      <c r="F27" s="23">
        <f>E27*(1+(C28/100))*(1+(C29/100))*(1+(C30/100))*(1+(C31/100))</f>
        <v>559526039.32273698</v>
      </c>
      <c r="G27" s="3">
        <f t="shared" si="9"/>
        <v>-0.44275479664021633</v>
      </c>
      <c r="H27" s="3"/>
      <c r="I27" s="3">
        <f t="shared" si="0"/>
        <v>7138937034.7546549</v>
      </c>
      <c r="J27" s="11">
        <v>1375700</v>
      </c>
      <c r="K27" s="3">
        <v>19.100000000000001</v>
      </c>
      <c r="L27" s="11">
        <v>1113400</v>
      </c>
      <c r="M27" s="3">
        <v>268.33333333333331</v>
      </c>
      <c r="N27" s="23">
        <f>M27*(1+(C28/100))*(1+(C29/100))*(1+(C30/100))*(1+(C31/100))</f>
        <v>281.15243632840003</v>
      </c>
      <c r="O27" s="8">
        <v>81493.067379999993</v>
      </c>
      <c r="P27" s="8">
        <v>177825.45915000001</v>
      </c>
      <c r="Q27" s="3">
        <v>21.346150000000002</v>
      </c>
      <c r="R27" s="3">
        <v>20.142600000000002</v>
      </c>
      <c r="S27" s="3">
        <v>22.675090000000001</v>
      </c>
      <c r="T27" s="3">
        <v>13.922929999999999</v>
      </c>
      <c r="U27" s="3">
        <v>5.638897</v>
      </c>
      <c r="V27" s="3">
        <v>11.30827</v>
      </c>
      <c r="W27" s="3">
        <v>12.088559999999999</v>
      </c>
      <c r="X27" s="3">
        <f t="shared" si="2"/>
        <v>-0.39819999999999922</v>
      </c>
      <c r="Y27" s="3">
        <f t="shared" si="3"/>
        <v>-0.58474999999999966</v>
      </c>
      <c r="Z27" s="3">
        <f t="shared" si="4"/>
        <v>0.21499000000000024</v>
      </c>
      <c r="AA27" s="3">
        <f t="shared" si="5"/>
        <v>-6.1480000000001311E-2</v>
      </c>
      <c r="AB27" s="3">
        <f t="shared" si="6"/>
        <v>-0.12439999999999962</v>
      </c>
      <c r="AC27" s="3">
        <f t="shared" si="7"/>
        <v>-7.6529999999999987E-2</v>
      </c>
      <c r="AD27" s="3">
        <f t="shared" si="8"/>
        <v>-0.31219000000000108</v>
      </c>
    </row>
    <row r="28" spans="1:31" x14ac:dyDescent="0.25">
      <c r="A28" s="2" t="s">
        <v>66</v>
      </c>
      <c r="B28" s="8">
        <v>2630793318.8099999</v>
      </c>
      <c r="C28" s="10">
        <v>0.4</v>
      </c>
      <c r="D28" s="23">
        <f>B28*(1+(C29/100))*(1+(C30/100))*(1+(C31/100))*(1+(C32/100))</f>
        <v>2778438290.8340325</v>
      </c>
      <c r="E28" s="3">
        <v>1068186005.1700001</v>
      </c>
      <c r="F28" s="23">
        <f>E28*(1+(C29/100))*(1+(C30/100))*(1+(C31/100))*(1+(C32/100))</f>
        <v>1128134573.4296792</v>
      </c>
      <c r="G28" s="3">
        <f t="shared" si="9"/>
        <v>-0.47200333318827481</v>
      </c>
      <c r="H28" s="3"/>
      <c r="I28" s="3">
        <f t="shared" si="0"/>
        <v>7458870927.0747299</v>
      </c>
      <c r="J28" s="11">
        <v>1424100</v>
      </c>
      <c r="K28" s="3">
        <v>19.3</v>
      </c>
      <c r="L28" s="11">
        <v>1149000</v>
      </c>
      <c r="M28" s="3">
        <v>274.33333333333331</v>
      </c>
      <c r="N28" s="23">
        <f>M28*(1+(C29/100))*(1+(C30/100))*(1+(C31/100))*(1+(C32/100))</f>
        <v>289.72942584871993</v>
      </c>
      <c r="O28" s="8">
        <v>99061.964770000006</v>
      </c>
      <c r="P28" s="8">
        <v>205867.63910999999</v>
      </c>
      <c r="Q28" s="3">
        <v>21.745159999999998</v>
      </c>
      <c r="R28" s="3">
        <v>20.843830000000001</v>
      </c>
      <c r="S28" s="3">
        <v>22.720179999999999</v>
      </c>
      <c r="T28" s="3">
        <v>13.9544</v>
      </c>
      <c r="U28" s="3">
        <v>5.6689480000000003</v>
      </c>
      <c r="V28" s="3">
        <v>11.503500000000001</v>
      </c>
      <c r="W28" s="3">
        <v>12.23499</v>
      </c>
      <c r="X28" s="3">
        <f t="shared" si="2"/>
        <v>-0.46269000000000204</v>
      </c>
      <c r="Y28" s="3">
        <f t="shared" si="3"/>
        <v>-0.63867000000000118</v>
      </c>
      <c r="Z28" s="3">
        <f t="shared" si="4"/>
        <v>9.8189999999998889E-2</v>
      </c>
      <c r="AA28" s="3">
        <f t="shared" si="5"/>
        <v>-7.5580000000000425E-2</v>
      </c>
      <c r="AB28" s="3">
        <f t="shared" si="6"/>
        <v>-0.12556299999999965</v>
      </c>
      <c r="AC28" s="3">
        <f t="shared" si="7"/>
        <v>-0.17766999999999911</v>
      </c>
      <c r="AD28" s="3">
        <f t="shared" si="8"/>
        <v>-0.5009200000000007</v>
      </c>
    </row>
    <row r="29" spans="1:31" x14ac:dyDescent="0.25">
      <c r="A29" s="2" t="s">
        <v>67</v>
      </c>
      <c r="B29" s="8">
        <v>2622529114.7399998</v>
      </c>
      <c r="C29" s="10">
        <v>1.4</v>
      </c>
      <c r="D29" s="23">
        <f>B29*(1+(C30/100))*(1+(C31/100))*(1+(C32/100))*(1+(C33/100))</f>
        <v>2794293511.7693634</v>
      </c>
      <c r="E29" s="3">
        <v>1172259680.73</v>
      </c>
      <c r="F29" s="23">
        <f>E29*(1+(C30/100))*(1+(C31/100))*(1+(C32/100))*(1+(C33/100))</f>
        <v>1249037656.6505401</v>
      </c>
      <c r="G29" s="3">
        <f t="shared" si="9"/>
        <v>-0.16165546728148894</v>
      </c>
      <c r="H29" s="3"/>
      <c r="I29" s="3">
        <f t="shared" si="0"/>
        <v>7835349974.7113171</v>
      </c>
      <c r="J29" s="11">
        <v>1469800</v>
      </c>
      <c r="K29" s="3">
        <v>16.8</v>
      </c>
      <c r="L29" s="11">
        <v>1222700</v>
      </c>
      <c r="M29" s="3">
        <v>293.33333333333331</v>
      </c>
      <c r="N29" s="23">
        <f>M29*(1+(C30/100))*(1+(C31/100))*(1+(C32/100))*(1+(C33/100))</f>
        <v>312.54540722239994</v>
      </c>
      <c r="O29" s="8">
        <v>95701.884430000006</v>
      </c>
      <c r="P29" s="8">
        <v>373545.141</v>
      </c>
      <c r="Q29" s="3">
        <v>21.75084</v>
      </c>
      <c r="R29" s="3">
        <v>20.945640000000001</v>
      </c>
      <c r="S29" s="3">
        <v>22.770620000000001</v>
      </c>
      <c r="T29" s="3">
        <v>14.01657</v>
      </c>
      <c r="U29" s="3">
        <v>5.7447499999999998</v>
      </c>
      <c r="V29" s="27">
        <v>11.46899</v>
      </c>
      <c r="W29" s="27">
        <v>12.83079</v>
      </c>
      <c r="X29" s="27">
        <f t="shared" si="2"/>
        <v>-0.23214000000000112</v>
      </c>
      <c r="Y29" s="27">
        <f t="shared" si="3"/>
        <v>-0.1763300000000001</v>
      </c>
      <c r="Z29" s="27">
        <f t="shared" si="4"/>
        <v>6.8090000000001538E-2</v>
      </c>
      <c r="AA29" s="27">
        <f t="shared" si="5"/>
        <v>8.7819999999998899E-2</v>
      </c>
      <c r="AB29" s="27">
        <f t="shared" si="6"/>
        <v>-0.11688200000000037</v>
      </c>
      <c r="AC29" s="27">
        <f t="shared" si="7"/>
        <v>-0.20204000000000022</v>
      </c>
      <c r="AD29" s="27">
        <f t="shared" si="8"/>
        <v>-0.23209999999999908</v>
      </c>
    </row>
    <row r="30" spans="1:31" x14ac:dyDescent="0.25">
      <c r="A30" s="14" t="s">
        <v>68</v>
      </c>
      <c r="B30" s="9">
        <v>1417516688.3</v>
      </c>
      <c r="C30" s="16">
        <v>1</v>
      </c>
      <c r="D30" s="24">
        <v>1417516688.3</v>
      </c>
      <c r="E30" s="15">
        <v>273198831.5</v>
      </c>
      <c r="F30" s="15">
        <v>273198831.5</v>
      </c>
      <c r="G30" s="15">
        <f t="shared" si="9"/>
        <v>-0.10495539000086263</v>
      </c>
      <c r="H30" s="15"/>
      <c r="I30" s="15">
        <f t="shared" si="0"/>
        <v>7607501774.8757505</v>
      </c>
      <c r="J30" s="28">
        <v>1395800</v>
      </c>
      <c r="K30" s="27">
        <v>18.100000000000001</v>
      </c>
      <c r="L30" s="28">
        <v>1143600</v>
      </c>
      <c r="M30" s="15">
        <v>267.33333333333331</v>
      </c>
      <c r="N30" s="15">
        <v>267.33333333333331</v>
      </c>
      <c r="O30" s="8">
        <v>77894.71431000001</v>
      </c>
      <c r="P30" s="8">
        <v>419748.93</v>
      </c>
      <c r="Q30" s="27">
        <v>21.07217</v>
      </c>
      <c r="R30" s="27">
        <v>21.07217</v>
      </c>
      <c r="S30" s="27">
        <v>22.82864</v>
      </c>
      <c r="T30" s="27">
        <v>13.94969</v>
      </c>
      <c r="U30" s="27">
        <v>5.5884960000000001</v>
      </c>
      <c r="V30" s="27">
        <v>11.263109999999999</v>
      </c>
      <c r="W30" s="27">
        <v>12.94741</v>
      </c>
      <c r="X30" s="27">
        <f t="shared" si="2"/>
        <v>-8.9439999999999742E-2</v>
      </c>
      <c r="Y30" s="27">
        <f t="shared" si="3"/>
        <v>1.5355799999999995</v>
      </c>
      <c r="Z30" s="27">
        <f t="shared" si="4"/>
        <v>0.15110999999999919</v>
      </c>
      <c r="AA30" s="27">
        <f t="shared" si="5"/>
        <v>1.6490000000001004E-2</v>
      </c>
      <c r="AB30" s="27">
        <f t="shared" si="6"/>
        <v>-0.1293059999999997</v>
      </c>
      <c r="AC30" s="27">
        <f t="shared" si="7"/>
        <v>0.13246000000000002</v>
      </c>
      <c r="AD30" s="27">
        <f t="shared" si="8"/>
        <v>-0.11202000000000112</v>
      </c>
      <c r="AE30" s="9" t="s">
        <v>32</v>
      </c>
    </row>
    <row r="31" spans="1:31" x14ac:dyDescent="0.25">
      <c r="A31" s="14" t="s">
        <v>69</v>
      </c>
      <c r="B31" s="9">
        <v>1914208824.3900001</v>
      </c>
      <c r="C31" s="16">
        <v>1.9</v>
      </c>
      <c r="D31" s="24">
        <v>1914208824.3900001</v>
      </c>
      <c r="E31" s="15">
        <v>577795725.01999998</v>
      </c>
      <c r="F31" s="15">
        <v>577795725.01999998</v>
      </c>
      <c r="G31" s="15">
        <f t="shared" si="9"/>
        <v>3.2652074100746109E-2</v>
      </c>
      <c r="H31" s="15"/>
      <c r="I31" s="15">
        <f t="shared" si="0"/>
        <v>7573804121.1439629</v>
      </c>
      <c r="J31" s="28">
        <v>1522300</v>
      </c>
      <c r="K31" s="27">
        <v>19.5</v>
      </c>
      <c r="L31" s="28">
        <v>1225200</v>
      </c>
      <c r="M31" s="15">
        <v>276</v>
      </c>
      <c r="N31" s="15">
        <v>276</v>
      </c>
      <c r="O31" s="8">
        <v>92988.758140000005</v>
      </c>
      <c r="P31" s="8">
        <v>209705.29579999999</v>
      </c>
      <c r="Q31" s="27">
        <v>21.37257</v>
      </c>
      <c r="R31" s="27">
        <v>21.37257</v>
      </c>
      <c r="S31" s="27">
        <v>22.914719999999999</v>
      </c>
      <c r="T31" s="27">
        <v>14.018610000000001</v>
      </c>
      <c r="U31" s="27">
        <v>5.6204010000000002</v>
      </c>
      <c r="V31" s="27">
        <v>11.44023</v>
      </c>
      <c r="W31" s="27">
        <v>12.25346</v>
      </c>
      <c r="X31" s="27">
        <f t="shared" si="2"/>
        <v>2.6419999999998112E-2</v>
      </c>
      <c r="Y31" s="27">
        <f t="shared" si="3"/>
        <v>1.229969999999998</v>
      </c>
      <c r="Z31" s="27">
        <f t="shared" si="4"/>
        <v>0.23962999999999823</v>
      </c>
      <c r="AA31" s="27">
        <f t="shared" si="5"/>
        <v>9.5680000000001542E-2</v>
      </c>
      <c r="AB31" s="27">
        <f t="shared" si="6"/>
        <v>-1.8495999999999846E-2</v>
      </c>
      <c r="AC31" s="27">
        <f t="shared" si="7"/>
        <v>0.13195999999999941</v>
      </c>
      <c r="AD31" s="27">
        <f t="shared" si="8"/>
        <v>0.16490000000000116</v>
      </c>
    </row>
    <row r="32" spans="1:31" x14ac:dyDescent="0.25">
      <c r="A32" s="14" t="s">
        <v>70</v>
      </c>
      <c r="B32" s="9">
        <v>2869821659.6000004</v>
      </c>
      <c r="C32" s="16">
        <v>1.2</v>
      </c>
      <c r="D32" s="24">
        <v>2869821659.6000004</v>
      </c>
      <c r="E32" s="15">
        <v>982783206.08000004</v>
      </c>
      <c r="F32" s="15">
        <v>982783206.08000004</v>
      </c>
      <c r="G32" s="15">
        <f t="shared" si="9"/>
        <v>-0.12884222394478317</v>
      </c>
      <c r="H32" s="15"/>
      <c r="I32" s="15">
        <f t="shared" si="0"/>
        <v>7784783838.7347641</v>
      </c>
      <c r="J32" s="28">
        <v>1505400</v>
      </c>
      <c r="K32" s="27">
        <v>17.600000000000001</v>
      </c>
      <c r="L32" s="28">
        <v>1240000</v>
      </c>
      <c r="M32" s="15">
        <v>297.33333333333331</v>
      </c>
      <c r="N32" s="15">
        <v>297.33333333333331</v>
      </c>
      <c r="O32" s="8">
        <v>108592.31959</v>
      </c>
      <c r="P32" s="8">
        <v>250173.7188</v>
      </c>
      <c r="Q32" s="27">
        <v>21.777519999999999</v>
      </c>
      <c r="R32" s="27">
        <v>21.777519999999999</v>
      </c>
      <c r="S32" s="27">
        <v>23.047879999999999</v>
      </c>
      <c r="T32" s="27">
        <v>14.030620000000001</v>
      </c>
      <c r="U32" s="27">
        <v>5.6948540000000003</v>
      </c>
      <c r="V32" s="27">
        <v>11.595359999999999</v>
      </c>
      <c r="W32" s="27">
        <v>12.42991</v>
      </c>
      <c r="X32" s="27">
        <f t="shared" si="2"/>
        <v>3.236000000000061E-2</v>
      </c>
      <c r="Y32" s="27">
        <f t="shared" si="3"/>
        <v>0.93368999999999858</v>
      </c>
      <c r="Z32" s="27">
        <f t="shared" si="4"/>
        <v>0.3277000000000001</v>
      </c>
      <c r="AA32" s="27">
        <f t="shared" si="5"/>
        <v>7.6220000000001065E-2</v>
      </c>
      <c r="AB32" s="27">
        <f t="shared" si="6"/>
        <v>2.5905999999999985E-2</v>
      </c>
      <c r="AC32" s="27">
        <f t="shared" si="7"/>
        <v>9.185999999999872E-2</v>
      </c>
      <c r="AD32" s="27">
        <f t="shared" si="8"/>
        <v>0.19491999999999976</v>
      </c>
    </row>
    <row r="33" spans="1:30" x14ac:dyDescent="0.25">
      <c r="A33" s="14" t="s">
        <v>71</v>
      </c>
      <c r="B33" s="9">
        <v>3136211907.3400002</v>
      </c>
      <c r="C33" s="16">
        <v>2.2999999999999998</v>
      </c>
      <c r="D33" s="24">
        <v>3136211907.3400002</v>
      </c>
      <c r="E33" s="15">
        <v>1304536070.3199999</v>
      </c>
      <c r="F33" s="15">
        <v>1304536070.3199999</v>
      </c>
      <c r="G33" s="15">
        <f t="shared" si="9"/>
        <v>4.4432938730034843E-2</v>
      </c>
      <c r="H33" s="15"/>
      <c r="I33" s="15">
        <f t="shared" si="0"/>
        <v>8178266288.9900246</v>
      </c>
      <c r="J33" s="28">
        <v>1478600</v>
      </c>
      <c r="K33" s="27">
        <v>17.8</v>
      </c>
      <c r="L33" s="28">
        <v>1214700</v>
      </c>
      <c r="M33" s="15">
        <v>325.33333333333331</v>
      </c>
      <c r="N33" s="15">
        <v>325.33333333333331</v>
      </c>
      <c r="O33" s="8">
        <v>98210.299800000008</v>
      </c>
      <c r="P33" s="8">
        <v>416254.50920000003</v>
      </c>
      <c r="Q33" s="27">
        <v>21.86628</v>
      </c>
      <c r="R33" s="27">
        <v>21.86628</v>
      </c>
      <c r="S33" s="27">
        <v>23.173690000000001</v>
      </c>
      <c r="T33" s="27">
        <v>14.010009999999999</v>
      </c>
      <c r="U33" s="27">
        <v>5.7848499999999996</v>
      </c>
      <c r="V33" s="3">
        <v>11.494870000000001</v>
      </c>
      <c r="W33" s="3">
        <v>12.93905</v>
      </c>
      <c r="X33" s="3">
        <f t="shared" si="2"/>
        <v>0.11543999999999954</v>
      </c>
      <c r="Y33" s="3">
        <f t="shared" si="3"/>
        <v>0.92063999999999879</v>
      </c>
      <c r="Z33" s="3">
        <f t="shared" si="4"/>
        <v>0.4030699999999996</v>
      </c>
      <c r="AA33" s="3">
        <f t="shared" si="5"/>
        <v>-6.5600000000003433E-3</v>
      </c>
      <c r="AB33" s="3">
        <f t="shared" si="6"/>
        <v>4.0099999999999802E-2</v>
      </c>
      <c r="AC33" s="3">
        <f t="shared" si="7"/>
        <v>2.5880000000000791E-2</v>
      </c>
      <c r="AD33" s="3">
        <f t="shared" si="8"/>
        <v>0.10825999999999958</v>
      </c>
    </row>
    <row r="34" spans="1:30" x14ac:dyDescent="0.25">
      <c r="A34" s="2" t="s">
        <v>72</v>
      </c>
      <c r="B34" s="8">
        <v>1671967905.8799999</v>
      </c>
      <c r="C34" s="10">
        <v>2.2000000000000002</v>
      </c>
      <c r="D34" s="23">
        <f>B34/((1+(C34/100))*(1+(C33/100))*(1+(C32/100))*(1+(C31/100)))</f>
        <v>1550767571.1864214</v>
      </c>
      <c r="E34" s="3">
        <v>274815374.96999997</v>
      </c>
      <c r="F34" s="23">
        <f>E34/((1+(C34/100))*(1+(C33/100))*(1+(C32/100))*(1+(C31/100)))</f>
        <v>254894110.1489659</v>
      </c>
      <c r="G34" s="3">
        <f t="shared" si="9"/>
        <v>-6.7001462819338942E-2</v>
      </c>
      <c r="H34" s="3"/>
      <c r="I34" s="3">
        <f t="shared" si="0"/>
        <v>7922289440.6299019</v>
      </c>
      <c r="J34" s="11">
        <v>1456000</v>
      </c>
      <c r="K34" s="3">
        <v>20.7</v>
      </c>
      <c r="L34" s="11">
        <v>1154200</v>
      </c>
      <c r="M34" s="3">
        <v>295.66666666666669</v>
      </c>
      <c r="N34" s="23">
        <f>M34/((1+(C34/100))*(1+(C33/100))*(1+(C32/100))*(1+(C31/100)))</f>
        <v>274.23389942770831</v>
      </c>
      <c r="O34" s="8">
        <v>67644.329120000009</v>
      </c>
      <c r="P34" s="8">
        <v>449544.59100000001</v>
      </c>
      <c r="Q34" s="3">
        <v>21.162019999999998</v>
      </c>
      <c r="R34" s="3">
        <v>19.356359999999999</v>
      </c>
      <c r="S34" s="3">
        <v>23.136209999999998</v>
      </c>
      <c r="T34" s="3">
        <v>13.958920000000001</v>
      </c>
      <c r="U34" s="3">
        <v>5.6139809999999999</v>
      </c>
      <c r="V34" s="3">
        <v>11.122019999999999</v>
      </c>
      <c r="W34" s="3">
        <v>13.01599</v>
      </c>
      <c r="X34" s="3">
        <f t="shared" si="2"/>
        <v>8.9849999999998431E-2</v>
      </c>
      <c r="Y34" s="3">
        <f t="shared" si="3"/>
        <v>-1.7158100000000012</v>
      </c>
      <c r="Z34" s="3">
        <f t="shared" si="4"/>
        <v>0.30756999999999834</v>
      </c>
      <c r="AA34" s="3">
        <f t="shared" si="5"/>
        <v>9.2300000000005156E-3</v>
      </c>
      <c r="AB34" s="3">
        <f t="shared" si="6"/>
        <v>2.5484999999999758E-2</v>
      </c>
      <c r="AC34" s="3">
        <f t="shared" si="7"/>
        <v>-0.14109000000000016</v>
      </c>
      <c r="AD34" s="3">
        <f t="shared" si="8"/>
        <v>6.8580000000000751E-2</v>
      </c>
    </row>
    <row r="35" spans="1:30" x14ac:dyDescent="0.25">
      <c r="A35" s="2" t="s">
        <v>73</v>
      </c>
      <c r="B35" s="8">
        <v>2181092332.29</v>
      </c>
      <c r="C35" s="10">
        <v>2.7</v>
      </c>
      <c r="D35" s="23">
        <f>B35/((1+(C35/100))*(1+(C34/100))*(1+(C33/100))*(1+(C32/100)))</f>
        <v>2007227347.3478127</v>
      </c>
      <c r="E35" s="3">
        <v>514375015.76999998</v>
      </c>
      <c r="F35" s="23">
        <f>E35/((1+(C35/100))*(1+(C34/100))*(1+(C33/100))*(1+(C32/100)))</f>
        <v>473371797.77345097</v>
      </c>
      <c r="G35" s="3">
        <f t="shared" si="9"/>
        <v>-0.18072810636135195</v>
      </c>
      <c r="H35" s="3"/>
      <c r="I35" s="3">
        <f t="shared" si="0"/>
        <v>7810198047.2624769</v>
      </c>
      <c r="J35" s="11">
        <v>1491800</v>
      </c>
      <c r="K35" s="3">
        <v>19.2</v>
      </c>
      <c r="L35" s="11">
        <v>1205300</v>
      </c>
      <c r="M35" s="3">
        <v>302.66666666666669</v>
      </c>
      <c r="N35" s="23">
        <f>M35/((1+(C35/100))*(1+(C34/100))*(1+(C33/100))*(1+(C32/100)))</f>
        <v>278.53970300564123</v>
      </c>
      <c r="O35" s="8">
        <v>92038.917459999997</v>
      </c>
      <c r="P35" s="8">
        <v>279400.76</v>
      </c>
      <c r="Q35" s="3">
        <v>21.420020000000001</v>
      </c>
      <c r="R35" s="3">
        <v>19.975390000000001</v>
      </c>
      <c r="S35" s="3">
        <v>23.111339999999998</v>
      </c>
      <c r="T35" s="3">
        <v>14.00224</v>
      </c>
      <c r="U35" s="3">
        <v>5.6295599999999997</v>
      </c>
      <c r="V35" s="3">
        <v>11.429970000000001</v>
      </c>
      <c r="W35" s="3">
        <v>12.5404</v>
      </c>
      <c r="X35" s="3">
        <f t="shared" si="2"/>
        <v>4.7450000000001324E-2</v>
      </c>
      <c r="Y35" s="3">
        <f t="shared" si="3"/>
        <v>-1.3971799999999988</v>
      </c>
      <c r="Z35" s="3">
        <f t="shared" si="4"/>
        <v>0.19661999999999935</v>
      </c>
      <c r="AA35" s="3">
        <f t="shared" si="5"/>
        <v>-1.6370000000000218E-2</v>
      </c>
      <c r="AB35" s="3">
        <f t="shared" si="6"/>
        <v>9.1589999999994731E-3</v>
      </c>
      <c r="AC35" s="3">
        <f t="shared" si="7"/>
        <v>-1.0259999999998826E-2</v>
      </c>
      <c r="AD35" s="3">
        <f t="shared" si="8"/>
        <v>0.28693999999999953</v>
      </c>
    </row>
    <row r="36" spans="1:30" x14ac:dyDescent="0.25">
      <c r="A36" s="2" t="s">
        <v>74</v>
      </c>
      <c r="B36" s="8">
        <v>3107954419.1399999</v>
      </c>
      <c r="C36" s="10">
        <v>2.6</v>
      </c>
      <c r="D36" s="23">
        <f>B36/((1+(C34/100))*(1+(C35/100))*(1+(C33/100))*(1+(C36/100)))</f>
        <v>2821176820.9569058</v>
      </c>
      <c r="E36" s="3">
        <v>750600643.95999992</v>
      </c>
      <c r="F36" s="23">
        <f>E36/((1+(C34/100))*(1+(C35/100))*(1+(C33/100))*(1+(C36/100)))</f>
        <v>681341117.96955895</v>
      </c>
      <c r="G36" s="3">
        <f t="shared" si="9"/>
        <v>-0.30672287259852016</v>
      </c>
      <c r="H36" s="3"/>
      <c r="I36" s="3">
        <f t="shared" si="0"/>
        <v>7828492815.6810884</v>
      </c>
      <c r="J36" s="11">
        <v>1476600</v>
      </c>
      <c r="K36" s="3">
        <v>17.2</v>
      </c>
      <c r="L36" s="11">
        <v>1222800</v>
      </c>
      <c r="M36" s="3">
        <v>312.66666666666669</v>
      </c>
      <c r="N36" s="23">
        <f>M36/((1+(C34/100))*(1+(C35/100))*(1+(C33/100))*(1+(C36/100)))</f>
        <v>283.81624494027852</v>
      </c>
      <c r="O36" s="8">
        <v>102919.61491</v>
      </c>
      <c r="P36" s="8">
        <v>285390.18</v>
      </c>
      <c r="Q36" s="3">
        <v>21.76042</v>
      </c>
      <c r="R36" s="3">
        <v>20.339569999999998</v>
      </c>
      <c r="S36" s="3">
        <v>23.098790000000001</v>
      </c>
      <c r="T36" s="3">
        <v>14.01665</v>
      </c>
      <c r="U36" s="3">
        <v>5.6483270000000001</v>
      </c>
      <c r="V36" s="3">
        <v>11.541700000000001</v>
      </c>
      <c r="W36" s="3">
        <v>12.56161</v>
      </c>
      <c r="X36" s="3">
        <f t="shared" si="2"/>
        <v>-1.7099999999999227E-2</v>
      </c>
      <c r="Y36" s="3">
        <f t="shared" si="3"/>
        <v>-1.4379500000000007</v>
      </c>
      <c r="Z36" s="3">
        <f t="shared" si="4"/>
        <v>5.0910000000001787E-2</v>
      </c>
      <c r="AA36" s="3">
        <f t="shared" si="5"/>
        <v>-1.3970000000000482E-2</v>
      </c>
      <c r="AB36" s="3">
        <f t="shared" si="6"/>
        <v>-4.6527000000000207E-2</v>
      </c>
      <c r="AC36" s="3">
        <f t="shared" si="7"/>
        <v>-5.3659999999998931E-2</v>
      </c>
      <c r="AD36" s="3">
        <f t="shared" si="8"/>
        <v>0.13170000000000037</v>
      </c>
    </row>
    <row r="37" spans="1:30" x14ac:dyDescent="0.25">
      <c r="A37" s="2" t="s">
        <v>75</v>
      </c>
      <c r="B37" s="8">
        <v>3159189890.4300003</v>
      </c>
      <c r="C37" s="10">
        <v>0.6</v>
      </c>
      <c r="D37" s="23">
        <f>B37/((1+(C34/100))*(1+(C35/100))*(1+(C36/100))*(1+(C37/100)))</f>
        <v>2916144566.160078</v>
      </c>
      <c r="E37" s="3">
        <v>1092050080.54</v>
      </c>
      <c r="F37" s="23">
        <f>E37/((1+(C34/100))*(1+(C35/100))*(1+(C36/100))*(1+(C37/100)))</f>
        <v>1008035610.011382</v>
      </c>
      <c r="G37" s="3">
        <f t="shared" si="9"/>
        <v>-0.22728421778010865</v>
      </c>
      <c r="H37" s="3"/>
      <c r="I37" s="3">
        <f t="shared" si="0"/>
        <v>8041889540.903863</v>
      </c>
      <c r="J37" s="11">
        <v>1337800</v>
      </c>
      <c r="K37" s="3">
        <v>16.5</v>
      </c>
      <c r="L37" s="11">
        <v>1116900</v>
      </c>
      <c r="M37" s="3">
        <v>327.66666666666669</v>
      </c>
      <c r="N37" s="23">
        <f>M37/((1+(C34/100))*(1+(C35/100))*(1+(C36/100))*(1+(C37/100)))</f>
        <v>302.45835250559389</v>
      </c>
      <c r="O37" s="8">
        <v>94680.443880000006</v>
      </c>
      <c r="P37" s="8">
        <v>490295.38589999999</v>
      </c>
      <c r="Q37" s="3">
        <v>21.793530000000001</v>
      </c>
      <c r="R37" s="3">
        <v>20.731269999999999</v>
      </c>
      <c r="S37" s="3">
        <v>23.105</v>
      </c>
      <c r="T37" s="3">
        <v>13.926069999999999</v>
      </c>
      <c r="U37" s="3">
        <v>5.7119439999999999</v>
      </c>
      <c r="V37" s="3">
        <v>11.458259999999999</v>
      </c>
      <c r="W37" s="3">
        <v>13.10276</v>
      </c>
      <c r="X37" s="3">
        <f t="shared" si="2"/>
        <v>-7.2749999999999204E-2</v>
      </c>
      <c r="Y37" s="3">
        <f t="shared" si="3"/>
        <v>-1.1350100000000012</v>
      </c>
      <c r="Z37" s="3">
        <f t="shared" si="4"/>
        <v>-6.869000000000014E-2</v>
      </c>
      <c r="AA37" s="3">
        <f t="shared" si="5"/>
        <v>-8.3940000000000126E-2</v>
      </c>
      <c r="AB37" s="3">
        <f t="shared" si="6"/>
        <v>-7.2905999999999693E-2</v>
      </c>
      <c r="AC37" s="3">
        <f t="shared" si="7"/>
        <v>-3.6610000000001364E-2</v>
      </c>
      <c r="AD37" s="3">
        <f t="shared" si="8"/>
        <v>0.16371000000000002</v>
      </c>
    </row>
    <row r="38" spans="1:30" x14ac:dyDescent="0.25">
      <c r="A38" s="2" t="s">
        <v>76</v>
      </c>
      <c r="B38" s="8">
        <v>1696571143.24</v>
      </c>
      <c r="C38" s="10">
        <v>2.5</v>
      </c>
      <c r="D38" s="23">
        <f>B38/((1+(C31/100))*(1+(C32/100))*(1+(C33/100))*(1+(C38/100))*(1+(C37/100))*(1+(C36/100))*(1+(C35/100))*(1+(C34/100)))</f>
        <v>1448275551.4837847</v>
      </c>
      <c r="E38" s="3">
        <v>233120199.02000001</v>
      </c>
      <c r="F38" s="23">
        <f>E38/((1+(C31/100))*(1+(C32/100))*(1+(C33/100))*(1+(C38/100))*(1+(C37/100))*(1+(C36/100))*(1+(C35/100))*(1+(C34/100)))</f>
        <v>199002727.43819711</v>
      </c>
      <c r="G38" s="3">
        <f t="shared" si="9"/>
        <v>-0.21927294702143019</v>
      </c>
      <c r="H38" s="3"/>
      <c r="I38" s="3">
        <f t="shared" si="0"/>
        <v>7759196700.3215876</v>
      </c>
      <c r="J38" s="11">
        <v>1424100</v>
      </c>
      <c r="K38" s="3">
        <v>20.100000000000001</v>
      </c>
      <c r="L38" s="11">
        <v>1138500</v>
      </c>
      <c r="M38" s="3">
        <v>363.18598552333333</v>
      </c>
      <c r="N38" s="23">
        <f>M38/((1+(C31/100))*(1+(C32/100))*(1+(C33/100))*(1+(C38/100))*(1+(C37/100))*(1+(C36/100))*(1+(C35/100))*(1+(C34/100)))</f>
        <v>310.03320171441788</v>
      </c>
      <c r="O38" s="8">
        <v>82238.196640000009</v>
      </c>
      <c r="P38" s="8">
        <v>580284.33990000002</v>
      </c>
      <c r="Q38" s="3">
        <v>21.093640000000001</v>
      </c>
      <c r="R38" s="3">
        <v>19.108830000000001</v>
      </c>
      <c r="S38" s="3">
        <v>23.065249999999999</v>
      </c>
      <c r="T38" s="3">
        <v>13.945220000000001</v>
      </c>
      <c r="U38" s="3">
        <v>5.7366799999999998</v>
      </c>
      <c r="V38" s="3">
        <v>11.31738</v>
      </c>
      <c r="W38" s="3">
        <v>13.271269999999999</v>
      </c>
      <c r="X38" s="3">
        <f t="shared" ref="X38:X69" si="10" xml:space="preserve"> (Q38-Q34)</f>
        <v>-6.8379999999997665E-2</v>
      </c>
      <c r="Y38" s="3">
        <f t="shared" ref="Y38:Y69" si="11" xml:space="preserve"> (R38-R34)</f>
        <v>-0.24752999999999759</v>
      </c>
      <c r="Z38" s="3">
        <f t="shared" ref="Z38:Z69" si="12" xml:space="preserve"> (S38-S34)</f>
        <v>-7.0959999999999468E-2</v>
      </c>
      <c r="AA38" s="3">
        <f t="shared" ref="AA38:AA69" si="13" xml:space="preserve"> (T38-T34)</f>
        <v>-1.3700000000000045E-2</v>
      </c>
      <c r="AB38" s="3">
        <f t="shared" ref="AB38:AB69" si="14" xml:space="preserve"> (U38-U34)</f>
        <v>0.12269899999999989</v>
      </c>
      <c r="AC38" s="3">
        <f t="shared" ref="AC38:AC69" si="15" xml:space="preserve"> (V38-V34)</f>
        <v>0.19536000000000087</v>
      </c>
      <c r="AD38" s="3">
        <f t="shared" ref="AD38:AD69" si="16" xml:space="preserve"> (W38-W34)</f>
        <v>0.25527999999999906</v>
      </c>
    </row>
    <row r="39" spans="1:30" x14ac:dyDescent="0.25">
      <c r="A39" s="2" t="s">
        <v>77</v>
      </c>
      <c r="B39" s="8">
        <v>2207464199.5900002</v>
      </c>
      <c r="C39" s="10">
        <v>1.6</v>
      </c>
      <c r="D39" s="23">
        <f>B39/((1+(C34/100))*(1+(C32/100))*(1+(C33/100))*(1+(C39/100))*(1+(C38/100))*(1+(C37/100))*(1+(C36/100))*(1+(C35/100)))</f>
        <v>1889962854.1749308</v>
      </c>
      <c r="E39" s="3">
        <v>434485180.73999995</v>
      </c>
      <c r="F39" s="23">
        <f>E39/((1+(C34/100))*(1+(C32/100))*(1+(C33/100))*(1+(C39/100))*(1+(C38/100))*(1+(C37/100))*(1+(C36/100))*(1+(C35/100)))</f>
        <v>371992828.89416641</v>
      </c>
      <c r="G39" s="3">
        <f t="shared" si="9"/>
        <v>-0.21416351661871313</v>
      </c>
      <c r="H39" s="3"/>
      <c r="I39" s="3">
        <f t="shared" si="0"/>
        <v>7594432562.6420078</v>
      </c>
      <c r="J39" s="11">
        <v>1412700</v>
      </c>
      <c r="K39" s="3">
        <v>17.399999999999999</v>
      </c>
      <c r="L39" s="11">
        <v>1166500</v>
      </c>
      <c r="M39" s="3">
        <v>364.81579873000004</v>
      </c>
      <c r="N39" s="23">
        <f>M39/((1+(C34/100))*(1+(C32/100))*(1+(C33/100))*(1+(C39/100))*(1+(C38/100))*(1+(C37/100))*(1+(C36/100))*(1+(C35/100)))</f>
        <v>312.34404994831579</v>
      </c>
      <c r="O39" s="8">
        <v>72013.476939999993</v>
      </c>
      <c r="P39" s="8">
        <v>332467.17720999999</v>
      </c>
      <c r="Q39" s="3">
        <v>21.359819999999999</v>
      </c>
      <c r="R39" s="3">
        <v>19.734380000000002</v>
      </c>
      <c r="S39" s="3">
        <v>23.036300000000001</v>
      </c>
      <c r="T39" s="3">
        <v>13.969519999999999</v>
      </c>
      <c r="U39" s="3">
        <v>5.7441050000000002</v>
      </c>
      <c r="V39" s="3">
        <v>11.184609999999999</v>
      </c>
      <c r="W39" s="3">
        <v>12.7143</v>
      </c>
      <c r="X39" s="3">
        <f t="shared" si="10"/>
        <v>-6.0200000000001808E-2</v>
      </c>
      <c r="Y39" s="3">
        <f t="shared" si="11"/>
        <v>-0.24100999999999928</v>
      </c>
      <c r="Z39" s="3">
        <f t="shared" si="12"/>
        <v>-7.5039999999997775E-2</v>
      </c>
      <c r="AA39" s="3">
        <f t="shared" si="13"/>
        <v>-3.2720000000001193E-2</v>
      </c>
      <c r="AB39" s="3">
        <f t="shared" si="14"/>
        <v>0.11454500000000056</v>
      </c>
      <c r="AC39" s="3">
        <f t="shared" si="15"/>
        <v>-0.24536000000000158</v>
      </c>
      <c r="AD39" s="3">
        <f t="shared" si="16"/>
        <v>0.17389999999999972</v>
      </c>
    </row>
    <row r="40" spans="1:30" x14ac:dyDescent="0.25">
      <c r="A40" s="2" t="s">
        <v>78</v>
      </c>
      <c r="B40" s="8">
        <v>2964921056.5899997</v>
      </c>
      <c r="C40" s="10">
        <v>2.1</v>
      </c>
      <c r="D40" s="23">
        <f>B40/((1+(C34/100))*(1+(C35/100))*(1+(C33/100))*(1+(C40/100))*(1+(C39/100))*(1+(C38/100))*(1+(C37/100))*(1+(C36/100)))</f>
        <v>2516097721.0938697</v>
      </c>
      <c r="E40" s="3">
        <v>627114491.04999995</v>
      </c>
      <c r="F40" s="23">
        <f>E40/((1+(C34/100))*(1+(C35/100))*(1+(C33/100))*(1+(C40/100))*(1+(C39/100))*(1+(C38/100))*(1+(C37/100))*(1+(C36/100)))</f>
        <v>532183256.03940094</v>
      </c>
      <c r="G40" s="3">
        <f t="shared" si="9"/>
        <v>-0.21891803972532609</v>
      </c>
      <c r="H40" s="3"/>
      <c r="I40" s="3">
        <f t="shared" si="0"/>
        <v>7534020888.1335468</v>
      </c>
      <c r="J40" s="11">
        <v>1422300</v>
      </c>
      <c r="K40" s="3">
        <v>16</v>
      </c>
      <c r="L40" s="11">
        <v>1194200</v>
      </c>
      <c r="M40" s="3">
        <v>363.57196589666665</v>
      </c>
      <c r="N40" s="23">
        <f>M40/((1+(C34/100))*(1+(C35/100))*(1+(C33/100))*(1+(C40/100))*(1+(C39/100))*(1+(C38/100))*(1+(C37/100))*(1+(C36/100)))</f>
        <v>308.5352282189686</v>
      </c>
      <c r="O40" s="8">
        <v>94513.645860000004</v>
      </c>
      <c r="P40" s="8">
        <v>306461.53737999999</v>
      </c>
      <c r="Q40" s="3">
        <v>21.645980000000002</v>
      </c>
      <c r="R40" s="3">
        <v>20.092500000000001</v>
      </c>
      <c r="S40" s="3">
        <v>23.017720000000001</v>
      </c>
      <c r="T40" s="3">
        <v>13.992990000000001</v>
      </c>
      <c r="U40" s="3">
        <v>5.7318360000000004</v>
      </c>
      <c r="V40" s="3">
        <v>11.4565</v>
      </c>
      <c r="W40" s="3">
        <v>12.632849999999999</v>
      </c>
      <c r="X40" s="3">
        <f t="shared" si="10"/>
        <v>-0.11443999999999832</v>
      </c>
      <c r="Y40" s="3">
        <f t="shared" si="11"/>
        <v>-0.24706999999999724</v>
      </c>
      <c r="Z40" s="3">
        <f t="shared" si="12"/>
        <v>-8.107000000000042E-2</v>
      </c>
      <c r="AA40" s="3">
        <f t="shared" si="13"/>
        <v>-2.365999999999957E-2</v>
      </c>
      <c r="AB40" s="3">
        <f t="shared" si="14"/>
        <v>8.3509000000000277E-2</v>
      </c>
      <c r="AC40" s="3">
        <f t="shared" si="15"/>
        <v>-8.5200000000000387E-2</v>
      </c>
      <c r="AD40" s="3">
        <f t="shared" si="16"/>
        <v>7.1239999999999526E-2</v>
      </c>
    </row>
    <row r="41" spans="1:30" x14ac:dyDescent="0.25">
      <c r="A41" s="2" t="s">
        <v>79</v>
      </c>
      <c r="B41" s="8">
        <v>3045234001.29</v>
      </c>
      <c r="C41" s="10">
        <v>2.1</v>
      </c>
      <c r="D41" s="23">
        <f>B41/((1+(C34/100))*(1+(C35/100))*(1+(C36/100))*(1+(C41/100))*(1+(C40/100))*(1+(C39/100))*(1+(C38/100))*(1+(C37/100)))</f>
        <v>2589315265.9005075</v>
      </c>
      <c r="E41" s="3">
        <v>1033658913.8700001</v>
      </c>
      <c r="F41" s="23">
        <f>E41/((1+(C34/100))*(1+(C35/100))*(1+(C36/100))*(1+(C41/100))*(1+(C40/100))*(1+(C39/100))*(1+(C38/100))*(1+(C37/100)))</f>
        <v>878904151.30132616</v>
      </c>
      <c r="G41" s="3">
        <f t="shared" si="9"/>
        <v>-0.1281020803507108</v>
      </c>
      <c r="H41" s="3"/>
      <c r="I41" s="3">
        <f t="shared" si="0"/>
        <v>7684662334.5076656</v>
      </c>
      <c r="J41" s="11">
        <v>1414200</v>
      </c>
      <c r="K41" s="3">
        <v>15.7</v>
      </c>
      <c r="L41" s="11">
        <v>1192100</v>
      </c>
      <c r="M41" s="3">
        <v>393.28301019333338</v>
      </c>
      <c r="N41" s="23">
        <f>M41/((1+(C34/100))*(1+(C35/100))*(1+(C36/100))*(1+(C41/100))*(1+(C40/100))*(1+(C39/100))*(1+(C38/100))*(1+(C37/100)))</f>
        <v>334.40244712935817</v>
      </c>
      <c r="O41" s="8">
        <v>95720.394709999993</v>
      </c>
      <c r="P41" s="8">
        <v>569098.60830000008</v>
      </c>
      <c r="Q41" s="3">
        <v>21.674659999999999</v>
      </c>
      <c r="R41" s="3">
        <v>20.594190000000001</v>
      </c>
      <c r="S41" s="3">
        <v>23.020879999999998</v>
      </c>
      <c r="T41" s="3">
        <v>13.99123</v>
      </c>
      <c r="U41" s="3">
        <v>5.8123449999999997</v>
      </c>
      <c r="V41" s="3">
        <v>11.469189999999999</v>
      </c>
      <c r="W41" s="3">
        <v>13.251810000000001</v>
      </c>
      <c r="X41" s="3">
        <f t="shared" si="10"/>
        <v>-0.11887000000000114</v>
      </c>
      <c r="Y41" s="3">
        <f t="shared" si="11"/>
        <v>-0.13707999999999743</v>
      </c>
      <c r="Z41" s="3">
        <f t="shared" si="12"/>
        <v>-8.4120000000002193E-2</v>
      </c>
      <c r="AA41" s="3">
        <f t="shared" si="13"/>
        <v>6.5160000000000551E-2</v>
      </c>
      <c r="AB41" s="3">
        <f t="shared" si="14"/>
        <v>0.10040099999999974</v>
      </c>
      <c r="AC41" s="3">
        <f t="shared" si="15"/>
        <v>1.0930000000000106E-2</v>
      </c>
      <c r="AD41" s="3">
        <f t="shared" si="16"/>
        <v>0.14905000000000079</v>
      </c>
    </row>
    <row r="42" spans="1:30" x14ac:dyDescent="0.25">
      <c r="A42" s="2" t="s">
        <v>80</v>
      </c>
      <c r="B42" s="8">
        <v>1915400183.45</v>
      </c>
      <c r="C42" s="10">
        <v>1.6</v>
      </c>
      <c r="D42" s="23">
        <f>B42/((1+(C31/100))*(1+(C32/100))*(1+(C33/100))*(1+(C42/100))*(1+(C41/100))*(1+(C40/100))*(1+(C39/100))*(1+(C38/100))*(1+(C37/100))*(1+(C36/100))*(1+(C35/100))*(1+(C34/100)))</f>
        <v>1519496654.0792518</v>
      </c>
      <c r="E42" s="3">
        <v>232608290.78</v>
      </c>
      <c r="F42" s="23">
        <f>E42/((1+(C31/100))*(1+(C32/100))*(1+(C33/100))*(1+(C42/100))*(1+(C41/100))*(1+(C40/100))*(1+(C39/100))*(1+(C38/100))*(1+(C37/100))*(1+(C36/100))*(1+(C35/100))*(1+(C34/100)))</f>
        <v>184529333.66367203</v>
      </c>
      <c r="G42" s="3">
        <f t="shared" si="9"/>
        <v>-7.2729625170690038E-2</v>
      </c>
      <c r="H42" s="3"/>
      <c r="I42" s="3">
        <f t="shared" si="0"/>
        <v>7411146817.980485</v>
      </c>
      <c r="J42" s="11">
        <v>1359600</v>
      </c>
      <c r="K42" s="3">
        <v>16.899999999999999</v>
      </c>
      <c r="L42" s="11">
        <v>1129400</v>
      </c>
      <c r="M42" s="3">
        <v>360.33333333333331</v>
      </c>
      <c r="N42" s="23">
        <f>M42/((1+(C31/100))*(1+(C32/100))*(1+(C33/100))*(1+(C42/100))*(1+(C41/100))*(1+(C40/100))*(1+(C39/100))*(1+(C38/100))*(1+(C37/100))*(1+(C36/100))*(1+(C35/100))*(1+(C34/100)))</f>
        <v>285.85425598478668</v>
      </c>
      <c r="O42" s="8">
        <v>77567.117329999994</v>
      </c>
      <c r="P42" s="8">
        <v>567821.40049999999</v>
      </c>
      <c r="Q42" s="3">
        <v>21.141649999999998</v>
      </c>
      <c r="R42" s="3">
        <v>19.03332</v>
      </c>
      <c r="S42" s="3">
        <v>22.98124</v>
      </c>
      <c r="T42" s="3">
        <v>13.937200000000001</v>
      </c>
      <c r="U42" s="3">
        <v>5.6554820000000001</v>
      </c>
      <c r="V42" s="3">
        <v>11.258900000000001</v>
      </c>
      <c r="W42" s="3">
        <v>13.249560000000001</v>
      </c>
      <c r="X42" s="3">
        <f t="shared" si="10"/>
        <v>4.8009999999997888E-2</v>
      </c>
      <c r="Y42" s="3">
        <f t="shared" si="11"/>
        <v>-7.5510000000001298E-2</v>
      </c>
      <c r="Z42" s="3">
        <f t="shared" si="12"/>
        <v>-8.4009999999999252E-2</v>
      </c>
      <c r="AA42" s="3">
        <f t="shared" si="13"/>
        <v>-8.0200000000001381E-3</v>
      </c>
      <c r="AB42" s="3">
        <f t="shared" si="14"/>
        <v>-8.1197999999999659E-2</v>
      </c>
      <c r="AC42" s="3">
        <f t="shared" si="15"/>
        <v>-5.8479999999999421E-2</v>
      </c>
      <c r="AD42" s="3">
        <f t="shared" si="16"/>
        <v>-2.1709999999998786E-2</v>
      </c>
    </row>
    <row r="43" spans="1:30" x14ac:dyDescent="0.25">
      <c r="A43" s="2" t="s">
        <v>81</v>
      </c>
      <c r="B43" s="8">
        <v>2357456339.6900001</v>
      </c>
      <c r="C43" s="10">
        <v>1.2</v>
      </c>
      <c r="D43" s="23">
        <f>B43/((1+(C34/100))*(1+(C32/100))*(1+(C33/100))*(1+(C43/100))*(1+(C42/100))*(1+(C41/100))*(1+(C40/100))*(1+(C39/100))*(1+(C38/100))*(1+(C37/100))*(1+(C36/100))*(1+(C35/100)))</f>
        <v>1883118080.6200128</v>
      </c>
      <c r="E43" s="3">
        <v>428219758.23999995</v>
      </c>
      <c r="F43" s="23">
        <f>E43/((1+(C34/100))*(1+(C32/100))*(1+(C33/100))*(1+(C43/100))*(1+(C42/100))*(1+(C41/100))*(1+(C40/100))*(1+(C39/100))*(1+(C38/100))*(1+(C37/100))*(1+(C36/100))*(1+(C35/100)))</f>
        <v>342058665.36918038</v>
      </c>
      <c r="G43" s="3">
        <f t="shared" si="9"/>
        <v>-8.046973274719349E-2</v>
      </c>
      <c r="H43" s="3"/>
      <c r="I43" s="3">
        <f t="shared" si="0"/>
        <v>7245824676.302968</v>
      </c>
      <c r="J43" s="11">
        <v>1407900</v>
      </c>
      <c r="K43" s="3">
        <v>16.2</v>
      </c>
      <c r="L43" s="11">
        <v>1179800</v>
      </c>
      <c r="M43" s="3">
        <v>368.66666666666669</v>
      </c>
      <c r="N43" s="23">
        <f>M43/((1+(C34/100))*(1+(C32/100))*(1+(C33/100))*(1+(C43/100))*(1+(C42/100))*(1+(C41/100))*(1+(C40/100))*(1+(C39/100))*(1+(C38/100))*(1+(C37/100))*(1+(C36/100))*(1+(C35/100)))</f>
        <v>294.48811162848625</v>
      </c>
      <c r="O43" s="8">
        <v>71762.238890000008</v>
      </c>
      <c r="P43" s="8">
        <v>273563.51647999999</v>
      </c>
      <c r="Q43" s="3">
        <v>21.356200000000001</v>
      </c>
      <c r="R43" s="3">
        <v>19.650490000000001</v>
      </c>
      <c r="S43" s="3">
        <v>22.952279999999998</v>
      </c>
      <c r="T43" s="3">
        <v>13.98086</v>
      </c>
      <c r="U43" s="3">
        <v>5.6852390000000002</v>
      </c>
      <c r="V43" s="3">
        <v>11.18111</v>
      </c>
      <c r="W43" s="3">
        <v>12.51929</v>
      </c>
      <c r="X43" s="3">
        <f t="shared" si="10"/>
        <v>-3.6199999999979582E-3</v>
      </c>
      <c r="Y43" s="3">
        <f t="shared" si="11"/>
        <v>-8.3890000000000242E-2</v>
      </c>
      <c r="Z43" s="3">
        <f t="shared" si="12"/>
        <v>-8.4020000000002426E-2</v>
      </c>
      <c r="AA43" s="3">
        <f t="shared" si="13"/>
        <v>1.1340000000000572E-2</v>
      </c>
      <c r="AB43" s="3">
        <f t="shared" si="14"/>
        <v>-5.8866000000000085E-2</v>
      </c>
      <c r="AC43" s="3">
        <f t="shared" si="15"/>
        <v>-3.4999999999989484E-3</v>
      </c>
      <c r="AD43" s="3">
        <f t="shared" si="16"/>
        <v>-0.19500999999999991</v>
      </c>
    </row>
    <row r="44" spans="1:30" x14ac:dyDescent="0.25">
      <c r="A44" s="2" t="s">
        <v>82</v>
      </c>
      <c r="B44" s="8">
        <v>3335375005.8800001</v>
      </c>
      <c r="C44" s="10">
        <v>1.9</v>
      </c>
      <c r="D44" s="23">
        <f>B44/((1+(C34/100))*(1+(C35/100))*(1+(C33/100))*(1+(C44/100))*(1+(C43/100))*(1+(C42/100))*(1+(C41/100))*(1+(C40/100))*(1+(C39/100))*(1+(C38/100))*(1+(C37/100))*(1+(C36/100)))</f>
        <v>2645969863.2823715</v>
      </c>
      <c r="E44" s="3">
        <v>637798519.76999998</v>
      </c>
      <c r="F44" s="23">
        <f>E44/((1+(C34/100))*(1+(C35/100))*(1+(C33/100))*(1+(C44/100))*(1+(C43/100))*(1+(C42/100))*(1+(C41/100))*(1+(C40/100))*(1+(C39/100))*(1+(C38/100))*(1+(C37/100))*(1+(C36/100)))</f>
        <v>505968791.8697086</v>
      </c>
      <c r="G44" s="3">
        <f t="shared" si="9"/>
        <v>-4.9258340754244845E-2</v>
      </c>
      <c r="H44" s="3"/>
      <c r="I44" s="3">
        <f t="shared" si="0"/>
        <v>7187114717.6096449</v>
      </c>
      <c r="J44" s="11">
        <v>1397600</v>
      </c>
      <c r="K44" s="3">
        <v>15.4</v>
      </c>
      <c r="L44" s="11">
        <v>1182700</v>
      </c>
      <c r="M44" s="3">
        <v>392.66666666666669</v>
      </c>
      <c r="N44" s="23">
        <f>M44/((1+(C34/100))*(1+(C35/100))*(1+(C33/100))*(1+(C44/100))*(1+(C43/100))*(1+(C42/100))*(1+(C41/100))*(1+(C40/100))*(1+(C39/100))*(1+(C38/100))*(1+(C37/100))*(1+(C36/100)))</f>
        <v>311.50445286778802</v>
      </c>
      <c r="O44" s="8">
        <v>85208.206949999993</v>
      </c>
      <c r="P44" s="8">
        <v>308530.35639999999</v>
      </c>
      <c r="Q44" s="3">
        <v>21.696300000000001</v>
      </c>
      <c r="R44" s="3">
        <v>20.041989999999998</v>
      </c>
      <c r="S44" s="3">
        <v>22.934799999999999</v>
      </c>
      <c r="T44" s="3">
        <v>13.983309999999999</v>
      </c>
      <c r="U44" s="3">
        <v>5.7414139999999998</v>
      </c>
      <c r="V44" s="3">
        <v>11.35285</v>
      </c>
      <c r="W44" s="3">
        <v>12.63958</v>
      </c>
      <c r="X44" s="3">
        <f t="shared" si="10"/>
        <v>5.0319999999999254E-2</v>
      </c>
      <c r="Y44" s="3">
        <f t="shared" si="11"/>
        <v>-5.0510000000002719E-2</v>
      </c>
      <c r="Z44" s="3">
        <f t="shared" si="12"/>
        <v>-8.2920000000001437E-2</v>
      </c>
      <c r="AA44" s="3">
        <f t="shared" si="13"/>
        <v>-9.6800000000012432E-3</v>
      </c>
      <c r="AB44" s="3">
        <f t="shared" si="14"/>
        <v>9.5779999999994203E-3</v>
      </c>
      <c r="AC44" s="3">
        <f t="shared" si="15"/>
        <v>-0.10365000000000002</v>
      </c>
      <c r="AD44" s="3">
        <f t="shared" si="16"/>
        <v>6.7300000000010129E-3</v>
      </c>
    </row>
    <row r="45" spans="1:30" x14ac:dyDescent="0.25">
      <c r="A45" s="2" t="s">
        <v>83</v>
      </c>
      <c r="B45" s="8">
        <v>3527142196.5300002</v>
      </c>
      <c r="C45" s="10">
        <v>2.4</v>
      </c>
      <c r="D45" s="23">
        <f>B45/((1+(C34/100))*(1+(C35/100))*(1+(C36/100))*(1+(C45/100))*(1+(C44/100))*(1+(C43/100))*(1+(C42/100))*(1+(C41/100))*(1+(C40/100))*(1+(C39/100))*(1+(C38/100))*(1+(C37/100)))</f>
        <v>2795367226.3461032</v>
      </c>
      <c r="E45" s="3">
        <v>1067368752.74</v>
      </c>
      <c r="F45" s="23">
        <f>E45/((1+(C34/100))*(1+(C35/100))*(1+(C36/100))*(1+(C45/100))*(1+(C44/100))*(1+(C43/100))*(1+(C42/100))*(1+(C41/100))*(1+(C40/100))*(1+(C39/100))*(1+(C38/100))*(1+(C37/100)))</f>
        <v>845922127.20277131</v>
      </c>
      <c r="G45" s="3">
        <f t="shared" si="9"/>
        <v>-3.7526303692752894E-2</v>
      </c>
      <c r="H45" s="3"/>
      <c r="I45" s="3">
        <f t="shared" si="0"/>
        <v>7335312258.0508251</v>
      </c>
      <c r="J45" s="11">
        <v>1392200</v>
      </c>
      <c r="K45" s="3">
        <v>16.2</v>
      </c>
      <c r="L45" s="11">
        <v>1166700</v>
      </c>
      <c r="M45" s="3">
        <v>423</v>
      </c>
      <c r="N45" s="23">
        <f>M45/((1+(C34/100))*(1+(C35/100))*(1+(C36/100))*(1+(C45/100))*(1+(C44/100))*(1+(C43/100))*(1+(C42/100))*(1+(C41/100))*(1+(C40/100))*(1+(C39/100))*(1+(C38/100))*(1+(C37/100)))</f>
        <v>335.24033647060941</v>
      </c>
      <c r="O45" s="8">
        <v>90914.587170000013</v>
      </c>
      <c r="P45" s="8">
        <v>567815.22629999998</v>
      </c>
      <c r="Q45" s="3">
        <v>21.75123</v>
      </c>
      <c r="R45" s="3">
        <v>20.55594</v>
      </c>
      <c r="S45" s="3">
        <v>22.940380000000001</v>
      </c>
      <c r="T45" s="3">
        <v>13.96969</v>
      </c>
      <c r="U45" s="3">
        <v>5.8148470000000003</v>
      </c>
      <c r="V45" s="3">
        <v>11.417680000000001</v>
      </c>
      <c r="W45" s="3">
        <v>13.249549999999999</v>
      </c>
      <c r="X45" s="3">
        <f t="shared" si="10"/>
        <v>7.6570000000000249E-2</v>
      </c>
      <c r="Y45" s="3">
        <f t="shared" si="11"/>
        <v>-3.825000000000145E-2</v>
      </c>
      <c r="Z45" s="3">
        <f t="shared" si="12"/>
        <v>-8.0499999999997129E-2</v>
      </c>
      <c r="AA45" s="3">
        <f t="shared" si="13"/>
        <v>-2.1539999999999893E-2</v>
      </c>
      <c r="AB45" s="3">
        <f t="shared" si="14"/>
        <v>2.5020000000006704E-3</v>
      </c>
      <c r="AC45" s="3">
        <f t="shared" si="15"/>
        <v>-5.1509999999998612E-2</v>
      </c>
      <c r="AD45" s="3">
        <f t="shared" si="16"/>
        <v>-2.260000000001483E-3</v>
      </c>
    </row>
    <row r="46" spans="1:30" x14ac:dyDescent="0.25">
      <c r="A46" s="2" t="s">
        <v>84</v>
      </c>
      <c r="B46" s="8">
        <v>1982638646.6199999</v>
      </c>
      <c r="C46" s="10">
        <v>1.6</v>
      </c>
      <c r="D46" s="23">
        <f>B46/((1+(C31/100))*(1+(C32/100))*(1+(C33/100))*(1+(C46/100))*(1+(C45/100))*(1+(C44/100))*(1+(C43/100))*(1+(C42/100))*(1+(C41/100))*(1+(C40/100))*(1+(C39/100))*(1+(C38/100))*(1+(C37/100))*(1+(C36/100))*(1+(C35/100))*(1+(C34/100)))</f>
        <v>1466004926.477154</v>
      </c>
      <c r="E46" s="3">
        <v>264621981.58000001</v>
      </c>
      <c r="F46" s="23">
        <f>E46/((1+(C31/100))*(1+(C32/100))*(1+(C33/100))*(1+(C46/100))*(1+(C45/100))*(1+(C44/100))*(1+(C43/100))*(1+(C42/100))*(1+(C41/100))*(1+(C40/100))*(1+(C39/100))*(1+(C38/100))*(1+(C37/100))*(1+(C36/100))*(1+(C35/100))*(1+(C34/100)))</f>
        <v>195667087.0467402</v>
      </c>
      <c r="G46" s="3">
        <f t="shared" si="9"/>
        <v>6.0357630745950352E-2</v>
      </c>
      <c r="H46" s="3"/>
      <c r="I46" s="3">
        <f t="shared" si="0"/>
        <v>7085946897.3763285</v>
      </c>
      <c r="J46" s="11">
        <v>1430800</v>
      </c>
      <c r="K46" s="3">
        <v>17.7</v>
      </c>
      <c r="L46" s="11">
        <v>1176900</v>
      </c>
      <c r="M46" s="3">
        <v>384.66666666666669</v>
      </c>
      <c r="N46" s="23">
        <f>M46/((1+(C31/100))*(1+(C32/100))*(1+(C33/100))*(1+(C46/100))*(1+(C45/100))*(1+(C44/100))*(1+(C43/100))*(1+(C42/100))*(1+(C41/100))*(1+(C40/100))*(1+(C39/100))*(1+(C38/100))*(1+(C37/100))*(1+(C36/100))*(1+(C35/100))*(1+(C34/100)))</f>
        <v>284.43066483459017</v>
      </c>
      <c r="O46" s="8">
        <v>61390.616110000003</v>
      </c>
      <c r="P46" s="8">
        <v>551095.36230000004</v>
      </c>
      <c r="Q46" s="3">
        <v>21.105810000000002</v>
      </c>
      <c r="R46" s="3">
        <v>19.091919999999998</v>
      </c>
      <c r="S46" s="3">
        <v>22.902460000000001</v>
      </c>
      <c r="T46" s="3">
        <v>13.978389999999999</v>
      </c>
      <c r="U46" s="3">
        <v>5.6504890000000003</v>
      </c>
      <c r="V46" s="3">
        <v>11.02501</v>
      </c>
      <c r="W46" s="3">
        <v>13.219659999999999</v>
      </c>
      <c r="X46" s="3">
        <f t="shared" si="10"/>
        <v>-3.5839999999996763E-2</v>
      </c>
      <c r="Y46" s="3">
        <f t="shared" si="11"/>
        <v>5.8599999999998431E-2</v>
      </c>
      <c r="Z46" s="3">
        <f t="shared" si="12"/>
        <v>-7.8779999999998296E-2</v>
      </c>
      <c r="AA46" s="3">
        <f t="shared" si="13"/>
        <v>4.1189999999998506E-2</v>
      </c>
      <c r="AB46" s="3">
        <f t="shared" si="14"/>
        <v>-4.9929999999998032E-3</v>
      </c>
      <c r="AC46" s="3">
        <f t="shared" si="15"/>
        <v>-0.2338900000000006</v>
      </c>
      <c r="AD46" s="3">
        <f t="shared" si="16"/>
        <v>-2.990000000000137E-2</v>
      </c>
    </row>
    <row r="47" spans="1:30" x14ac:dyDescent="0.25">
      <c r="A47" s="2" t="s">
        <v>85</v>
      </c>
      <c r="B47" s="8">
        <v>2496332156.8400002</v>
      </c>
      <c r="C47" s="10">
        <v>2.2999999999999998</v>
      </c>
      <c r="D47" s="23">
        <f>B47/((1+(C34/100))*(1+(C32/100))*(1+(C33/100))*(1+(C47/100))*(1+(C46/100))*(1+(C45/100))*(1+(C44/100))*(1+(C43/100))*(1+(C42/100))*(1+(C41/100))*(1+(C40/100))*(1+(C39/100))*(1+(C38/100))*(1+(C37/100))*(1+(C36/100))*(1+(C35/100)))</f>
        <v>1838623403.2418387</v>
      </c>
      <c r="E47" s="3">
        <v>447143257.56</v>
      </c>
      <c r="F47" s="23">
        <f>E47/((1+(C34/100))*(1+(C32/100))*(1+(C33/100))*(1+(C47/100))*(1+(C46/100))*(1+(C45/100))*(1+(C44/100))*(1+(C43/100))*(1+(C42/100))*(1+(C41/100))*(1+(C40/100))*(1+(C39/100))*(1+(C38/100))*(1+(C37/100))*(1+(C36/100))*(1+(C35/100)))</f>
        <v>329334401.95406765</v>
      </c>
      <c r="G47" s="3">
        <f t="shared" si="9"/>
        <v>-3.7199067596722202E-2</v>
      </c>
      <c r="H47" s="3"/>
      <c r="I47" s="3">
        <f t="shared" si="0"/>
        <v>6929250193.6799526</v>
      </c>
      <c r="J47" s="11">
        <v>1433200</v>
      </c>
      <c r="K47" s="3">
        <v>17.5</v>
      </c>
      <c r="L47" s="11">
        <v>1182900</v>
      </c>
      <c r="M47" s="3">
        <v>397</v>
      </c>
      <c r="N47" s="23">
        <f>M47/((1+(C34/100))*(1+(C32/100))*(1+(C33/100))*(1+(C47/100))*(1+(C46/100))*(1+(C45/100))*(1+(C44/100))*(1+(C43/100))*(1+(C42/100))*(1+(C41/100))*(1+(C40/100))*(1+(C39/100))*(1+(C38/100))*(1+(C37/100))*(1+(C36/100))*(1+(C35/100)))</f>
        <v>292.40239087854457</v>
      </c>
      <c r="O47" s="8">
        <v>85002.915099999998</v>
      </c>
      <c r="P47" s="8">
        <v>282590.03240999999</v>
      </c>
      <c r="Q47" s="3">
        <v>21.332280000000001</v>
      </c>
      <c r="R47" s="3">
        <v>19.612590000000001</v>
      </c>
      <c r="S47" s="3">
        <v>22.874420000000001</v>
      </c>
      <c r="T47" s="3">
        <v>13.98348</v>
      </c>
      <c r="U47" s="3">
        <v>5.6781309999999996</v>
      </c>
      <c r="V47" s="3">
        <v>11.350440000000001</v>
      </c>
      <c r="W47" s="3">
        <v>12.55175</v>
      </c>
      <c r="X47" s="3">
        <f t="shared" si="10"/>
        <v>-2.3920000000000385E-2</v>
      </c>
      <c r="Y47" s="3">
        <f t="shared" si="11"/>
        <v>-3.7900000000000489E-2</v>
      </c>
      <c r="Z47" s="3">
        <f t="shared" si="12"/>
        <v>-7.7859999999997598E-2</v>
      </c>
      <c r="AA47" s="3">
        <f t="shared" si="13"/>
        <v>2.6200000000002888E-3</v>
      </c>
      <c r="AB47" s="3">
        <f t="shared" si="14"/>
        <v>-7.1080000000005583E-3</v>
      </c>
      <c r="AC47" s="3">
        <f t="shared" si="15"/>
        <v>0.16933000000000042</v>
      </c>
      <c r="AD47" s="3">
        <f t="shared" si="16"/>
        <v>3.2460000000000377E-2</v>
      </c>
    </row>
    <row r="48" spans="1:30" x14ac:dyDescent="0.25">
      <c r="A48" s="2" t="s">
        <v>86</v>
      </c>
      <c r="B48" s="8">
        <v>3534101548.21</v>
      </c>
      <c r="C48" s="10">
        <v>1.7</v>
      </c>
      <c r="D48" s="23">
        <f>B48/((1+(C34/100))*(1+(C35/100))*(1+(C33/100))*(1+(C48/100))*(1+(C47/100))*(1+(C46/100))*(1+(C45/100))*(1+(C44/100))*(1+(C43/100))*(1+(C42/100))*(1+(C41/100))*(1+(C40/100))*(1+(C39/100))*(1+(C38/100))*(1+(C37/100))*(1+(C36/100)))</f>
        <v>2590174339.0369263</v>
      </c>
      <c r="E48" s="3">
        <v>621109243.58000004</v>
      </c>
      <c r="F48" s="23">
        <f>E48/((1+(C34/100))*(1+(C35/100))*(1+(C33/100))*(1+(C48/100))*(1+(C47/100))*(1+(C46/100))*(1+(C45/100))*(1+(C44/100))*(1+(C43/100))*(1+(C42/100))*(1+(C41/100))*(1+(C40/100))*(1+(C39/100))*(1+(C38/100))*(1+(C37/100))*(1+(C36/100)))</f>
        <v>455216468.03680253</v>
      </c>
      <c r="G48" s="3">
        <f t="shared" si="9"/>
        <v>-0.10030722180583662</v>
      </c>
      <c r="H48" s="3"/>
      <c r="I48" s="3">
        <f t="shared" si="0"/>
        <v>6855917564.8180361</v>
      </c>
      <c r="J48" s="11">
        <v>1391700</v>
      </c>
      <c r="K48" s="3">
        <v>17.100000000000001</v>
      </c>
      <c r="L48" s="11">
        <v>1153000</v>
      </c>
      <c r="M48" s="3">
        <v>427.33333333333331</v>
      </c>
      <c r="N48" s="23">
        <f>M48/((1+(C34/100))*(1+(C35/100))*(1+(C33/100))*(1+(C48/100))*(1+(C47/100))*(1+(C46/100))*(1+(C45/100))*(1+(C44/100))*(1+(C43/100))*(1+(C42/100))*(1+(C41/100))*(1+(C40/100))*(1+(C39/100))*(1+(C38/100))*(1+(C37/100))*(1+(C36/100)))</f>
        <v>313.19638644105589</v>
      </c>
      <c r="O48" s="8">
        <v>92196.144809999998</v>
      </c>
      <c r="P48" s="8">
        <v>312937.95163999998</v>
      </c>
      <c r="Q48" s="3">
        <v>21.674990000000001</v>
      </c>
      <c r="R48" s="3">
        <v>19.93628</v>
      </c>
      <c r="S48" s="3">
        <v>22.85604</v>
      </c>
      <c r="T48" s="3">
        <v>13.957879999999999</v>
      </c>
      <c r="U48" s="3">
        <v>5.7468300000000001</v>
      </c>
      <c r="V48" s="3">
        <v>11.43167</v>
      </c>
      <c r="W48" s="3">
        <v>12.65376</v>
      </c>
      <c r="X48" s="3">
        <f t="shared" si="10"/>
        <v>-2.1309999999999718E-2</v>
      </c>
      <c r="Y48" s="3">
        <f t="shared" si="11"/>
        <v>-0.10570999999999842</v>
      </c>
      <c r="Z48" s="3">
        <f t="shared" si="12"/>
        <v>-7.8759999999999053E-2</v>
      </c>
      <c r="AA48" s="3">
        <f t="shared" si="13"/>
        <v>-2.5430000000000064E-2</v>
      </c>
      <c r="AB48" s="3">
        <f t="shared" si="14"/>
        <v>5.4160000000003095E-3</v>
      </c>
      <c r="AC48" s="3">
        <f t="shared" si="15"/>
        <v>7.8820000000000334E-2</v>
      </c>
      <c r="AD48" s="3">
        <f t="shared" si="16"/>
        <v>1.4179999999999637E-2</v>
      </c>
    </row>
    <row r="49" spans="1:30" x14ac:dyDescent="0.25">
      <c r="A49" s="2" t="s">
        <v>87</v>
      </c>
      <c r="B49" s="8">
        <v>3572520409.0699997</v>
      </c>
      <c r="C49" s="10">
        <v>0.6</v>
      </c>
      <c r="D49" s="23">
        <f>B49/((1+(C34/100))*(1+(C35/100))*(1+(C36/100))*(1+(C49/100))*(1+(C48/100))*(1+(C47/100))*(1+(C46/100))*(1+(C45/100))*(1+(C44/100))*(1+(C43/100))*(1+(C42/100))*(1+(C41/100))*(1+(C40/100))*(1+(C39/100))*(1+(C38/100))*(1+(C37/100)))</f>
        <v>2662578027.2521415</v>
      </c>
      <c r="E49" s="3">
        <v>970927460.60000002</v>
      </c>
      <c r="F49" s="23">
        <f>E49/((1+(C34/100))*(1+(C35/100))*(1+(C36/100))*(1+(C49/100))*(1+(C48/100))*(1+(C47/100))*(1+(C46/100))*(1+(C45/100))*(1+(C44/100))*(1+(C43/100))*(1+(C42/100))*(1+(C41/100))*(1+(C40/100))*(1+(C39/100))*(1+(C38/100))*(1+(C37/100)))</f>
        <v>723626411.22664773</v>
      </c>
      <c r="G49" s="3">
        <f t="shared" si="9"/>
        <v>-0.14457089138987467</v>
      </c>
      <c r="H49" s="3"/>
      <c r="I49" s="3">
        <f t="shared" si="0"/>
        <v>6947297533.3131227</v>
      </c>
      <c r="J49" s="11">
        <v>1352000</v>
      </c>
      <c r="K49" s="3">
        <v>17.8</v>
      </c>
      <c r="L49" s="11">
        <v>1111700</v>
      </c>
      <c r="M49" s="3">
        <v>434.66666666666669</v>
      </c>
      <c r="N49" s="23">
        <f>M49/((1+(C34/100))*(1+(C35/100))*(1+(C36/100))*(1+(C49/100))*(1+(C48/100))*(1+(C47/100))*(1+(C46/100))*(1+(C45/100))*(1+(C44/100))*(1+(C43/100))*(1+(C42/100))*(1+(C41/100))*(1+(C40/100))*(1+(C39/100))*(1+(C38/100))*(1+(C37/100)))</f>
        <v>323.9544588485291</v>
      </c>
      <c r="O49" s="8">
        <v>84024.254030000011</v>
      </c>
      <c r="P49" s="8">
        <v>565778.49080000003</v>
      </c>
      <c r="Q49" s="3">
        <v>21.702559999999998</v>
      </c>
      <c r="R49" s="3">
        <v>20.399789999999999</v>
      </c>
      <c r="S49" s="3">
        <v>22.857489999999999</v>
      </c>
      <c r="T49" s="3">
        <v>13.9214</v>
      </c>
      <c r="U49" s="3">
        <v>5.7806030000000002</v>
      </c>
      <c r="V49" s="3">
        <v>11.33886</v>
      </c>
      <c r="W49" s="3">
        <v>13.24596</v>
      </c>
      <c r="X49" s="3">
        <f t="shared" si="10"/>
        <v>-4.8670000000001323E-2</v>
      </c>
      <c r="Y49" s="3">
        <f t="shared" si="11"/>
        <v>-0.15615000000000023</v>
      </c>
      <c r="Z49" s="3">
        <f t="shared" si="12"/>
        <v>-8.2890000000002573E-2</v>
      </c>
      <c r="AA49" s="3">
        <f t="shared" si="13"/>
        <v>-4.8289999999999722E-2</v>
      </c>
      <c r="AB49" s="3">
        <f t="shared" si="14"/>
        <v>-3.4244000000000163E-2</v>
      </c>
      <c r="AC49" s="3">
        <f t="shared" si="15"/>
        <v>-7.8820000000000334E-2</v>
      </c>
      <c r="AD49" s="3">
        <f t="shared" si="16"/>
        <v>-3.5899999999990939E-3</v>
      </c>
    </row>
    <row r="50" spans="1:30" x14ac:dyDescent="0.25">
      <c r="A50" s="2" t="s">
        <v>88</v>
      </c>
      <c r="B50" s="8">
        <v>1842767501.0600002</v>
      </c>
      <c r="C50" s="10">
        <v>-0.4</v>
      </c>
      <c r="D50" s="23">
        <f>B50/((1+(C31/100))*(1+(C32/100))*(1+(C33/100))*(1+(C50/100))*(1+(C49/100))*(1+(C48/100))*(1+(C47/100))*(1+(C46/100))*(1+(C45/100))*(1+(C44/100))*(1+(C43/100))*(1+(C42/100))*(1+(C41/100))*(1+(C40/100))*(1+(C39/100))*(1+(C38/100))*(1+(C37/100))*(1+(C36/100))*(1+(C35/100))*(1+(C34/100)))</f>
        <v>1307099056.0014501</v>
      </c>
      <c r="E50" s="3">
        <v>229283073.33000001</v>
      </c>
      <c r="F50" s="23">
        <f>E50/((1+(C31/100))*(1+(C32/100))*(1+(C33/100))*(1+(C50/100))*(1+(C49/100))*(1+(C48/100))*(1+(C47/100))*(1+(C46/100))*(1+(C45/100))*(1+(C44/100))*(1+(C43/100))*(1+(C42/100))*(1+(C41/100))*(1+(C40/100))*(1+(C39/100))*(1+(C38/100))*(1+(C37/100))*(1+(C36/100))*(1+(C35/100))*(1+(C34/100)))</f>
        <v>162633478.46885878</v>
      </c>
      <c r="G50" s="3">
        <f t="shared" si="9"/>
        <v>-0.16882557550412391</v>
      </c>
      <c r="H50" s="3"/>
      <c r="I50" s="3">
        <f t="shared" si="0"/>
        <v>6697512743.7287817</v>
      </c>
      <c r="J50" s="11">
        <v>1367300</v>
      </c>
      <c r="K50" s="3">
        <v>19.600000000000001</v>
      </c>
      <c r="L50" s="11">
        <v>1099200</v>
      </c>
      <c r="M50" s="3">
        <v>368</v>
      </c>
      <c r="N50" s="23">
        <f>M50/((1+(C31/100))*(1+(C32/100))*(1+(C33/100))*(1+(C50/100))*(1+(C49/100))*(1+(C48/100))*(1+(C47/100))*(1+(C46/100))*(1+(C45/100))*(1+(C44/100))*(1+(C43/100))*(1+(C42/100))*(1+(C41/100))*(1+(C40/100))*(1+(C39/100))*(1+(C38/100))*(1+(C37/100))*(1+(C36/100))*(1+(C35/100))*(1+(C34/100)))</f>
        <v>261.02720627091844</v>
      </c>
      <c r="O50" s="8">
        <v>66583.493050000005</v>
      </c>
      <c r="P50" s="8">
        <v>538711.58639999991</v>
      </c>
      <c r="Q50" s="3">
        <v>20.99108</v>
      </c>
      <c r="R50" s="3">
        <v>18.90701</v>
      </c>
      <c r="S50" s="3">
        <v>22.818280000000001</v>
      </c>
      <c r="T50" s="3">
        <v>13.91009</v>
      </c>
      <c r="U50" s="3">
        <v>5.5646250000000004</v>
      </c>
      <c r="V50" s="3">
        <v>11.106210000000001</v>
      </c>
      <c r="W50" s="3">
        <v>13.19694</v>
      </c>
      <c r="X50" s="3">
        <f t="shared" si="10"/>
        <v>-0.11473000000000155</v>
      </c>
      <c r="Y50" s="3">
        <f t="shared" si="11"/>
        <v>-0.18490999999999858</v>
      </c>
      <c r="Z50" s="3">
        <f t="shared" si="12"/>
        <v>-8.4179999999999922E-2</v>
      </c>
      <c r="AA50" s="3">
        <f t="shared" si="13"/>
        <v>-6.8299999999998917E-2</v>
      </c>
      <c r="AB50" s="3">
        <f t="shared" si="14"/>
        <v>-8.586399999999994E-2</v>
      </c>
      <c r="AC50" s="3">
        <f t="shared" si="15"/>
        <v>8.1200000000000827E-2</v>
      </c>
      <c r="AD50" s="3">
        <f t="shared" si="16"/>
        <v>-2.2719999999999629E-2</v>
      </c>
    </row>
    <row r="51" spans="1:30" x14ac:dyDescent="0.25">
      <c r="A51" s="2" t="s">
        <v>89</v>
      </c>
      <c r="B51" s="8">
        <v>2319609539.5999999</v>
      </c>
      <c r="C51" s="10">
        <v>2.2000000000000002</v>
      </c>
      <c r="D51" s="23">
        <f>B51/((1+(C34/100))*(1+(C32/100))*(1+(C33/100))*(1+(C51/100))*(1+(C50/100))*(1+(C49/100))*(1+(C48/100))*(1+(C47/100))*(1+(C46/100))*(1+(C45/100))*(1+(C44/100))*(1+(C43/100))*(1+(C42/100))*(1+(C41/100))*(1+(C40/100))*(1+(C39/100))*(1+(C38/100))*(1+(C37/100))*(1+(C36/100))*(1+(C35/100)))</f>
        <v>1640499607.8624105</v>
      </c>
      <c r="E51" s="3">
        <v>417824084.02999997</v>
      </c>
      <c r="F51" s="23">
        <f>E51/((1+(C34/100))*(1+(C32/100))*(1+(C33/100))*(1+(C51/100))*(1+(C50/100))*(1+(C49/100))*(1+(C48/100))*(1+(C47/100))*(1+(C46/100))*(1+(C45/100))*(1+(C44/100))*(1+(C43/100))*(1+(C42/100))*(1+(C41/100))*(1+(C40/100))*(1+(C39/100))*(1+(C38/100))*(1+(C37/100))*(1+(C36/100))*(1+(C35/100)))</f>
        <v>295498114.7925806</v>
      </c>
      <c r="G51" s="3">
        <f t="shared" si="9"/>
        <v>-0.10274142926072505</v>
      </c>
      <c r="H51" s="3"/>
      <c r="I51" s="3">
        <f t="shared" si="0"/>
        <v>6539935975.4178905</v>
      </c>
      <c r="J51" s="11">
        <v>1321500</v>
      </c>
      <c r="K51" s="3">
        <v>18</v>
      </c>
      <c r="L51" s="11">
        <v>1083500</v>
      </c>
      <c r="M51" s="3">
        <v>379.66666666666669</v>
      </c>
      <c r="N51" s="23">
        <f>M51/((1+(C34/100))*(1+(C32/100))*(1+(C33/100))*(1+(C51/100))*(1+(C50/100))*(1+(C49/100))*(1+(C48/100))*(1+(C47/100))*(1+(C46/100))*(1+(C45/100))*(1+(C44/100))*(1+(C43/100))*(1+(C42/100))*(1+(C41/100))*(1+(C40/100))*(1+(C39/100))*(1+(C38/100))*(1+(C37/100))*(1+(C36/100))*(1+(C35/100)))</f>
        <v>268.51200909119387</v>
      </c>
      <c r="O51" s="8">
        <v>70093.773619999993</v>
      </c>
      <c r="P51" s="8">
        <v>223498.11425000001</v>
      </c>
      <c r="Q51" s="3">
        <v>21.21827</v>
      </c>
      <c r="R51" s="3">
        <v>19.504169999999998</v>
      </c>
      <c r="S51" s="3">
        <v>22.78969</v>
      </c>
      <c r="T51" s="3">
        <v>13.895709999999999</v>
      </c>
      <c r="U51" s="3">
        <v>5.5928959999999996</v>
      </c>
      <c r="V51" s="3">
        <v>11.157590000000001</v>
      </c>
      <c r="W51" s="3">
        <v>12.317159999999999</v>
      </c>
      <c r="X51" s="3">
        <f t="shared" si="10"/>
        <v>-0.11401000000000039</v>
      </c>
      <c r="Y51" s="3">
        <f t="shared" si="11"/>
        <v>-0.1084200000000024</v>
      </c>
      <c r="Z51" s="3">
        <f t="shared" si="12"/>
        <v>-8.4730000000000416E-2</v>
      </c>
      <c r="AA51" s="3">
        <f t="shared" si="13"/>
        <v>-8.7770000000000792E-2</v>
      </c>
      <c r="AB51" s="3">
        <f t="shared" si="14"/>
        <v>-8.523499999999995E-2</v>
      </c>
      <c r="AC51" s="3">
        <f t="shared" si="15"/>
        <v>-0.19284999999999997</v>
      </c>
      <c r="AD51" s="3">
        <f t="shared" si="16"/>
        <v>-0.23459000000000074</v>
      </c>
    </row>
    <row r="52" spans="1:30" x14ac:dyDescent="0.25">
      <c r="A52" s="2" t="s">
        <v>90</v>
      </c>
      <c r="B52" s="8">
        <v>3178810355.77</v>
      </c>
      <c r="C52" s="10">
        <v>1.3</v>
      </c>
      <c r="D52" s="23">
        <f>B52/((1+(C34/100))*(1+(C35/100))*(1+(C33/100))*(1+(C52/100))*(1+(C51/100))*(1+(C50/100))*(1+(C49/100))*(1+(C48/100))*(1+(C47/100))*(1+(C46/100))*(1+(C45/100))*(1+(C44/100))*(1+(C43/100))*(1+(C42/100))*(1+(C41/100))*(1+(C40/100))*(1+(C39/100))*(1+(C38/100))*(1+(C37/100))*(1+(C36/100)))</f>
        <v>2245933696.5613871</v>
      </c>
      <c r="E52" s="3">
        <v>582788236.41999996</v>
      </c>
      <c r="F52" s="23">
        <f>E52/((1+(C34/100))*(1+(C35/100))*(1+(C33/100))*(1+(C52/100))*(1+(C51/100))*(1+(C50/100))*(1+(C49/100))*(1+(C48/100))*(1+(C47/100))*(1+(C46/100))*(1+(C45/100))*(1+(C44/100))*(1+(C43/100))*(1+(C42/100))*(1+(C41/100))*(1+(C40/100))*(1+(C39/100))*(1+(C38/100))*(1+(C37/100))*(1+(C36/100)))</f>
        <v>411758988.9435879</v>
      </c>
      <c r="G52" s="3">
        <f t="shared" si="9"/>
        <v>-9.5465524963611936E-2</v>
      </c>
      <c r="H52" s="3"/>
      <c r="I52" s="3">
        <f t="shared" si="0"/>
        <v>6459994570.0131483</v>
      </c>
      <c r="J52" s="11">
        <v>1324500</v>
      </c>
      <c r="K52" s="3">
        <v>16.3</v>
      </c>
      <c r="L52" s="11">
        <v>1108400</v>
      </c>
      <c r="M52" s="3">
        <v>391.66666666666669</v>
      </c>
      <c r="N52" s="23">
        <f>M52/((1+(C34/100))*(1+(C35/100))*(1+(C33/100))*(1+(C52/100))*(1+(C51/100))*(1+(C50/100))*(1+(C49/100))*(1+(C48/100))*(1+(C47/100))*(1+(C46/100))*(1+(C45/100))*(1+(C44/100))*(1+(C43/100))*(1+(C42/100))*(1+(C41/100))*(1+(C40/100))*(1+(C39/100))*(1+(C38/100))*(1+(C37/100))*(1+(C36/100)))</f>
        <v>276.72533622203605</v>
      </c>
      <c r="O52" s="8">
        <v>83096.389679999993</v>
      </c>
      <c r="P52" s="8">
        <v>370063.61689999996</v>
      </c>
      <c r="Q52" s="3">
        <v>21.532389999999999</v>
      </c>
      <c r="R52" s="3">
        <v>19.83595</v>
      </c>
      <c r="S52" s="3">
        <v>22.770800000000001</v>
      </c>
      <c r="T52" s="3">
        <v>13.918430000000001</v>
      </c>
      <c r="U52" s="3">
        <v>5.6230250000000002</v>
      </c>
      <c r="V52" s="3">
        <v>11.32776</v>
      </c>
      <c r="W52" s="3">
        <v>12.821429999999999</v>
      </c>
      <c r="X52" s="3">
        <f t="shared" si="10"/>
        <v>-0.14260000000000161</v>
      </c>
      <c r="Y52" s="3">
        <f t="shared" si="11"/>
        <v>-0.10032999999999959</v>
      </c>
      <c r="Z52" s="3">
        <f t="shared" si="12"/>
        <v>-8.5239999999998872E-2</v>
      </c>
      <c r="AA52" s="3">
        <f t="shared" si="13"/>
        <v>-3.9449999999998653E-2</v>
      </c>
      <c r="AB52" s="3">
        <f t="shared" si="14"/>
        <v>-0.12380499999999994</v>
      </c>
      <c r="AC52" s="3">
        <f t="shared" si="15"/>
        <v>-0.10391000000000084</v>
      </c>
      <c r="AD52" s="3">
        <f t="shared" si="16"/>
        <v>0.16766999999999932</v>
      </c>
    </row>
    <row r="53" spans="1:30" x14ac:dyDescent="0.25">
      <c r="A53" s="2" t="s">
        <v>91</v>
      </c>
      <c r="B53" s="8">
        <v>3207495898.9500003</v>
      </c>
      <c r="C53" s="10">
        <v>0</v>
      </c>
      <c r="D53" s="23">
        <f>B53/((1+(C34/100))*(1+(C35/100))*(1+(C36/100))*(1+(C53/100))*(1+(C52/100))*(1+(C51/100))*(1+(C50/100))*(1+(C49/100))*(1+(C48/100))*(1+(C47/100))*(1+(C46/100))*(1+(C45/100))*(1+(C44/100))*(1+(C43/100))*(1+(C42/100))*(1+(C41/100))*(1+(C40/100))*(1+(C39/100))*(1+(C38/100))*(1+(C37/100)))</f>
        <v>2318323595.3165069</v>
      </c>
      <c r="E53" s="3">
        <v>943939892.22000003</v>
      </c>
      <c r="F53" s="23">
        <f>E53/((1+(C34/100))*(1+(C35/100))*(1+(C36/100))*(1+(C53/100))*(1+(C52/100))*(1+(C51/100))*(1+(C50/100))*(1+(C49/100))*(1+(C48/100))*(1+(C47/100))*(1+(C46/100))*(1+(C45/100))*(1+(C44/100))*(1+(C43/100))*(1+(C42/100))*(1+(C41/100))*(1+(C40/100))*(1+(C39/100))*(1+(C38/100))*(1+(C37/100)))</f>
        <v>682263732.71763909</v>
      </c>
      <c r="G53" s="3">
        <f t="shared" si="9"/>
        <v>-5.7160266495653644E-2</v>
      </c>
      <c r="H53" s="3"/>
      <c r="I53" s="3">
        <f t="shared" si="0"/>
        <v>6546353081.143074</v>
      </c>
      <c r="J53" s="11">
        <v>1300100</v>
      </c>
      <c r="K53" s="3">
        <v>19.5</v>
      </c>
      <c r="L53" s="11">
        <v>1046800</v>
      </c>
      <c r="M53" s="3">
        <v>406.66666666666669</v>
      </c>
      <c r="N53" s="23">
        <f>M53/((1+(C34/100))*(1+(C35/100))*(1+(C36/100))*(1+(C53/100))*(1+(C52/100))*(1+(C51/100))*(1+(C50/100))*(1+(C49/100))*(1+(C48/100))*(1+(C47/100))*(1+(C46/100))*(1+(C45/100))*(1+(C44/100))*(1+(C43/100))*(1+(C42/100))*(1+(C41/100))*(1+(C40/100))*(1+(C39/100))*(1+(C38/100))*(1+(C37/100)))</f>
        <v>293.93176436193556</v>
      </c>
      <c r="O53" s="8">
        <v>78171.236619999996</v>
      </c>
      <c r="P53" s="8">
        <v>520582.66680000001</v>
      </c>
      <c r="Q53" s="3">
        <v>21.564109999999999</v>
      </c>
      <c r="R53" s="3">
        <v>20.34093</v>
      </c>
      <c r="S53" s="3">
        <v>22.773620000000001</v>
      </c>
      <c r="T53" s="3">
        <v>13.86125</v>
      </c>
      <c r="U53" s="3">
        <v>5.6833479999999996</v>
      </c>
      <c r="V53" s="3">
        <v>11.26666</v>
      </c>
      <c r="W53" s="3">
        <v>13.162699999999999</v>
      </c>
      <c r="X53" s="3">
        <f t="shared" si="10"/>
        <v>-0.13844999999999885</v>
      </c>
      <c r="Y53" s="3">
        <f t="shared" si="11"/>
        <v>-5.8859999999999246E-2</v>
      </c>
      <c r="Z53" s="3">
        <f t="shared" si="12"/>
        <v>-8.3869999999997447E-2</v>
      </c>
      <c r="AA53" s="3">
        <f t="shared" si="13"/>
        <v>-6.0150000000000148E-2</v>
      </c>
      <c r="AB53" s="3">
        <f t="shared" si="14"/>
        <v>-9.7255000000000535E-2</v>
      </c>
      <c r="AC53" s="3">
        <f t="shared" si="15"/>
        <v>-7.2200000000000486E-2</v>
      </c>
      <c r="AD53" s="3">
        <f t="shared" si="16"/>
        <v>-8.3260000000001E-2</v>
      </c>
    </row>
    <row r="54" spans="1:30" x14ac:dyDescent="0.25">
      <c r="A54" s="2" t="s">
        <v>92</v>
      </c>
      <c r="B54" s="8">
        <v>1828701195.9100001</v>
      </c>
      <c r="C54" s="10">
        <v>-0.3</v>
      </c>
      <c r="D54" s="23">
        <f>B54/((1+(C31/100))*(1+(C32/100))*(1+(C33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1256681454.3941424</v>
      </c>
      <c r="E54" s="3">
        <v>219630354.47999999</v>
      </c>
      <c r="F54" s="23">
        <f>E54/((1+(C31/100))*(1+(C32/100))*(1+(C33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150929738.50201994</v>
      </c>
      <c r="G54" s="3">
        <f t="shared" si="9"/>
        <v>-7.1963903601064971E-2</v>
      </c>
      <c r="H54" s="3"/>
      <c r="I54" s="3">
        <f t="shared" si="0"/>
        <v>6309593270.1871319</v>
      </c>
      <c r="J54" s="11">
        <v>1224700</v>
      </c>
      <c r="K54" s="3">
        <v>18.3</v>
      </c>
      <c r="L54" s="11">
        <v>1000700</v>
      </c>
      <c r="M54" s="3">
        <v>371.33333333333331</v>
      </c>
      <c r="N54" s="23">
        <f>M54/((1+(C31/100))*(1+(C32/100))*(1+(C33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255.17985903987147</v>
      </c>
      <c r="O54" s="8">
        <v>73716.872380000001</v>
      </c>
      <c r="P54" s="8">
        <v>468121.21640000003</v>
      </c>
      <c r="Q54" s="3">
        <v>20.951740000000001</v>
      </c>
      <c r="R54" s="3">
        <v>18.832319999999999</v>
      </c>
      <c r="S54" s="3">
        <v>22.73452</v>
      </c>
      <c r="T54" s="3">
        <v>13.81621</v>
      </c>
      <c r="U54" s="3">
        <v>5.5419689999999999</v>
      </c>
      <c r="V54" s="3">
        <v>11.207990000000001</v>
      </c>
      <c r="W54" s="3">
        <v>13.056480000000001</v>
      </c>
      <c r="X54" s="3">
        <f t="shared" si="10"/>
        <v>-3.9339999999999264E-2</v>
      </c>
      <c r="Y54" s="3">
        <f t="shared" si="11"/>
        <v>-7.4690000000000367E-2</v>
      </c>
      <c r="Z54" s="3">
        <f t="shared" si="12"/>
        <v>-8.3760000000001611E-2</v>
      </c>
      <c r="AA54" s="3">
        <f t="shared" si="13"/>
        <v>-9.3880000000000408E-2</v>
      </c>
      <c r="AB54" s="3">
        <f t="shared" si="14"/>
        <v>-2.2656000000000454E-2</v>
      </c>
      <c r="AC54" s="3">
        <f t="shared" si="15"/>
        <v>0.10177999999999976</v>
      </c>
      <c r="AD54" s="3">
        <f t="shared" si="16"/>
        <v>-0.14045999999999914</v>
      </c>
    </row>
    <row r="55" spans="1:30" x14ac:dyDescent="0.25">
      <c r="A55" s="2" t="s">
        <v>93</v>
      </c>
      <c r="B55" s="8">
        <v>2363758145.3500004</v>
      </c>
      <c r="C55" s="10">
        <v>2.8</v>
      </c>
      <c r="D55" s="23">
        <f>B55/((1+(C34/100))*(1+(C32/100))*(1+(C33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1610150847.0312088</v>
      </c>
      <c r="E55" s="3">
        <v>357602101.17000002</v>
      </c>
      <c r="F55" s="23">
        <f>E55/((1+(C34/100))*(1+(C32/100))*(1+(C33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243592318.11922881</v>
      </c>
      <c r="G55" s="3">
        <f t="shared" si="9"/>
        <v>-0.17565525488981915</v>
      </c>
      <c r="H55" s="3"/>
      <c r="I55" s="3">
        <f t="shared" si="0"/>
        <v>6140268997.5493126</v>
      </c>
      <c r="J55" s="11">
        <v>1231500</v>
      </c>
      <c r="K55" s="3">
        <v>18.399999999999999</v>
      </c>
      <c r="L55" s="11">
        <v>1004900</v>
      </c>
      <c r="M55" s="3">
        <v>386</v>
      </c>
      <c r="N55" s="23">
        <f>M55/((1+(C34/100))*(1+(C32/100))*(1+(C33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262.93647181150959</v>
      </c>
      <c r="O55" s="8">
        <v>75683.445449999999</v>
      </c>
      <c r="P55" s="8">
        <v>253080.584</v>
      </c>
      <c r="Q55" s="3">
        <v>21.199590000000001</v>
      </c>
      <c r="R55" s="3">
        <v>19.31101</v>
      </c>
      <c r="S55" s="3">
        <v>22.703610000000001</v>
      </c>
      <c r="T55" s="3">
        <v>13.820399999999999</v>
      </c>
      <c r="U55" s="3">
        <v>5.5719120000000002</v>
      </c>
      <c r="V55" s="3">
        <v>11.234310000000001</v>
      </c>
      <c r="W55" s="3">
        <v>12.441459999999999</v>
      </c>
      <c r="X55" s="3">
        <f t="shared" si="10"/>
        <v>-1.8679999999999808E-2</v>
      </c>
      <c r="Y55" s="3">
        <f t="shared" si="11"/>
        <v>-0.19315999999999889</v>
      </c>
      <c r="Z55" s="3">
        <f t="shared" si="12"/>
        <v>-8.6079999999999046E-2</v>
      </c>
      <c r="AA55" s="3">
        <f t="shared" si="13"/>
        <v>-7.5309999999999988E-2</v>
      </c>
      <c r="AB55" s="3">
        <f t="shared" si="14"/>
        <v>-2.0983999999999448E-2</v>
      </c>
      <c r="AC55" s="3">
        <f t="shared" si="15"/>
        <v>7.6719999999999899E-2</v>
      </c>
      <c r="AD55" s="3">
        <f t="shared" si="16"/>
        <v>0.12429999999999986</v>
      </c>
    </row>
    <row r="56" spans="1:30" x14ac:dyDescent="0.25">
      <c r="A56" s="2" t="s">
        <v>94</v>
      </c>
      <c r="B56" s="8">
        <v>3209312401.4300003</v>
      </c>
      <c r="C56" s="10">
        <v>1.4</v>
      </c>
      <c r="D56" s="23">
        <f>B56/((1+(C34/100))*(1+(C35/100))*(1+(C33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2181815778.9143767</v>
      </c>
      <c r="E56" s="3">
        <v>512613742.13</v>
      </c>
      <c r="F56" s="23">
        <f>E56/((1+(C34/100))*(1+(C35/100))*(1+(C33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348494821.0617426</v>
      </c>
      <c r="G56" s="3">
        <f t="shared" si="9"/>
        <v>-0.15364368375820125</v>
      </c>
      <c r="H56" s="3"/>
      <c r="I56" s="3">
        <f t="shared" si="0"/>
        <v>6042352440.3088923</v>
      </c>
      <c r="J56" s="11">
        <v>1233500</v>
      </c>
      <c r="K56" s="3">
        <v>18.100000000000001</v>
      </c>
      <c r="L56" s="11">
        <v>1010400</v>
      </c>
      <c r="M56" s="3">
        <v>400.33333333333331</v>
      </c>
      <c r="N56" s="23">
        <f>M56/((1+(C34/100))*(1+(C35/100))*(1+(C33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272.16221864311603</v>
      </c>
      <c r="O56" s="8">
        <v>85977.294510000007</v>
      </c>
      <c r="P56" s="8">
        <v>299771.46279999998</v>
      </c>
      <c r="Q56" s="3">
        <v>21.503419999999998</v>
      </c>
      <c r="R56" s="3">
        <v>19.669129999999999</v>
      </c>
      <c r="S56" s="3">
        <v>22.68224</v>
      </c>
      <c r="T56" s="3">
        <v>13.82586</v>
      </c>
      <c r="U56" s="3">
        <v>5.6063980000000004</v>
      </c>
      <c r="V56" s="3">
        <v>11.361840000000001</v>
      </c>
      <c r="W56" s="3">
        <v>12.61078</v>
      </c>
      <c r="X56" s="3">
        <f t="shared" si="10"/>
        <v>-2.897000000000105E-2</v>
      </c>
      <c r="Y56" s="3">
        <f t="shared" si="11"/>
        <v>-0.1668200000000013</v>
      </c>
      <c r="Z56" s="3">
        <f t="shared" si="12"/>
        <v>-8.8560000000001082E-2</v>
      </c>
      <c r="AA56" s="3">
        <f t="shared" si="13"/>
        <v>-9.2570000000000263E-2</v>
      </c>
      <c r="AB56" s="3">
        <f t="shared" si="14"/>
        <v>-1.6626999999999725E-2</v>
      </c>
      <c r="AC56" s="3">
        <f t="shared" si="15"/>
        <v>3.408000000000122E-2</v>
      </c>
      <c r="AD56" s="3">
        <f t="shared" si="16"/>
        <v>-0.21064999999999934</v>
      </c>
    </row>
    <row r="57" spans="1:30" x14ac:dyDescent="0.25">
      <c r="A57" s="2" t="s">
        <v>95</v>
      </c>
      <c r="B57" s="8">
        <v>3165137204.8899999</v>
      </c>
      <c r="C57" s="10">
        <v>2</v>
      </c>
      <c r="D57" s="23">
        <f>B57/((1+(C34/100))*(1+(C35/100))*(1+(C36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2158112532.6065679</v>
      </c>
      <c r="E57" s="3">
        <v>746010185.67999995</v>
      </c>
      <c r="F57" s="23">
        <f>E57/((1+(C34/100))*(1+(C35/100))*(1+(C36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508658496.28282171</v>
      </c>
      <c r="G57" s="3">
        <f t="shared" si="9"/>
        <v>-0.2544547337190286</v>
      </c>
      <c r="H57" s="3"/>
      <c r="I57" s="3">
        <f t="shared" si="0"/>
        <v>6045429916.0631409</v>
      </c>
      <c r="J57" s="11">
        <v>1218100</v>
      </c>
      <c r="K57" s="3">
        <v>17.399999999999999</v>
      </c>
      <c r="L57" s="11">
        <v>1009100</v>
      </c>
      <c r="M57" s="3">
        <v>415</v>
      </c>
      <c r="N57" s="23">
        <f>M57/((1+(C34/100))*(1+(C35/100))*(1+(C36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282.9629943523575</v>
      </c>
      <c r="O57" s="8">
        <v>82776.108049999995</v>
      </c>
      <c r="P57" s="8">
        <v>588933.75899999996</v>
      </c>
      <c r="Q57" s="3">
        <v>21.4925</v>
      </c>
      <c r="R57" s="3">
        <v>20.04729</v>
      </c>
      <c r="S57" s="3">
        <v>22.675249999999998</v>
      </c>
      <c r="T57" s="3">
        <v>13.82457</v>
      </c>
      <c r="U57" s="3">
        <v>5.6453160000000002</v>
      </c>
      <c r="V57" s="3">
        <v>11.32389</v>
      </c>
      <c r="W57" s="3">
        <v>13.28607</v>
      </c>
      <c r="X57" s="3">
        <f t="shared" si="10"/>
        <v>-7.1609999999999729E-2</v>
      </c>
      <c r="Y57" s="3">
        <f t="shared" si="11"/>
        <v>-0.2936399999999999</v>
      </c>
      <c r="Z57" s="3">
        <f t="shared" si="12"/>
        <v>-9.8370000000002733E-2</v>
      </c>
      <c r="AA57" s="3">
        <f t="shared" si="13"/>
        <v>-3.668000000000049E-2</v>
      </c>
      <c r="AB57" s="3">
        <f t="shared" si="14"/>
        <v>-3.80319999999994E-2</v>
      </c>
      <c r="AC57" s="3">
        <f t="shared" si="15"/>
        <v>5.7230000000000558E-2</v>
      </c>
      <c r="AD57" s="3">
        <f t="shared" si="16"/>
        <v>0.12337000000000131</v>
      </c>
    </row>
    <row r="58" spans="1:30" x14ac:dyDescent="0.25">
      <c r="A58" s="2" t="s">
        <v>96</v>
      </c>
      <c r="B58" s="8">
        <v>1998921133.5800002</v>
      </c>
      <c r="C58" s="10">
        <v>2</v>
      </c>
      <c r="D58" s="23">
        <f>B58/((1+(C31/100))*(1+(C32/100))*(1+(C33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1266621056.3720789</v>
      </c>
      <c r="E58" s="3">
        <v>214824103.06999999</v>
      </c>
      <c r="F58" s="23">
        <f>E58/((1+(C31/100))*(1+(C32/100))*(1+(C33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136123795.87852198</v>
      </c>
      <c r="G58" s="3">
        <f t="shared" si="9"/>
        <v>-9.809824604777817E-2</v>
      </c>
      <c r="H58" s="3"/>
      <c r="I58" s="3">
        <f t="shared" si="0"/>
        <v>5824832697.787097</v>
      </c>
      <c r="J58" s="11">
        <v>1202900</v>
      </c>
      <c r="K58" s="3">
        <v>19</v>
      </c>
      <c r="L58" s="11">
        <v>974500</v>
      </c>
      <c r="M58" s="3">
        <v>381</v>
      </c>
      <c r="N58" s="23">
        <f>M58/((1+(C31/100))*(1+(C32/100))*(1+(C33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241.42154203626478</v>
      </c>
      <c r="O58" s="8">
        <v>54857.374670000005</v>
      </c>
      <c r="P58" s="8">
        <v>603218.53630000004</v>
      </c>
      <c r="Q58" s="3">
        <v>20.959620000000001</v>
      </c>
      <c r="R58" s="3">
        <v>18.72907</v>
      </c>
      <c r="S58" s="3">
        <v>22.636089999999999</v>
      </c>
      <c r="T58" s="3">
        <v>13.789680000000001</v>
      </c>
      <c r="U58" s="3">
        <v>5.4865449999999996</v>
      </c>
      <c r="V58" s="3">
        <v>10.91249</v>
      </c>
      <c r="W58" s="3">
        <v>13.310029999999999</v>
      </c>
      <c r="X58" s="3">
        <f t="shared" si="10"/>
        <v>7.8800000000001091E-3</v>
      </c>
      <c r="Y58" s="3">
        <f t="shared" si="11"/>
        <v>-0.10324999999999918</v>
      </c>
      <c r="Z58" s="3">
        <f t="shared" si="12"/>
        <v>-9.8430000000000462E-2</v>
      </c>
      <c r="AA58" s="3">
        <f t="shared" si="13"/>
        <v>-2.6529999999999276E-2</v>
      </c>
      <c r="AB58" s="3">
        <f t="shared" si="14"/>
        <v>-5.5424000000000362E-2</v>
      </c>
      <c r="AC58" s="3">
        <f t="shared" si="15"/>
        <v>-0.29550000000000054</v>
      </c>
      <c r="AD58" s="3">
        <f t="shared" si="16"/>
        <v>0.25354999999999883</v>
      </c>
    </row>
    <row r="59" spans="1:30" x14ac:dyDescent="0.25">
      <c r="A59" s="2" t="s">
        <v>97</v>
      </c>
      <c r="B59" s="8">
        <v>2508912046.8299999</v>
      </c>
      <c r="C59" s="10">
        <v>1.2</v>
      </c>
      <c r="D59" s="23">
        <f>B59/((1+(C34/100))*(1+(C32/100))*(1+(C33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1600774480.6870365</v>
      </c>
      <c r="E59" s="3">
        <v>363235896.38</v>
      </c>
      <c r="F59" s="23">
        <f>E59/((1+(C34/100))*(1+(C32/100))*(1+(C33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231757328.49194753</v>
      </c>
      <c r="G59" s="3">
        <f t="shared" si="9"/>
        <v>-4.8585233387731575E-2</v>
      </c>
      <c r="H59" s="3"/>
      <c r="I59" s="3">
        <f t="shared" si="0"/>
        <v>5672645459.9929104</v>
      </c>
      <c r="J59" s="11">
        <v>1267400</v>
      </c>
      <c r="K59" s="3">
        <v>17.8</v>
      </c>
      <c r="L59" s="11">
        <v>1041500</v>
      </c>
      <c r="M59" s="3">
        <v>393.66666666666669</v>
      </c>
      <c r="N59" s="23">
        <f>M59/((1+(C34/100))*(1+(C32/100))*(1+(C33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251.17323450750268</v>
      </c>
      <c r="O59" s="8">
        <v>78014.335430000006</v>
      </c>
      <c r="P59" s="8">
        <v>336538.36450000003</v>
      </c>
      <c r="Q59" s="3">
        <v>21.193750000000001</v>
      </c>
      <c r="R59" s="3">
        <v>19.261199999999999</v>
      </c>
      <c r="S59" s="3">
        <v>22.606179999999998</v>
      </c>
      <c r="T59" s="3">
        <v>13.856170000000001</v>
      </c>
      <c r="U59" s="3">
        <v>5.5261430000000002</v>
      </c>
      <c r="V59" s="3">
        <v>11.26465</v>
      </c>
      <c r="W59" s="3">
        <v>12.726470000000001</v>
      </c>
      <c r="X59" s="3">
        <f t="shared" si="10"/>
        <v>-5.8399999999991792E-3</v>
      </c>
      <c r="Y59" s="3">
        <f t="shared" si="11"/>
        <v>-4.9810000000000798E-2</v>
      </c>
      <c r="Z59" s="3">
        <f t="shared" si="12"/>
        <v>-9.7430000000002792E-2</v>
      </c>
      <c r="AA59" s="3">
        <f t="shared" si="13"/>
        <v>3.577000000000119E-2</v>
      </c>
      <c r="AB59" s="3">
        <f t="shared" si="14"/>
        <v>-4.5768999999999949E-2</v>
      </c>
      <c r="AC59" s="3">
        <f t="shared" si="15"/>
        <v>3.0339999999998923E-2</v>
      </c>
      <c r="AD59" s="3">
        <f t="shared" si="16"/>
        <v>0.28501000000000154</v>
      </c>
    </row>
    <row r="60" spans="1:30" x14ac:dyDescent="0.25">
      <c r="A60" s="2" t="s">
        <v>98</v>
      </c>
      <c r="B60" s="8">
        <v>3316505518.1900001</v>
      </c>
      <c r="C60" s="10">
        <v>2</v>
      </c>
      <c r="D60" s="23">
        <f>B60/((1+(C34/100))*(1+(C35/100))*(1+(C33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2099451181.1648955</v>
      </c>
      <c r="E60" s="3">
        <v>560781902.90999997</v>
      </c>
      <c r="F60" s="23">
        <f>E60/((1+(C34/100))*(1+(C35/100))*(1+(C33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354992392.43926644</v>
      </c>
      <c r="G60" s="3">
        <f t="shared" si="9"/>
        <v>1.864467126865188E-2</v>
      </c>
      <c r="H60" s="3"/>
      <c r="I60" s="3">
        <f t="shared" si="0"/>
        <v>5602008622.4568243</v>
      </c>
      <c r="J60" s="11">
        <v>1236900</v>
      </c>
      <c r="K60" s="3">
        <v>16.5</v>
      </c>
      <c r="L60" s="11">
        <v>1033400.0000000001</v>
      </c>
      <c r="M60" s="3">
        <v>406.33333333333331</v>
      </c>
      <c r="N60" s="23">
        <f>M60/((1+(C34/100))*(1+(C35/100))*(1+(C33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257.22164245905037</v>
      </c>
      <c r="O60" s="8">
        <v>105696.44438</v>
      </c>
      <c r="P60" s="8">
        <v>316516.66229999997</v>
      </c>
      <c r="Q60" s="3">
        <v>21.464939999999999</v>
      </c>
      <c r="R60" s="3">
        <v>19.687609999999999</v>
      </c>
      <c r="S60" s="3">
        <v>22.588429999999999</v>
      </c>
      <c r="T60" s="3">
        <v>13.84836</v>
      </c>
      <c r="U60" s="3">
        <v>5.549938</v>
      </c>
      <c r="V60" s="3">
        <v>11.56833</v>
      </c>
      <c r="W60" s="3">
        <v>12.66513</v>
      </c>
      <c r="X60" s="3">
        <f t="shared" si="10"/>
        <v>-3.8479999999999848E-2</v>
      </c>
      <c r="Y60" s="3">
        <f t="shared" si="11"/>
        <v>1.8480000000000274E-2</v>
      </c>
      <c r="Z60" s="3">
        <f t="shared" si="12"/>
        <v>-9.3810000000001281E-2</v>
      </c>
      <c r="AA60" s="3">
        <f t="shared" si="13"/>
        <v>2.2499999999999076E-2</v>
      </c>
      <c r="AB60" s="3">
        <f t="shared" si="14"/>
        <v>-5.6460000000000399E-2</v>
      </c>
      <c r="AC60" s="3">
        <f t="shared" si="15"/>
        <v>0.20648999999999873</v>
      </c>
      <c r="AD60" s="3">
        <f t="shared" si="16"/>
        <v>5.4349999999999454E-2</v>
      </c>
    </row>
    <row r="61" spans="1:30" x14ac:dyDescent="0.25">
      <c r="A61" s="2" t="s">
        <v>99</v>
      </c>
      <c r="B61" s="8">
        <v>3712200410.2599998</v>
      </c>
      <c r="C61" s="10">
        <v>2.7</v>
      </c>
      <c r="D61" s="23">
        <f>B61/((1+(C34/100))*(1+(C35/100))*(1+(C36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2340785726.9415255</v>
      </c>
      <c r="E61" s="3">
        <v>897754157.13999999</v>
      </c>
      <c r="F61" s="23">
        <f>E61/((1+(C34/100))*(1+(C35/100))*(1+(C36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566092851.97200537</v>
      </c>
      <c r="G61" s="3">
        <f t="shared" si="9"/>
        <v>0.11291339102541853</v>
      </c>
      <c r="H61" s="3"/>
      <c r="I61" s="3">
        <f t="shared" si="0"/>
        <v>5661563902.5171852</v>
      </c>
      <c r="J61" s="11">
        <v>1221700</v>
      </c>
      <c r="K61" s="3">
        <v>18</v>
      </c>
      <c r="L61" s="11">
        <v>1001500</v>
      </c>
      <c r="M61" s="3">
        <v>434.66666666666669</v>
      </c>
      <c r="N61" s="23">
        <f>M61/((1+(C34/100))*(1+(C35/100))*(1+(C36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274.08582966007509</v>
      </c>
      <c r="O61" s="8">
        <v>106335.06908</v>
      </c>
      <c r="P61" s="8">
        <v>523391.41980000003</v>
      </c>
      <c r="Q61" s="3">
        <v>21.57375</v>
      </c>
      <c r="R61" s="3">
        <v>20.15427</v>
      </c>
      <c r="S61" s="3">
        <v>22.59103</v>
      </c>
      <c r="T61" s="3">
        <v>13.81701</v>
      </c>
      <c r="U61" s="3">
        <v>5.6134409999999999</v>
      </c>
      <c r="V61" s="3">
        <v>11.574350000000001</v>
      </c>
      <c r="W61" s="3">
        <v>13.168089999999999</v>
      </c>
      <c r="X61" s="3">
        <f t="shared" si="10"/>
        <v>8.1250000000000711E-2</v>
      </c>
      <c r="Y61" s="3">
        <f t="shared" si="11"/>
        <v>0.10698000000000008</v>
      </c>
      <c r="Z61" s="3">
        <f t="shared" si="12"/>
        <v>-8.4219999999998407E-2</v>
      </c>
      <c r="AA61" s="3">
        <f t="shared" si="13"/>
        <v>-7.5599999999997891E-3</v>
      </c>
      <c r="AB61" s="3">
        <f t="shared" si="14"/>
        <v>-3.187500000000032E-2</v>
      </c>
      <c r="AC61" s="3">
        <f t="shared" si="15"/>
        <v>0.25046000000000035</v>
      </c>
      <c r="AD61" s="3">
        <f t="shared" si="16"/>
        <v>-0.11798000000000108</v>
      </c>
    </row>
    <row r="62" spans="1:30" x14ac:dyDescent="0.25">
      <c r="A62" s="2" t="s">
        <v>100</v>
      </c>
      <c r="B62" s="8">
        <v>2317361772.8299999</v>
      </c>
      <c r="C62" s="10">
        <v>2.4</v>
      </c>
      <c r="D62" s="23">
        <f>B62/((1+(C31/100))*(1+(C32/100))*(1+(C33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1352676041.699266</v>
      </c>
      <c r="E62" s="3">
        <v>272565752.85000002</v>
      </c>
      <c r="F62" s="23">
        <f>E62/((1+(C31/100))*(1+(C32/100))*(1+(C33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159100390.79382256</v>
      </c>
      <c r="G62" s="3">
        <f t="shared" si="9"/>
        <v>0.16879190568418379</v>
      </c>
      <c r="H62" s="3"/>
      <c r="I62" s="3">
        <f t="shared" si="0"/>
        <v>5473945941.8676195</v>
      </c>
      <c r="J62" s="11">
        <v>1248200</v>
      </c>
      <c r="K62" s="3">
        <v>17.600000000000001</v>
      </c>
      <c r="L62" s="11">
        <v>1027900.0000000001</v>
      </c>
      <c r="M62" s="3">
        <v>349.27603119333338</v>
      </c>
      <c r="N62" s="23">
        <f>M62/((1+(C31/100))*(1+(C32/100))*(1+(C33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203.87723870928232</v>
      </c>
      <c r="O62" s="8">
        <v>79745.678509999998</v>
      </c>
      <c r="P62" s="8">
        <v>502019.85279999999</v>
      </c>
      <c r="Q62" s="3">
        <v>21.02535</v>
      </c>
      <c r="R62" s="3">
        <v>18.88505</v>
      </c>
      <c r="S62" s="3">
        <v>22.555140000000002</v>
      </c>
      <c r="T62" s="3">
        <v>13.843030000000001</v>
      </c>
      <c r="U62" s="3">
        <v>5.3175179999999997</v>
      </c>
      <c r="V62" s="3">
        <v>11.2866</v>
      </c>
      <c r="W62" s="3">
        <v>13.1264</v>
      </c>
      <c r="X62" s="3">
        <f t="shared" si="10"/>
        <v>6.5729999999998512E-2</v>
      </c>
      <c r="Y62" s="3">
        <f t="shared" si="11"/>
        <v>0.15597999999999956</v>
      </c>
      <c r="Z62" s="3">
        <f t="shared" si="12"/>
        <v>-8.0949999999997857E-2</v>
      </c>
      <c r="AA62" s="3">
        <f t="shared" si="13"/>
        <v>5.3350000000000009E-2</v>
      </c>
      <c r="AB62" s="3">
        <f t="shared" si="14"/>
        <v>-0.16902699999999982</v>
      </c>
      <c r="AC62" s="3">
        <f t="shared" si="15"/>
        <v>0.37410999999999994</v>
      </c>
      <c r="AD62" s="3">
        <f t="shared" si="16"/>
        <v>-0.18362999999999907</v>
      </c>
    </row>
    <row r="63" spans="1:30" x14ac:dyDescent="0.25">
      <c r="A63" s="2" t="s">
        <v>101</v>
      </c>
      <c r="B63" s="8">
        <v>2823283578.9499998</v>
      </c>
      <c r="C63" s="10">
        <v>3.5</v>
      </c>
      <c r="D63" s="23">
        <f>B63/((1+(C34/100))*(1+(C32/100))*(1+(C33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1622513413.1976416</v>
      </c>
      <c r="E63" s="3">
        <v>401863546.93000001</v>
      </c>
      <c r="F63" s="23">
        <f>E63/((1+(C34/100))*(1+(C32/100))*(1+(C33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230947043.37550086</v>
      </c>
      <c r="G63" s="3">
        <f t="shared" si="9"/>
        <v>-3.4962653466849014E-3</v>
      </c>
      <c r="H63" s="3"/>
      <c r="I63" s="3">
        <f t="shared" si="0"/>
        <v>5338816870.7995396</v>
      </c>
      <c r="J63" s="11">
        <v>1292800</v>
      </c>
      <c r="K63" s="3">
        <v>15.7</v>
      </c>
      <c r="L63" s="11">
        <v>1090300</v>
      </c>
      <c r="M63" s="3">
        <v>350.03388292</v>
      </c>
      <c r="N63" s="23">
        <f>M63/((1+(C34/100))*(1+(C32/100))*(1+(C33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201.1610432426246</v>
      </c>
      <c r="O63" s="8">
        <v>74255.433479999992</v>
      </c>
      <c r="P63" s="8">
        <v>339699.21889999998</v>
      </c>
      <c r="Q63" s="3">
        <v>21.207239999999999</v>
      </c>
      <c r="R63" s="3">
        <v>19.2577</v>
      </c>
      <c r="S63" s="3">
        <v>22.52693</v>
      </c>
      <c r="T63" s="3">
        <v>13.901960000000001</v>
      </c>
      <c r="U63" s="3">
        <v>5.304106</v>
      </c>
      <c r="V63" s="3">
        <v>11.21527</v>
      </c>
      <c r="W63" s="3">
        <v>12.73582</v>
      </c>
      <c r="X63" s="3">
        <f t="shared" si="10"/>
        <v>1.3489999999997337E-2</v>
      </c>
      <c r="Y63" s="3">
        <f t="shared" si="11"/>
        <v>-3.4999999999989484E-3</v>
      </c>
      <c r="Z63" s="3">
        <f t="shared" si="12"/>
        <v>-7.9249999999998266E-2</v>
      </c>
      <c r="AA63" s="3">
        <f t="shared" si="13"/>
        <v>4.5790000000000219E-2</v>
      </c>
      <c r="AB63" s="3">
        <f t="shared" si="14"/>
        <v>-0.22203700000000026</v>
      </c>
      <c r="AC63" s="3">
        <f t="shared" si="15"/>
        <v>-4.9379999999999313E-2</v>
      </c>
      <c r="AD63" s="3">
        <f t="shared" si="16"/>
        <v>9.3499999999995254E-3</v>
      </c>
    </row>
    <row r="64" spans="1:30" x14ac:dyDescent="0.25">
      <c r="A64" s="2" t="s">
        <v>102</v>
      </c>
      <c r="B64" s="8">
        <v>3495970232.9200001</v>
      </c>
      <c r="C64" s="10">
        <v>1.6</v>
      </c>
      <c r="D64" s="23">
        <f>B64/((1+(C34/100))*(1+(C35/100))*(1+(C33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2001190001.0417869</v>
      </c>
      <c r="E64" s="3">
        <v>559127402.78999996</v>
      </c>
      <c r="F64" s="23">
        <f>E64/((1+(C34/100))*(1+(C35/100))*(1+(C33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320059981.41386819</v>
      </c>
      <c r="G64" s="3">
        <f t="shared" si="9"/>
        <v>-9.8403266575281978E-2</v>
      </c>
      <c r="H64" s="3"/>
      <c r="I64" s="3">
        <f t="shared" si="0"/>
        <v>5263912016.1078835</v>
      </c>
      <c r="J64" s="11">
        <v>1306200</v>
      </c>
      <c r="K64" s="3">
        <v>15.3</v>
      </c>
      <c r="L64" s="11">
        <v>1105900</v>
      </c>
      <c r="M64" s="3">
        <v>354.74662815333335</v>
      </c>
      <c r="N64" s="23">
        <f>M64/((1+(C34/100))*(1+(C35/100))*(1+(C33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203.06677627823638</v>
      </c>
      <c r="O64" s="8">
        <v>96961.684540000017</v>
      </c>
      <c r="P64" s="8">
        <v>417737.76489999995</v>
      </c>
      <c r="Q64" s="3">
        <v>21.417010000000001</v>
      </c>
      <c r="R64" s="3">
        <v>19.584019999999999</v>
      </c>
      <c r="S64" s="3">
        <v>22.508389999999999</v>
      </c>
      <c r="T64" s="3">
        <v>13.916169999999999</v>
      </c>
      <c r="U64" s="3">
        <v>5.3135349999999999</v>
      </c>
      <c r="V64" s="3">
        <v>11.48207</v>
      </c>
      <c r="W64" s="3">
        <v>12.94261</v>
      </c>
      <c r="X64" s="3">
        <f t="shared" si="10"/>
        <v>-4.7929999999997364E-2</v>
      </c>
      <c r="Y64" s="3">
        <f t="shared" si="11"/>
        <v>-0.10359000000000052</v>
      </c>
      <c r="Z64" s="3">
        <f t="shared" si="12"/>
        <v>-8.0040000000000333E-2</v>
      </c>
      <c r="AA64" s="3">
        <f t="shared" si="13"/>
        <v>6.7809999999999704E-2</v>
      </c>
      <c r="AB64" s="3">
        <f t="shared" si="14"/>
        <v>-0.23640300000000014</v>
      </c>
      <c r="AC64" s="3">
        <f t="shared" si="15"/>
        <v>-8.6259999999999337E-2</v>
      </c>
      <c r="AD64" s="3">
        <f t="shared" si="16"/>
        <v>0.27748000000000062</v>
      </c>
    </row>
    <row r="65" spans="1:30" x14ac:dyDescent="0.25">
      <c r="A65" s="2" t="s">
        <v>103</v>
      </c>
      <c r="B65" s="8">
        <v>3815586536.4499998</v>
      </c>
      <c r="C65" s="10">
        <v>1.9</v>
      </c>
      <c r="D65" s="23">
        <f>B65/((1+(C34/100))*(1+(C35/100))*(1+(C36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2192720897.1392689</v>
      </c>
      <c r="E65" s="3">
        <v>849589970.53999996</v>
      </c>
      <c r="F65" s="23">
        <f>E65/((1+(C34/100))*(1+(C35/100))*(1+(C36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488237827.81670004</v>
      </c>
      <c r="G65" s="3">
        <f t="shared" si="9"/>
        <v>-0.13753048441451698</v>
      </c>
      <c r="H65" s="3"/>
      <c r="I65" s="3">
        <f t="shared" si="0"/>
        <v>5293659111.9925089</v>
      </c>
      <c r="J65" s="11">
        <v>1237900</v>
      </c>
      <c r="K65" s="3">
        <v>16.899999999999999</v>
      </c>
      <c r="L65" s="11">
        <v>1028900.0000000001</v>
      </c>
      <c r="M65" s="3">
        <v>376.0001139333333</v>
      </c>
      <c r="N65" s="23">
        <f>M65/((1+(C34/100))*(1+(C35/100))*(1+(C36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216.07773779269124</v>
      </c>
      <c r="O65" s="8">
        <v>79353.415070000003</v>
      </c>
      <c r="P65" s="8">
        <v>523965.38530000002</v>
      </c>
      <c r="Q65" s="3">
        <v>21.508410000000001</v>
      </c>
      <c r="R65" s="3">
        <v>20.006309999999999</v>
      </c>
      <c r="S65" s="3">
        <v>22.507539999999999</v>
      </c>
      <c r="T65" s="3">
        <v>13.843999999999999</v>
      </c>
      <c r="U65" s="3">
        <v>5.3756380000000004</v>
      </c>
      <c r="V65" s="3">
        <v>11.28167</v>
      </c>
      <c r="W65" s="3">
        <v>13.169180000000001</v>
      </c>
      <c r="X65" s="3">
        <f t="shared" si="10"/>
        <v>-6.5339999999999065E-2</v>
      </c>
      <c r="Y65" s="3">
        <f t="shared" si="11"/>
        <v>-0.1479600000000012</v>
      </c>
      <c r="Z65" s="3">
        <f t="shared" si="12"/>
        <v>-8.3490000000001174E-2</v>
      </c>
      <c r="AA65" s="3">
        <f t="shared" si="13"/>
        <v>2.6989999999999625E-2</v>
      </c>
      <c r="AB65" s="3">
        <f t="shared" si="14"/>
        <v>-0.23780299999999954</v>
      </c>
      <c r="AC65" s="3">
        <f t="shared" si="15"/>
        <v>-0.29268000000000072</v>
      </c>
      <c r="AD65" s="3">
        <f t="shared" si="16"/>
        <v>1.0900000000013677E-3</v>
      </c>
    </row>
    <row r="66" spans="1:30" x14ac:dyDescent="0.25">
      <c r="A66" s="2" t="s">
        <v>104</v>
      </c>
      <c r="B66" s="8">
        <v>2555943318.7200003</v>
      </c>
      <c r="C66" s="10">
        <v>1</v>
      </c>
      <c r="D66" s="23">
        <f>B66/((1+(C31/100))*(1+(C32/100))*(1+(C33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1378546952.2415795</v>
      </c>
      <c r="E66" s="3">
        <v>294177189.02000004</v>
      </c>
      <c r="F66" s="23">
        <f>E66/((1+(C31/100))*(1+(C32/100))*(1+(C33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158664342.97361743</v>
      </c>
      <c r="G66" s="3">
        <f t="shared" si="9"/>
        <v>-2.7407086684669846E-3</v>
      </c>
      <c r="H66" s="3"/>
      <c r="I66" s="3">
        <f t="shared" si="0"/>
        <v>5124174762.1770535</v>
      </c>
      <c r="J66" s="11">
        <v>1198000</v>
      </c>
      <c r="K66" s="3">
        <v>21.1</v>
      </c>
      <c r="L66" s="11">
        <v>945000</v>
      </c>
      <c r="M66" s="3">
        <v>357.26000452</v>
      </c>
      <c r="N66" s="23">
        <f>M66/((1+(C31/100))*(1+(C32/100))*(1+(C33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192.68803293943918</v>
      </c>
      <c r="O66" s="8">
        <v>86599.284610000002</v>
      </c>
      <c r="P66" s="8">
        <v>528849.21470000001</v>
      </c>
      <c r="Q66" s="3">
        <v>21.0443</v>
      </c>
      <c r="R66" s="3">
        <v>18.882300000000001</v>
      </c>
      <c r="S66" s="3">
        <v>22.472930000000002</v>
      </c>
      <c r="T66" s="3">
        <v>13.758940000000001</v>
      </c>
      <c r="U66" s="3">
        <v>5.2610729999999997</v>
      </c>
      <c r="V66" s="3">
        <v>11.36905</v>
      </c>
      <c r="W66" s="3">
        <v>13.178459999999999</v>
      </c>
      <c r="X66" s="3">
        <f t="shared" si="10"/>
        <v>1.8950000000000244E-2</v>
      </c>
      <c r="Y66" s="3">
        <f t="shared" si="11"/>
        <v>-2.74999999999892E-3</v>
      </c>
      <c r="Z66" s="3">
        <f t="shared" si="12"/>
        <v>-8.2209999999999894E-2</v>
      </c>
      <c r="AA66" s="3">
        <f t="shared" si="13"/>
        <v>-8.4089999999999776E-2</v>
      </c>
      <c r="AB66" s="3">
        <f t="shared" si="14"/>
        <v>-5.6445000000000078E-2</v>
      </c>
      <c r="AC66" s="3">
        <f t="shared" si="15"/>
        <v>8.244999999999969E-2</v>
      </c>
      <c r="AD66" s="3">
        <f t="shared" si="16"/>
        <v>5.2059999999999107E-2</v>
      </c>
    </row>
    <row r="67" spans="1:30" x14ac:dyDescent="0.25">
      <c r="A67" s="2" t="s">
        <v>105</v>
      </c>
      <c r="B67" s="8">
        <v>3095991977.5599999</v>
      </c>
      <c r="C67" s="10">
        <v>2.6</v>
      </c>
      <c r="D67" s="23">
        <f>B67/(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*(1+(C33/100))*(1+(C32/100)))</f>
        <v>1658429421.3414204</v>
      </c>
      <c r="E67" s="3">
        <v>403084959.35000002</v>
      </c>
      <c r="F67" s="23">
        <f>E67/(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*(1+(C33/100))*(1+(C32/100)))</f>
        <v>215920441.8911629</v>
      </c>
      <c r="G67" s="3">
        <f t="shared" si="9"/>
        <v>-6.5065139023693597E-2</v>
      </c>
      <c r="H67" s="3"/>
      <c r="I67" s="3">
        <f t="shared" si="0"/>
        <v>4997518289.202898</v>
      </c>
      <c r="J67" s="12">
        <v>1260300</v>
      </c>
      <c r="K67" s="7">
        <v>16.5</v>
      </c>
      <c r="L67" s="12">
        <v>1052800</v>
      </c>
      <c r="M67" s="3">
        <v>372.76848888000001</v>
      </c>
      <c r="N67" s="23">
        <f>M67/(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*(1+(C33/100))*(1+(C32/100)))</f>
        <v>199.68082404231401</v>
      </c>
      <c r="O67" s="8">
        <v>73901.678050000002</v>
      </c>
      <c r="P67" s="8">
        <v>344236.21850000002</v>
      </c>
      <c r="Q67" s="3">
        <v>21.229140000000001</v>
      </c>
      <c r="R67" s="3">
        <v>19.19042</v>
      </c>
      <c r="S67" s="3">
        <v>22.445070000000001</v>
      </c>
      <c r="T67" s="3">
        <v>13.866960000000001</v>
      </c>
      <c r="U67" s="3">
        <v>5.2967199999999997</v>
      </c>
      <c r="V67" s="3">
        <v>11.21049</v>
      </c>
      <c r="W67" s="3">
        <v>12.749079999999999</v>
      </c>
      <c r="X67" s="3">
        <f t="shared" si="10"/>
        <v>2.1900000000002251E-2</v>
      </c>
      <c r="Y67" s="3">
        <f t="shared" si="11"/>
        <v>-6.7280000000000229E-2</v>
      </c>
      <c r="Z67" s="3">
        <f t="shared" si="12"/>
        <v>-8.1859999999998934E-2</v>
      </c>
      <c r="AA67" s="3">
        <f t="shared" si="13"/>
        <v>-3.5000000000000142E-2</v>
      </c>
      <c r="AB67" s="3">
        <f t="shared" si="14"/>
        <v>-7.3860000000003367E-3</v>
      </c>
      <c r="AC67" s="3">
        <f t="shared" si="15"/>
        <v>-4.7800000000002285E-3</v>
      </c>
      <c r="AD67" s="3">
        <f t="shared" si="16"/>
        <v>1.3259999999998939E-2</v>
      </c>
    </row>
    <row r="68" spans="1:30" x14ac:dyDescent="0.25">
      <c r="A68" s="2" t="s">
        <v>106</v>
      </c>
      <c r="B68" s="8">
        <v>3853801445.2600002</v>
      </c>
      <c r="C68" s="10">
        <v>1.4</v>
      </c>
      <c r="D68" s="23">
        <f>B68/((1+(C34/100))*(1+(C35/100))*(1+(C33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2060293345.7490041</v>
      </c>
      <c r="E68" s="3">
        <v>578607231.08000004</v>
      </c>
      <c r="F68" s="23">
        <f>E68/((1+(C34/100))*(1+(C35/100))*(1+(C33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309331096.82197297</v>
      </c>
      <c r="G68" s="3">
        <f t="shared" si="9"/>
        <v>-3.3521481018964794E-2</v>
      </c>
      <c r="H68" s="3"/>
      <c r="I68" s="3">
        <f t="shared" ref="I68:I71" si="17">((1-0.05)*I67)+(F68*0.6)</f>
        <v>4933241032.8359365</v>
      </c>
      <c r="J68" s="11">
        <v>1207200</v>
      </c>
      <c r="K68" s="3">
        <v>18</v>
      </c>
      <c r="L68" s="11">
        <v>990400</v>
      </c>
      <c r="M68" s="3">
        <v>382.59962662333334</v>
      </c>
      <c r="N68" s="23">
        <f>M68/((1+(C34/100))*(1+(C35/100))*(1+(C33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)</f>
        <v>204.54283284045164</v>
      </c>
      <c r="O68" s="8">
        <v>107441.27492999999</v>
      </c>
      <c r="P68" s="8">
        <v>470247.74230000004</v>
      </c>
      <c r="Q68" s="3">
        <v>21.446110000000001</v>
      </c>
      <c r="R68" s="3">
        <v>19.54992</v>
      </c>
      <c r="S68" s="3">
        <v>22.428100000000001</v>
      </c>
      <c r="T68" s="3">
        <v>13.805859999999999</v>
      </c>
      <c r="U68" s="3">
        <v>5.3207769999999996</v>
      </c>
      <c r="V68" s="3">
        <v>11.5847</v>
      </c>
      <c r="W68" s="3">
        <v>13.061019999999999</v>
      </c>
      <c r="X68" s="3">
        <f t="shared" si="10"/>
        <v>2.9099999999999682E-2</v>
      </c>
      <c r="Y68" s="3">
        <f t="shared" si="11"/>
        <v>-3.4099999999998687E-2</v>
      </c>
      <c r="Z68" s="3">
        <f t="shared" si="12"/>
        <v>-8.0289999999997974E-2</v>
      </c>
      <c r="AA68" s="3">
        <f t="shared" si="13"/>
        <v>-0.11031000000000013</v>
      </c>
      <c r="AB68" s="3">
        <f t="shared" si="14"/>
        <v>7.2419999999997486E-3</v>
      </c>
      <c r="AC68" s="3">
        <f t="shared" si="15"/>
        <v>0.10262999999999955</v>
      </c>
      <c r="AD68" s="3">
        <f t="shared" si="16"/>
        <v>0.11840999999999902</v>
      </c>
    </row>
    <row r="69" spans="1:30" x14ac:dyDescent="0.25">
      <c r="A69" s="2" t="s">
        <v>107</v>
      </c>
      <c r="B69" s="8">
        <v>4188304652.1399999</v>
      </c>
      <c r="C69" s="10">
        <v>1.5</v>
      </c>
      <c r="D69" s="23">
        <f>B69/((1+(C34/100))*(1+(C35/100))*(1+(C36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2256771456.5746508</v>
      </c>
      <c r="E69" s="3">
        <v>884366534.63</v>
      </c>
      <c r="F69" s="23">
        <f>E69/((1+(C34/100))*(1+(C35/100))*(1+(C36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476520529.96743381</v>
      </c>
      <c r="G69" s="3">
        <f t="shared" si="9"/>
        <v>-2.3999160207769266E-2</v>
      </c>
      <c r="H69" s="3"/>
      <c r="I69" s="3">
        <f t="shared" si="17"/>
        <v>4972491299.1745996</v>
      </c>
      <c r="J69" s="11">
        <v>1131500</v>
      </c>
      <c r="K69" s="3">
        <v>17.899999999999999</v>
      </c>
      <c r="L69" s="11">
        <v>929200</v>
      </c>
      <c r="M69" s="3">
        <v>406.53448393000002</v>
      </c>
      <c r="N69" s="23">
        <f>M69/((1+(C34/100))*(1+(C35/100))*(1+(C36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)</f>
        <v>219.05173946163617</v>
      </c>
      <c r="O69" s="8">
        <v>125232.40094000001</v>
      </c>
      <c r="P69" s="8">
        <v>523631.64789999998</v>
      </c>
      <c r="Q69" s="3">
        <v>21.537199999999999</v>
      </c>
      <c r="R69" s="3">
        <v>19.982019999999999</v>
      </c>
      <c r="S69" s="3">
        <v>22.43008</v>
      </c>
      <c r="T69" s="3">
        <v>13.74208</v>
      </c>
      <c r="U69" s="3">
        <v>5.3893079999999998</v>
      </c>
      <c r="V69" s="3">
        <v>11.73793</v>
      </c>
      <c r="W69" s="3">
        <v>13.16854</v>
      </c>
      <c r="X69" s="3">
        <f t="shared" si="10"/>
        <v>2.8789999999997207E-2</v>
      </c>
      <c r="Y69" s="3">
        <f t="shared" si="11"/>
        <v>-2.4290000000000589E-2</v>
      </c>
      <c r="Z69" s="3">
        <f t="shared" si="12"/>
        <v>-7.745999999999853E-2</v>
      </c>
      <c r="AA69" s="3">
        <f t="shared" si="13"/>
        <v>-0.10191999999999979</v>
      </c>
      <c r="AB69" s="3">
        <f t="shared" si="14"/>
        <v>1.3669999999999405E-2</v>
      </c>
      <c r="AC69" s="3">
        <f t="shared" si="15"/>
        <v>0.45626000000000033</v>
      </c>
      <c r="AD69" s="3">
        <f t="shared" si="16"/>
        <v>-6.4000000000064006E-4</v>
      </c>
    </row>
    <row r="70" spans="1:30" x14ac:dyDescent="0.25">
      <c r="A70" s="2" t="s">
        <v>108</v>
      </c>
      <c r="B70" s="8">
        <v>2629869821.8599997</v>
      </c>
      <c r="C70" s="10">
        <v>1.7</v>
      </c>
      <c r="D70" s="23">
        <f>B70/((1+(C31/100))*(1+(C32/100))*(1+(C33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1320785475.590975</v>
      </c>
      <c r="E70" s="3">
        <v>274792575.50999999</v>
      </c>
      <c r="F70" s="23">
        <f>E70/((1+(C31/100))*(1+(C32/100))*(1+(C33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138007607.64544237</v>
      </c>
      <c r="G70" s="3">
        <f t="shared" si="9"/>
        <v>-0.13019141504030207</v>
      </c>
      <c r="H70" s="3"/>
      <c r="I70" s="3">
        <f t="shared" si="17"/>
        <v>4806671298.8031349</v>
      </c>
      <c r="J70" s="11">
        <v>1180000</v>
      </c>
      <c r="K70" s="3">
        <v>19.8</v>
      </c>
      <c r="L70" s="11">
        <v>946500</v>
      </c>
      <c r="M70" s="3">
        <v>394.21835185999998</v>
      </c>
      <c r="N70" s="23">
        <f>M70/((1+(C31/100))*(1+(C32/100))*(1+(C33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*(1+(C34/100)))</f>
        <v>197.98617749826346</v>
      </c>
      <c r="O70" s="8">
        <v>119294.0548</v>
      </c>
      <c r="P70" s="8">
        <v>627901.12070000009</v>
      </c>
      <c r="Q70" s="3">
        <v>21.00149</v>
      </c>
      <c r="R70" s="3">
        <v>18.742819999999998</v>
      </c>
      <c r="S70" s="3">
        <v>22.394469999999998</v>
      </c>
      <c r="T70" s="3">
        <v>13.760529999999999</v>
      </c>
      <c r="U70" s="3">
        <v>5.2881970000000003</v>
      </c>
      <c r="V70" s="3">
        <v>11.689349999999999</v>
      </c>
      <c r="W70" s="3">
        <v>13.35014</v>
      </c>
      <c r="X70" s="3">
        <f t="shared" ref="X70:X101" si="18" xml:space="preserve"> (Q70-Q66)</f>
        <v>-4.2809999999999349E-2</v>
      </c>
      <c r="Y70" s="3">
        <f t="shared" ref="Y70:Y101" si="19" xml:space="preserve"> (R70-R66)</f>
        <v>-0.13948000000000249</v>
      </c>
      <c r="Z70" s="3">
        <f t="shared" ref="Z70:Z101" si="20" xml:space="preserve"> (S70-S66)</f>
        <v>-7.8460000000003305E-2</v>
      </c>
      <c r="AA70" s="3">
        <f t="shared" ref="AA70:AA101" si="21" xml:space="preserve"> (T70-T66)</f>
        <v>1.589999999998426E-3</v>
      </c>
      <c r="AB70" s="3">
        <f t="shared" ref="AB70:AB101" si="22" xml:space="preserve"> (U70-U66)</f>
        <v>2.7124000000000592E-2</v>
      </c>
      <c r="AC70" s="3">
        <f t="shared" ref="AC70:AC101" si="23" xml:space="preserve"> (V70-V66)</f>
        <v>0.32029999999999959</v>
      </c>
      <c r="AD70" s="3">
        <f t="shared" ref="AD70:AD101" si="24" xml:space="preserve"> (W70-W66)</f>
        <v>0.17168000000000028</v>
      </c>
    </row>
    <row r="71" spans="1:30" x14ac:dyDescent="0.25">
      <c r="A71" s="2" t="s">
        <v>109</v>
      </c>
      <c r="B71" s="8">
        <v>2622097542.0599999</v>
      </c>
      <c r="C71" s="10">
        <v>-2.1</v>
      </c>
      <c r="D71" s="23">
        <f>B71/((1+(C34/100))*(1+(C32/100))*(1+(C33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1370687235.8231177</v>
      </c>
      <c r="E71" s="3">
        <v>304510634.31999999</v>
      </c>
      <c r="F71" s="23">
        <f>E71/((1+(C34/100))*(1+(C32/100))*(1+(C33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159181278.70518181</v>
      </c>
      <c r="G71" s="3">
        <f t="shared" ref="G71" si="25">(F71/F67)-1</f>
        <v>-0.26277809867849888</v>
      </c>
      <c r="H71" s="3"/>
      <c r="I71" s="3">
        <f t="shared" si="17"/>
        <v>4661846501.0860872</v>
      </c>
      <c r="J71" s="12">
        <v>1245200</v>
      </c>
      <c r="K71" s="7">
        <v>17.5</v>
      </c>
      <c r="L71" s="12">
        <v>1027099.9999999999</v>
      </c>
      <c r="M71" s="3">
        <v>376.84994772333334</v>
      </c>
      <c r="N71" s="23">
        <f>M71/((1+(C34/100))*(1+(C32/100))*(1+(C33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*(1+(C39/100))*(1+(C38/100))*(1+(C37/100))*(1+(C36/100))*(1+(C35/100)))</f>
        <v>196.99626153463763</v>
      </c>
      <c r="O71" s="8">
        <v>126882.63688999999</v>
      </c>
      <c r="P71" s="8">
        <v>294459.58425999997</v>
      </c>
      <c r="Q71" s="3">
        <v>21.03858</v>
      </c>
      <c r="R71" s="3">
        <v>18.885549999999999</v>
      </c>
      <c r="S71" s="3">
        <v>22.361910000000002</v>
      </c>
      <c r="T71" s="3">
        <v>13.84225</v>
      </c>
      <c r="U71" s="3">
        <v>5.2831849999999996</v>
      </c>
      <c r="V71" s="29">
        <v>11.75102</v>
      </c>
      <c r="W71" s="29">
        <v>12.5929</v>
      </c>
      <c r="X71" s="32">
        <f t="shared" si="18"/>
        <v>-0.19056000000000139</v>
      </c>
      <c r="Y71" s="32">
        <f t="shared" si="19"/>
        <v>-0.30487000000000108</v>
      </c>
      <c r="Z71" s="32">
        <f t="shared" si="20"/>
        <v>-8.3159999999999457E-2</v>
      </c>
      <c r="AA71" s="32">
        <f t="shared" si="21"/>
        <v>-2.4710000000000676E-2</v>
      </c>
      <c r="AB71" s="32">
        <f t="shared" si="22"/>
        <v>-1.3535000000000075E-2</v>
      </c>
      <c r="AC71" s="32">
        <f t="shared" si="23"/>
        <v>0.5405300000000004</v>
      </c>
      <c r="AD71" s="32">
        <f t="shared" si="24"/>
        <v>-0.1561799999999991</v>
      </c>
    </row>
    <row r="72" spans="1:30" x14ac:dyDescent="0.25">
      <c r="A72" s="5" t="s">
        <v>6</v>
      </c>
      <c r="B72" s="1" t="s">
        <v>5</v>
      </c>
      <c r="C72" s="1" t="s">
        <v>25</v>
      </c>
      <c r="D72" s="20" t="s">
        <v>29</v>
      </c>
      <c r="E72" s="20" t="s">
        <v>5</v>
      </c>
      <c r="F72" s="20" t="s">
        <v>29</v>
      </c>
      <c r="G72" s="20" t="s">
        <v>29</v>
      </c>
      <c r="H72" s="20"/>
      <c r="I72" s="20" t="s">
        <v>29</v>
      </c>
      <c r="J72" s="1" t="s">
        <v>7</v>
      </c>
      <c r="K72" s="1" t="s">
        <v>7</v>
      </c>
      <c r="L72" s="1" t="s">
        <v>7</v>
      </c>
      <c r="M72" s="22" t="s">
        <v>111</v>
      </c>
      <c r="N72" s="20" t="s">
        <v>29</v>
      </c>
      <c r="O72" s="1" t="s">
        <v>136</v>
      </c>
      <c r="P72" s="1" t="s">
        <v>137</v>
      </c>
      <c r="Q72" s="1"/>
      <c r="R72" s="1"/>
      <c r="S72" s="1"/>
      <c r="T72" s="1"/>
      <c r="U72" s="1"/>
      <c r="V72" s="20"/>
      <c r="W72" s="20"/>
      <c r="X72" s="20"/>
      <c r="Y72" s="20"/>
      <c r="Z72" s="20"/>
      <c r="AA72" s="20"/>
      <c r="AB72" s="20"/>
      <c r="AC72" s="20"/>
      <c r="AD72" s="20"/>
    </row>
    <row r="73" spans="1:30" x14ac:dyDescent="0.25">
      <c r="A73" s="5" t="s">
        <v>27</v>
      </c>
      <c r="B73" s="1"/>
      <c r="C73" s="1" t="s">
        <v>23</v>
      </c>
      <c r="D73" s="21" t="s">
        <v>24</v>
      </c>
      <c r="E73" s="20"/>
      <c r="F73" s="1" t="s">
        <v>24</v>
      </c>
      <c r="G73" s="1" t="s">
        <v>30</v>
      </c>
      <c r="H73" s="1"/>
      <c r="I73" s="1" t="s">
        <v>37</v>
      </c>
      <c r="J73" s="1"/>
      <c r="K73" s="1"/>
      <c r="L73" s="1"/>
      <c r="M73" s="1" t="s">
        <v>112</v>
      </c>
      <c r="N73" s="21" t="s">
        <v>24</v>
      </c>
      <c r="O73" s="1" t="s">
        <v>135</v>
      </c>
      <c r="P73" s="1" t="s">
        <v>135</v>
      </c>
      <c r="Q73" s="20" t="s">
        <v>126</v>
      </c>
      <c r="R73" s="20" t="s">
        <v>126</v>
      </c>
      <c r="S73" s="20" t="s">
        <v>126</v>
      </c>
      <c r="T73" s="20" t="s">
        <v>126</v>
      </c>
      <c r="U73" s="20" t="s">
        <v>126</v>
      </c>
      <c r="V73" s="20" t="s">
        <v>126</v>
      </c>
      <c r="W73" s="20" t="s">
        <v>126</v>
      </c>
      <c r="X73" s="1" t="s">
        <v>138</v>
      </c>
      <c r="Y73" s="1" t="s">
        <v>139</v>
      </c>
      <c r="Z73" s="1" t="s">
        <v>140</v>
      </c>
      <c r="AA73" s="1" t="s">
        <v>141</v>
      </c>
      <c r="AB73" s="1" t="s">
        <v>142</v>
      </c>
      <c r="AC73" s="1" t="s">
        <v>143</v>
      </c>
      <c r="AD73" s="1" t="s">
        <v>144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112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9.140625" style="1"/>
    <col min="2" max="2" width="37" style="8" customWidth="1"/>
    <col min="3" max="3" width="36.85546875" bestFit="1" customWidth="1"/>
    <col min="4" max="4" width="64.85546875" bestFit="1" customWidth="1"/>
    <col min="5" max="5" width="21.28515625" customWidth="1"/>
    <col min="6" max="6" width="34.42578125" customWidth="1"/>
    <col min="7" max="7" width="22.85546875" bestFit="1" customWidth="1"/>
  </cols>
  <sheetData>
    <row r="1" spans="1:7" s="1" customFormat="1" x14ac:dyDescent="0.25">
      <c r="A1" s="2" t="s">
        <v>4</v>
      </c>
      <c r="B1" s="2" t="s">
        <v>16</v>
      </c>
      <c r="C1" s="2" t="s">
        <v>10</v>
      </c>
      <c r="D1" s="2" t="s">
        <v>13</v>
      </c>
      <c r="E1" s="2" t="s">
        <v>20</v>
      </c>
      <c r="F1" s="2" t="s">
        <v>9</v>
      </c>
      <c r="G1" s="2" t="s">
        <v>21</v>
      </c>
    </row>
    <row r="2" spans="1:7" x14ac:dyDescent="0.25">
      <c r="A2" s="6">
        <v>1990</v>
      </c>
      <c r="B2" s="8">
        <v>2994831558.6307173</v>
      </c>
      <c r="D2" s="4">
        <v>6352022584.9372396</v>
      </c>
      <c r="E2">
        <v>1422950</v>
      </c>
    </row>
    <row r="3" spans="1:7" x14ac:dyDescent="0.25">
      <c r="A3" s="2">
        <v>1991</v>
      </c>
      <c r="B3" s="8">
        <v>2231146974.8774848</v>
      </c>
      <c r="C3" s="4"/>
      <c r="D3" s="4">
        <v>5608836038.7377501</v>
      </c>
      <c r="E3">
        <v>1405666</v>
      </c>
      <c r="F3" s="3">
        <v>1.6</v>
      </c>
      <c r="G3">
        <f>E3*(1-(F3/100))</f>
        <v>1383175.344</v>
      </c>
    </row>
    <row r="4" spans="1:7" x14ac:dyDescent="0.25">
      <c r="A4" s="2">
        <v>1992</v>
      </c>
      <c r="B4" s="8">
        <v>53249855.405488491</v>
      </c>
      <c r="C4" s="4"/>
      <c r="D4" s="4">
        <v>3264342420.5985098</v>
      </c>
      <c r="E4">
        <v>1375031</v>
      </c>
      <c r="F4" s="3">
        <v>1.7999999499999999</v>
      </c>
      <c r="G4" s="8">
        <f t="shared" ref="G4:G32" si="0">E4*(1-(F4/100))</f>
        <v>1350280.4426875156</v>
      </c>
    </row>
    <row r="5" spans="1:7" x14ac:dyDescent="0.25">
      <c r="A5" s="2">
        <v>1993</v>
      </c>
      <c r="B5" s="8">
        <v>293903414.35699958</v>
      </c>
      <c r="C5" s="4"/>
      <c r="D5" s="4">
        <v>2977080326.9485202</v>
      </c>
      <c r="E5">
        <v>1336754</v>
      </c>
      <c r="F5" s="3">
        <v>5.3000001900000004</v>
      </c>
      <c r="G5" s="8">
        <f t="shared" si="0"/>
        <v>1265906.0354601673</v>
      </c>
    </row>
    <row r="6" spans="1:7" x14ac:dyDescent="0.25">
      <c r="A6" s="2">
        <v>1994</v>
      </c>
      <c r="B6" s="8">
        <v>876780976.1700027</v>
      </c>
      <c r="C6" s="4">
        <v>831422610.60000002</v>
      </c>
      <c r="D6" s="4">
        <v>3137842747.4491601</v>
      </c>
      <c r="E6">
        <v>1298639</v>
      </c>
      <c r="F6" s="3">
        <v>6.5999999000000003</v>
      </c>
      <c r="G6" s="8">
        <f t="shared" si="0"/>
        <v>1212928.8272986391</v>
      </c>
    </row>
    <row r="7" spans="1:7" x14ac:dyDescent="0.25">
      <c r="A7" s="2">
        <v>1995</v>
      </c>
      <c r="B7" s="8">
        <v>697993046.36727691</v>
      </c>
      <c r="C7" s="4">
        <v>703043212.44500005</v>
      </c>
      <c r="D7" s="4">
        <v>3354353847.3052702</v>
      </c>
      <c r="E7">
        <v>1266047</v>
      </c>
      <c r="F7" s="3">
        <v>6.6999998099999996</v>
      </c>
      <c r="G7" s="8">
        <f t="shared" si="0"/>
        <v>1181221.8534054894</v>
      </c>
    </row>
    <row r="8" spans="1:7" x14ac:dyDescent="0.25">
      <c r="A8" s="2">
        <v>1996</v>
      </c>
      <c r="B8" s="8">
        <v>749120454.49858809</v>
      </c>
      <c r="C8" s="4">
        <v>763470066.82799995</v>
      </c>
      <c r="D8" s="4">
        <v>3551100143.0531402</v>
      </c>
      <c r="E8">
        <v>1245939</v>
      </c>
      <c r="F8" s="3">
        <v>9.3000001900000004</v>
      </c>
      <c r="G8" s="8">
        <f t="shared" si="0"/>
        <v>1130066.6706327158</v>
      </c>
    </row>
    <row r="9" spans="1:7" x14ac:dyDescent="0.25">
      <c r="A9" s="2">
        <v>1997</v>
      </c>
      <c r="B9" s="8">
        <v>853625918.3081497</v>
      </c>
      <c r="C9" s="4">
        <v>787166622.42299998</v>
      </c>
      <c r="D9" s="4">
        <v>3669035008.9692702</v>
      </c>
      <c r="E9">
        <v>1233426</v>
      </c>
      <c r="F9" s="3">
        <v>10.80000019</v>
      </c>
      <c r="G9" s="8">
        <f t="shared" si="0"/>
        <v>1100215.9896564905</v>
      </c>
    </row>
    <row r="10" spans="1:7" x14ac:dyDescent="0.25">
      <c r="A10" s="2">
        <v>1998</v>
      </c>
      <c r="B10" s="8">
        <v>893133216.32180691</v>
      </c>
      <c r="C10" s="4">
        <v>881271785.78400004</v>
      </c>
      <c r="D10" s="4">
        <v>3936874564.2319298</v>
      </c>
      <c r="E10">
        <v>1226818</v>
      </c>
      <c r="F10" s="3">
        <v>9.3999996199999991</v>
      </c>
      <c r="G10" s="8">
        <f t="shared" si="0"/>
        <v>1111497.1126619084</v>
      </c>
    </row>
    <row r="11" spans="1:7" x14ac:dyDescent="0.25">
      <c r="A11" s="2">
        <v>1999</v>
      </c>
      <c r="B11" s="8">
        <v>844627050.0236007</v>
      </c>
      <c r="C11" s="4">
        <v>881603801.62699997</v>
      </c>
      <c r="D11" s="4">
        <v>4066791424.9299502</v>
      </c>
      <c r="E11">
        <v>1222890</v>
      </c>
      <c r="F11" s="3">
        <v>11.19999981</v>
      </c>
      <c r="G11" s="8">
        <f t="shared" si="0"/>
        <v>1085926.3223234911</v>
      </c>
    </row>
    <row r="12" spans="1:7" x14ac:dyDescent="0.25">
      <c r="A12" s="2">
        <v>2000</v>
      </c>
      <c r="B12" s="8">
        <v>944136087.71641302</v>
      </c>
      <c r="C12" s="4">
        <v>1028000000</v>
      </c>
      <c r="D12" s="4">
        <v>4306732119.0008097</v>
      </c>
      <c r="E12">
        <v>1219082</v>
      </c>
      <c r="F12" s="3">
        <v>11.053999900000001</v>
      </c>
      <c r="G12" s="8">
        <f t="shared" si="0"/>
        <v>1084324.6769390821</v>
      </c>
    </row>
    <row r="13" spans="1:7" x14ac:dyDescent="0.25">
      <c r="A13" s="2">
        <v>2001</v>
      </c>
      <c r="B13" s="8">
        <v>1081126431.4338784</v>
      </c>
      <c r="C13" s="4">
        <v>1087000000</v>
      </c>
      <c r="D13" s="4">
        <v>4720178402.42488</v>
      </c>
      <c r="E13">
        <v>1221450</v>
      </c>
      <c r="F13" s="3">
        <v>10.93299961</v>
      </c>
      <c r="G13" s="8">
        <f t="shared" si="0"/>
        <v>1087908.876263655</v>
      </c>
    </row>
    <row r="14" spans="1:7" x14ac:dyDescent="0.25">
      <c r="A14" s="2">
        <v>2002</v>
      </c>
      <c r="B14" s="8">
        <v>1358161095.9386508</v>
      </c>
      <c r="C14" s="4">
        <v>1449000000</v>
      </c>
      <c r="D14" s="4">
        <v>5343241951.5449696</v>
      </c>
      <c r="E14">
        <v>1222954</v>
      </c>
      <c r="F14" s="3">
        <v>10.8920002</v>
      </c>
      <c r="G14" s="8">
        <f t="shared" si="0"/>
        <v>1089749.8478740919</v>
      </c>
    </row>
    <row r="15" spans="1:7" x14ac:dyDescent="0.25">
      <c r="A15" s="2">
        <v>2003</v>
      </c>
      <c r="B15" s="8">
        <v>1726757493.7256606</v>
      </c>
      <c r="C15" s="4">
        <v>1850000000</v>
      </c>
      <c r="D15" s="4">
        <v>6091295824.7612696</v>
      </c>
      <c r="E15">
        <v>1224345</v>
      </c>
      <c r="F15" s="3">
        <v>10.78299999</v>
      </c>
      <c r="G15" s="8">
        <f t="shared" si="0"/>
        <v>1092323.8787724345</v>
      </c>
    </row>
    <row r="16" spans="1:7" x14ac:dyDescent="0.25">
      <c r="A16" s="2">
        <v>2004</v>
      </c>
      <c r="B16" s="8">
        <v>1960204961.0761631</v>
      </c>
      <c r="C16" s="4">
        <v>2202000000</v>
      </c>
      <c r="D16" s="4">
        <v>6730881886.3611898</v>
      </c>
      <c r="E16">
        <v>1227033</v>
      </c>
      <c r="F16" s="3">
        <v>10.597999570000001</v>
      </c>
      <c r="G16" s="8">
        <f t="shared" si="0"/>
        <v>1096992.0479362418</v>
      </c>
    </row>
    <row r="17" spans="1:7" x14ac:dyDescent="0.25">
      <c r="A17" s="2">
        <v>2005</v>
      </c>
      <c r="B17" s="8">
        <v>2741948249.0536237</v>
      </c>
      <c r="C17" s="4">
        <v>2845000000</v>
      </c>
      <c r="D17" s="4">
        <v>7666474468.5654001</v>
      </c>
      <c r="E17">
        <v>1231694</v>
      </c>
      <c r="F17" s="3">
        <v>10.39299965</v>
      </c>
      <c r="G17" s="8">
        <f t="shared" si="0"/>
        <v>1103684.0468909289</v>
      </c>
    </row>
    <row r="18" spans="1:7" x14ac:dyDescent="0.25">
      <c r="A18" s="2">
        <v>2006</v>
      </c>
      <c r="B18" s="8">
        <v>3664514851.6604381</v>
      </c>
      <c r="C18" s="4">
        <v>3804000000</v>
      </c>
      <c r="D18" s="4">
        <v>8678449098.4160309</v>
      </c>
      <c r="E18">
        <v>1234371</v>
      </c>
      <c r="F18" s="3">
        <v>10.09000015</v>
      </c>
      <c r="G18" s="8">
        <f t="shared" si="0"/>
        <v>1109822.9642484435</v>
      </c>
    </row>
    <row r="19" spans="1:7" x14ac:dyDescent="0.25">
      <c r="A19" s="2">
        <v>2007</v>
      </c>
      <c r="B19" s="8">
        <v>4376350548.5786848</v>
      </c>
      <c r="C19" s="4">
        <v>4495000000</v>
      </c>
      <c r="D19" s="4">
        <v>9867396624.8990498</v>
      </c>
      <c r="E19">
        <v>1238954</v>
      </c>
      <c r="F19" s="3">
        <v>9.8120002700000004</v>
      </c>
      <c r="G19" s="8">
        <f t="shared" si="0"/>
        <v>1117387.8301748242</v>
      </c>
    </row>
    <row r="20" spans="1:7" x14ac:dyDescent="0.25">
      <c r="A20" s="2">
        <v>2008</v>
      </c>
      <c r="B20" s="8">
        <v>5057128737.4129629</v>
      </c>
      <c r="C20" s="4">
        <v>5030000000</v>
      </c>
      <c r="D20" s="4">
        <v>10548246992.017099</v>
      </c>
      <c r="E20">
        <v>1243022</v>
      </c>
      <c r="F20" s="3">
        <v>13.475000380000001</v>
      </c>
      <c r="G20" s="8">
        <f t="shared" si="0"/>
        <v>1075524.7807765163</v>
      </c>
    </row>
    <row r="21" spans="1:7" x14ac:dyDescent="0.25">
      <c r="A21" s="2">
        <v>2009</v>
      </c>
      <c r="B21" s="8">
        <v>3728130080.3823357</v>
      </c>
      <c r="C21" s="4">
        <v>3755000000</v>
      </c>
      <c r="D21" s="4">
        <v>9060944166.1426601</v>
      </c>
      <c r="E21">
        <v>1253066</v>
      </c>
      <c r="F21" s="3">
        <v>18.43600082</v>
      </c>
      <c r="G21" s="8">
        <f t="shared" si="0"/>
        <v>1022050.7419648588</v>
      </c>
    </row>
    <row r="22" spans="1:7" x14ac:dyDescent="0.25">
      <c r="A22" s="2">
        <v>2010</v>
      </c>
      <c r="B22" s="8">
        <v>3594356909.5475774</v>
      </c>
      <c r="C22" s="4">
        <v>3646000000</v>
      </c>
      <c r="D22" s="4">
        <v>9260284937.7978191</v>
      </c>
      <c r="E22">
        <v>1310196</v>
      </c>
      <c r="F22" s="3">
        <v>19.007999420000001</v>
      </c>
      <c r="G22" s="8">
        <f t="shared" si="0"/>
        <v>1061153.9519191368</v>
      </c>
    </row>
    <row r="23" spans="1:7" x14ac:dyDescent="0.25">
      <c r="A23" s="2">
        <v>2011</v>
      </c>
      <c r="B23" s="8">
        <v>3094983871.316761</v>
      </c>
      <c r="C23" s="4">
        <v>3238000000</v>
      </c>
      <c r="D23" s="4">
        <v>9695518329.8743</v>
      </c>
      <c r="E23">
        <v>1341719</v>
      </c>
      <c r="F23" s="3">
        <v>18.443000789999999</v>
      </c>
      <c r="G23" s="8">
        <f t="shared" si="0"/>
        <v>1094265.7542304199</v>
      </c>
    </row>
    <row r="24" spans="1:7" x14ac:dyDescent="0.25">
      <c r="A24" s="2">
        <v>2012</v>
      </c>
      <c r="B24" s="8">
        <v>2632480124.0566807</v>
      </c>
      <c r="C24" s="4">
        <v>3182000000</v>
      </c>
      <c r="D24" s="4">
        <v>10393595649.625299</v>
      </c>
      <c r="E24">
        <v>1351021</v>
      </c>
      <c r="F24" s="3">
        <v>17.301000599999998</v>
      </c>
      <c r="G24" s="8">
        <f t="shared" si="0"/>
        <v>1117280.8486838741</v>
      </c>
    </row>
    <row r="25" spans="1:7" x14ac:dyDescent="0.25">
      <c r="A25" s="2">
        <v>2013</v>
      </c>
      <c r="B25" s="8">
        <v>2390342957.01688</v>
      </c>
      <c r="C25" s="4">
        <v>2958000000</v>
      </c>
      <c r="D25" s="4">
        <v>10736584306.062901</v>
      </c>
      <c r="E25">
        <v>1360350</v>
      </c>
      <c r="F25" s="3">
        <v>16.179000850000001</v>
      </c>
      <c r="G25" s="8">
        <f t="shared" si="0"/>
        <v>1140258.961937025</v>
      </c>
    </row>
    <row r="26" spans="1:7" x14ac:dyDescent="0.25">
      <c r="A26" s="2">
        <v>2014</v>
      </c>
      <c r="B26" s="8">
        <v>2321598781.6688709</v>
      </c>
      <c r="C26" s="4">
        <v>2894000000</v>
      </c>
      <c r="D26" s="4">
        <v>11123101341.0811</v>
      </c>
      <c r="E26">
        <v>1348081</v>
      </c>
      <c r="F26" s="3">
        <v>17.497999190000002</v>
      </c>
      <c r="G26" s="8">
        <f t="shared" si="0"/>
        <v>1112193.797539456</v>
      </c>
    </row>
    <row r="27" spans="1:7" x14ac:dyDescent="0.25">
      <c r="A27" s="2">
        <v>2015</v>
      </c>
      <c r="B27" s="8">
        <v>2379665966.5071373</v>
      </c>
      <c r="C27" s="4">
        <v>2965000000</v>
      </c>
      <c r="D27" s="4">
        <v>11479040583.995701</v>
      </c>
      <c r="E27">
        <v>1334775</v>
      </c>
      <c r="F27" s="3">
        <v>18.260999680000001</v>
      </c>
      <c r="G27" s="8">
        <f t="shared" si="0"/>
        <v>1091031.74152128</v>
      </c>
    </row>
    <row r="28" spans="1:7" x14ac:dyDescent="0.25">
      <c r="A28" s="2">
        <v>2016</v>
      </c>
      <c r="B28" s="8">
        <v>2072143567.1388855</v>
      </c>
      <c r="C28" s="4">
        <v>2627000000</v>
      </c>
      <c r="D28" s="4">
        <v>11501998665.1637</v>
      </c>
      <c r="E28">
        <v>1310061</v>
      </c>
      <c r="F28" s="3">
        <v>17.617000579999999</v>
      </c>
      <c r="G28" s="8">
        <f t="shared" si="0"/>
        <v>1079267.5460316462</v>
      </c>
    </row>
    <row r="29" spans="1:7" x14ac:dyDescent="0.25">
      <c r="A29" s="2">
        <v>2017</v>
      </c>
      <c r="B29" s="8">
        <v>2385101916.3971415</v>
      </c>
      <c r="C29" s="4">
        <v>2882000000</v>
      </c>
      <c r="D29" s="4">
        <v>12364648565.051001</v>
      </c>
      <c r="E29">
        <v>1303653</v>
      </c>
      <c r="F29" s="3">
        <v>17.704999919999999</v>
      </c>
      <c r="G29" s="8">
        <f t="shared" si="0"/>
        <v>1072841.2373929224</v>
      </c>
    </row>
    <row r="30" spans="1:7" x14ac:dyDescent="0.25">
      <c r="A30" s="2">
        <v>2018</v>
      </c>
      <c r="B30" s="8">
        <v>2913670797.6992717</v>
      </c>
      <c r="C30" s="4">
        <v>3021000000</v>
      </c>
      <c r="D30" s="4">
        <v>13007610290.433701</v>
      </c>
      <c r="E30">
        <v>1303093</v>
      </c>
      <c r="F30" s="3">
        <v>17.496000290000001</v>
      </c>
      <c r="G30" s="8">
        <f t="shared" si="0"/>
        <v>1075103.8449410303</v>
      </c>
    </row>
    <row r="31" spans="1:7" x14ac:dyDescent="0.25">
      <c r="A31" s="2">
        <v>2019</v>
      </c>
      <c r="B31" s="8">
        <v>2441997059.2004728</v>
      </c>
      <c r="C31" s="4">
        <v>3153000000</v>
      </c>
      <c r="D31" s="4">
        <v>13996188672.506599</v>
      </c>
      <c r="E31">
        <v>1303565</v>
      </c>
      <c r="F31" s="3">
        <v>16.989999770000001</v>
      </c>
      <c r="G31" s="8">
        <f t="shared" si="0"/>
        <v>1082089.3094981995</v>
      </c>
    </row>
    <row r="32" spans="1:7" s="4" customFormat="1" x14ac:dyDescent="0.25">
      <c r="A32" s="2">
        <v>2020</v>
      </c>
      <c r="B32" s="3"/>
      <c r="C32" s="3"/>
      <c r="E32" s="4">
        <v>1302781</v>
      </c>
      <c r="F32" s="3">
        <v>16.625</v>
      </c>
      <c r="G32" s="8">
        <f t="shared" si="0"/>
        <v>1086193.6587499999</v>
      </c>
    </row>
    <row r="33" spans="1:6" x14ac:dyDescent="0.25">
      <c r="A33" s="2" t="s">
        <v>1</v>
      </c>
      <c r="B33" s="8" t="s">
        <v>19</v>
      </c>
      <c r="C33" t="s">
        <v>11</v>
      </c>
      <c r="D33" t="s">
        <v>0</v>
      </c>
      <c r="E33" s="4" t="s">
        <v>8</v>
      </c>
      <c r="F33" t="s">
        <v>2</v>
      </c>
    </row>
    <row r="37" spans="1:6" x14ac:dyDescent="0.25">
      <c r="B37" s="8" t="s">
        <v>17</v>
      </c>
      <c r="C37" t="s">
        <v>15</v>
      </c>
      <c r="D37" t="s">
        <v>12</v>
      </c>
    </row>
    <row r="38" spans="1:6" x14ac:dyDescent="0.25">
      <c r="B38" s="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</vt:lpstr>
      <vt:lpstr>Estimations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Kaprelian</dc:creator>
  <cp:lastModifiedBy>Armen Kaprelian</cp:lastModifiedBy>
  <dcterms:created xsi:type="dcterms:W3CDTF">2015-06-05T18:17:20Z</dcterms:created>
  <dcterms:modified xsi:type="dcterms:W3CDTF">2021-02-03T14:06:59Z</dcterms:modified>
</cp:coreProperties>
</file>