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/>
  <mc:AlternateContent xmlns:mc="http://schemas.openxmlformats.org/markup-compatibility/2006">
    <mc:Choice Requires="x15">
      <x15ac:absPath xmlns:x15ac="http://schemas.microsoft.com/office/spreadsheetml/2010/11/ac" url="D:\OneDrive\NTHU\Course\Experiment Physics\A3\"/>
    </mc:Choice>
  </mc:AlternateContent>
  <xr:revisionPtr revIDLastSave="0" documentId="13_ncr:1_{BCDBD12B-47F2-4A1C-A9BF-883BC592EF3D}" xr6:coauthVersionLast="38" xr6:coauthVersionMax="38" xr10:uidLastSave="{00000000-0000-0000-0000-000000000000}"/>
  <bookViews>
    <workbookView xWindow="0" yWindow="0" windowWidth="24305" windowHeight="13786" activeTab="3" xr2:uid="{00000000-000D-0000-FFFF-FFFF00000000}"/>
  </bookViews>
  <sheets>
    <sheet name="實驗一" sheetId="1" r:id="rId1"/>
    <sheet name="實驗二" sheetId="2" r:id="rId2"/>
    <sheet name="實驗三-1" sheetId="3" r:id="rId3"/>
    <sheet name="實驗三-2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1" i="4" l="1"/>
  <c r="B21" i="4"/>
  <c r="I3" i="4"/>
  <c r="I4" i="4"/>
  <c r="I5" i="4"/>
  <c r="I6" i="4"/>
  <c r="I7" i="4"/>
  <c r="I8" i="4"/>
  <c r="I9" i="4"/>
  <c r="I10" i="4"/>
  <c r="I11" i="4"/>
  <c r="I12" i="4"/>
  <c r="I13" i="4"/>
  <c r="I2" i="4"/>
  <c r="J2" i="4"/>
  <c r="C2" i="4"/>
  <c r="E3" i="4"/>
  <c r="L9" i="3"/>
  <c r="E8" i="4"/>
  <c r="E3" i="3"/>
  <c r="E4" i="4"/>
  <c r="E5" i="4"/>
  <c r="H16" i="4"/>
  <c r="C19" i="4"/>
  <c r="B21" i="3"/>
  <c r="K22" i="3"/>
  <c r="F11" i="3"/>
  <c r="F4" i="3"/>
  <c r="F5" i="3"/>
  <c r="F6" i="3"/>
  <c r="F7" i="3"/>
  <c r="F8" i="3"/>
  <c r="F9" i="3"/>
  <c r="F10" i="3"/>
  <c r="F3" i="3"/>
  <c r="E11" i="3"/>
  <c r="C21" i="3" s="1"/>
  <c r="C13" i="3"/>
  <c r="E4" i="3"/>
  <c r="E5" i="3"/>
  <c r="E6" i="3"/>
  <c r="E7" i="3"/>
  <c r="E8" i="3"/>
  <c r="E9" i="3"/>
  <c r="E10" i="3"/>
  <c r="C4" i="3"/>
  <c r="C3" i="3"/>
  <c r="N2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E8" i="2"/>
  <c r="M21" i="3" l="1"/>
  <c r="E10" i="2"/>
  <c r="L16" i="3" l="1"/>
  <c r="M16" i="3" s="1"/>
  <c r="J16" i="3"/>
  <c r="L15" i="3"/>
  <c r="M15" i="3" s="1"/>
  <c r="J15" i="3"/>
  <c r="L14" i="3"/>
  <c r="M14" i="3" s="1"/>
  <c r="J14" i="3"/>
  <c r="L13" i="3"/>
  <c r="M13" i="3" s="1"/>
  <c r="J13" i="3"/>
  <c r="L11" i="3"/>
  <c r="M11" i="3" s="1"/>
  <c r="J11" i="3"/>
  <c r="J15" i="4"/>
  <c r="K2" i="4"/>
  <c r="J3" i="4"/>
  <c r="K3" i="4" s="1"/>
  <c r="J13" i="4"/>
  <c r="K13" i="4" s="1"/>
  <c r="J12" i="4"/>
  <c r="K12" i="4" s="1"/>
  <c r="J11" i="4"/>
  <c r="K11" i="4" s="1"/>
  <c r="J10" i="4"/>
  <c r="K10" i="4" s="1"/>
  <c r="J9" i="4"/>
  <c r="K9" i="4" s="1"/>
  <c r="H2" i="4"/>
  <c r="H3" i="4"/>
  <c r="H13" i="4"/>
  <c r="H12" i="4"/>
  <c r="H11" i="4"/>
  <c r="H10" i="4"/>
  <c r="H9" i="4"/>
  <c r="D8" i="4"/>
  <c r="D7" i="4"/>
  <c r="E7" i="4" s="1"/>
  <c r="D6" i="4"/>
  <c r="D5" i="4"/>
  <c r="D4" i="4"/>
  <c r="D3" i="4"/>
  <c r="E6" i="4"/>
  <c r="D10" i="3"/>
  <c r="D9" i="3"/>
  <c r="D8" i="3"/>
  <c r="D7" i="3"/>
  <c r="D6" i="3"/>
  <c r="D5" i="3"/>
  <c r="D4" i="3"/>
  <c r="D3" i="3"/>
  <c r="D2" i="3"/>
  <c r="J9" i="3"/>
  <c r="M9" i="3"/>
  <c r="L12" i="3"/>
  <c r="M12" i="3" s="1"/>
  <c r="L10" i="3"/>
  <c r="M10" i="3" s="1"/>
  <c r="J12" i="3"/>
  <c r="J10" i="3"/>
  <c r="D3" i="2"/>
  <c r="D4" i="2"/>
  <c r="D5" i="2"/>
  <c r="D6" i="2"/>
  <c r="D2" i="2"/>
  <c r="C12" i="4"/>
  <c r="J5" i="4"/>
  <c r="K5" i="4" s="1"/>
  <c r="J6" i="4"/>
  <c r="K6" i="4" s="1"/>
  <c r="J7" i="4"/>
  <c r="K7" i="4" s="1"/>
  <c r="J8" i="4"/>
  <c r="K8" i="4" s="1"/>
  <c r="J4" i="4"/>
  <c r="K4" i="4" s="1"/>
  <c r="H5" i="4"/>
  <c r="H6" i="4"/>
  <c r="H7" i="4"/>
  <c r="H8" i="4"/>
  <c r="H4" i="4"/>
  <c r="C3" i="4"/>
  <c r="C4" i="4"/>
  <c r="C5" i="4"/>
  <c r="C6" i="4"/>
  <c r="C7" i="4"/>
  <c r="C8" i="4"/>
  <c r="L3" i="3"/>
  <c r="M3" i="3" s="1"/>
  <c r="L4" i="3"/>
  <c r="M4" i="3" s="1"/>
  <c r="L5" i="3"/>
  <c r="M5" i="3" s="1"/>
  <c r="L6" i="3"/>
  <c r="M6" i="3" s="1"/>
  <c r="L7" i="3"/>
  <c r="M7" i="3" s="1"/>
  <c r="L8" i="3"/>
  <c r="M8" i="3" s="1"/>
  <c r="L2" i="3"/>
  <c r="M2" i="3" s="1"/>
  <c r="J3" i="3"/>
  <c r="J4" i="3"/>
  <c r="J5" i="3"/>
  <c r="J6" i="3"/>
  <c r="J7" i="3"/>
  <c r="J8" i="3"/>
  <c r="J2" i="3"/>
  <c r="C8" i="3"/>
  <c r="C9" i="3"/>
  <c r="C10" i="3"/>
  <c r="C5" i="3"/>
  <c r="C6" i="3"/>
  <c r="C7" i="3"/>
  <c r="C2" i="3"/>
  <c r="F3" i="2"/>
  <c r="F4" i="2"/>
  <c r="F5" i="2"/>
  <c r="F6" i="2"/>
  <c r="F2" i="2"/>
  <c r="B6" i="1"/>
  <c r="C6" i="1" s="1"/>
  <c r="D6" i="1" s="1"/>
  <c r="B5" i="1"/>
  <c r="B4" i="1"/>
  <c r="C4" i="1" s="1"/>
  <c r="D4" i="1" s="1"/>
  <c r="B3" i="1"/>
  <c r="B2" i="1"/>
  <c r="C2" i="1" s="1"/>
  <c r="D2" i="1" s="1"/>
  <c r="F3" i="1"/>
  <c r="F4" i="1"/>
  <c r="F5" i="1"/>
  <c r="F6" i="1"/>
  <c r="F2" i="1"/>
  <c r="C3" i="1"/>
  <c r="D3" i="1" s="1"/>
  <c r="C5" i="1"/>
  <c r="D5" i="1" s="1"/>
  <c r="H15" i="4" l="1"/>
  <c r="J19" i="3"/>
  <c r="J18" i="3"/>
  <c r="E9" i="4"/>
  <c r="K18" i="4" s="1"/>
  <c r="E5" i="2"/>
  <c r="E4" i="2"/>
  <c r="E3" i="2"/>
  <c r="E6" i="2"/>
</calcChain>
</file>

<file path=xl/sharedStrings.xml><?xml version="1.0" encoding="utf-8"?>
<sst xmlns="http://schemas.openxmlformats.org/spreadsheetml/2006/main" count="52" uniqueCount="37">
  <si>
    <t>吊掛質量(kg)</t>
    <phoneticPr fontId="1" type="noConversion"/>
  </si>
  <si>
    <t>力(N)</t>
    <phoneticPr fontId="1" type="noConversion"/>
  </si>
  <si>
    <t>力矩(Nm)</t>
    <phoneticPr fontId="1" type="noConversion"/>
  </si>
  <si>
    <t>角度(度)</t>
    <phoneticPr fontId="1" type="noConversion"/>
  </si>
  <si>
    <t>角度(rad)</t>
    <phoneticPr fontId="1" type="noConversion"/>
  </si>
  <si>
    <t>重力加速度</t>
    <phoneticPr fontId="1" type="noConversion"/>
  </si>
  <si>
    <t>力臂(m)</t>
    <phoneticPr fontId="1" type="noConversion"/>
  </si>
  <si>
    <t>250*2</t>
    <phoneticPr fontId="1" type="noConversion"/>
  </si>
  <si>
    <t>250*2</t>
    <phoneticPr fontId="1" type="noConversion"/>
  </si>
  <si>
    <t>1000*2</t>
    <phoneticPr fontId="1" type="noConversion"/>
  </si>
  <si>
    <t>位置</t>
    <phoneticPr fontId="1" type="noConversion"/>
  </si>
  <si>
    <t>7.5cm</t>
    <phoneticPr fontId="1" type="noConversion"/>
  </si>
  <si>
    <t>15cm</t>
    <phoneticPr fontId="1" type="noConversion"/>
  </si>
  <si>
    <t>週期(s)</t>
    <phoneticPr fontId="1" type="noConversion"/>
  </si>
  <si>
    <t>轉動慣量I</t>
    <phoneticPr fontId="1" type="noConversion"/>
  </si>
  <si>
    <t>扭轉係數K</t>
    <phoneticPr fontId="1" type="noConversion"/>
  </si>
  <si>
    <t>delta I</t>
    <phoneticPr fontId="1" type="noConversion"/>
  </si>
  <si>
    <t>T^2</t>
    <phoneticPr fontId="1" type="noConversion"/>
  </si>
  <si>
    <t>質量(g)</t>
    <phoneticPr fontId="1" type="noConversion"/>
  </si>
  <si>
    <t>K</t>
    <phoneticPr fontId="1" type="noConversion"/>
  </si>
  <si>
    <t>阻尼</t>
    <phoneticPr fontId="1" type="noConversion"/>
  </si>
  <si>
    <t>頻率(1/s)</t>
    <phoneticPr fontId="1" type="noConversion"/>
  </si>
  <si>
    <t>週期(s)</t>
    <phoneticPr fontId="1" type="noConversion"/>
  </si>
  <si>
    <t>振幅(度)</t>
    <phoneticPr fontId="1" type="noConversion"/>
  </si>
  <si>
    <t>振幅(rad)</t>
    <phoneticPr fontId="1" type="noConversion"/>
  </si>
  <si>
    <t>強迫</t>
    <phoneticPr fontId="1" type="noConversion"/>
  </si>
  <si>
    <t>振幅(度)</t>
    <phoneticPr fontId="1" type="noConversion"/>
  </si>
  <si>
    <t>頻率(1/s)</t>
    <phoneticPr fontId="1" type="noConversion"/>
  </si>
  <si>
    <t>時間t(s)</t>
    <phoneticPr fontId="1" type="noConversion"/>
  </si>
  <si>
    <t>阻尼係數</t>
    <phoneticPr fontId="1" type="noConversion"/>
  </si>
  <si>
    <t>delta omega</t>
    <phoneticPr fontId="1" type="noConversion"/>
  </si>
  <si>
    <t>頻率(1/s)</t>
    <phoneticPr fontId="1" type="noConversion"/>
  </si>
  <si>
    <t>角頻率</t>
    <phoneticPr fontId="1" type="noConversion"/>
  </si>
  <si>
    <t>角頻率</t>
    <phoneticPr fontId="1" type="noConversion"/>
  </si>
  <si>
    <t>阻尼係數</t>
    <phoneticPr fontId="1" type="noConversion"/>
  </si>
  <si>
    <t>振幅(度)</t>
    <phoneticPr fontId="1" type="noConversion"/>
  </si>
  <si>
    <t>=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</si>
</sst>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76" formatCode="0.0000_ "/>
    <numFmt numFmtId="177" formatCode="0.000000_ "/>
    <numFmt numFmtId="178" formatCode="0.00000_ "/>
    <numFmt numFmtId="179" formatCode="0.000_ "/>
    <numFmt numFmtId="180" formatCode="0.0_ "/>
    <numFmt numFmtId="181" formatCode="0.00_ "/>
    <numFmt numFmtId="182" formatCode="0.000000%"/>
    <numFmt numFmtId="187" formatCode="0.0000000000000000_ "/>
  </numFmts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77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179" fontId="0" fillId="0" borderId="1" xfId="0" applyNumberFormat="1" applyBorder="1" applyAlignment="1">
      <alignment horizontal="center" vertical="center"/>
    </xf>
    <xf numFmtId="180" fontId="0" fillId="0" borderId="0" xfId="0" applyNumberFormat="1" applyAlignment="1">
      <alignment horizontal="center" vertical="center"/>
    </xf>
    <xf numFmtId="180" fontId="0" fillId="0" borderId="1" xfId="0" applyNumberFormat="1" applyBorder="1" applyAlignment="1">
      <alignment horizontal="center" vertical="center"/>
    </xf>
    <xf numFmtId="180" fontId="0" fillId="0" borderId="3" xfId="0" applyNumberFormat="1" applyBorder="1" applyAlignment="1">
      <alignment horizontal="center" vertical="center"/>
    </xf>
    <xf numFmtId="181" fontId="0" fillId="0" borderId="1" xfId="0" applyNumberFormat="1" applyBorder="1" applyAlignment="1">
      <alignment horizontal="center" vertical="center"/>
    </xf>
    <xf numFmtId="182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76" fontId="0" fillId="0" borderId="1" xfId="0" applyNumberFormat="1" applyBorder="1" applyAlignment="1">
      <alignment horizontal="center" vertical="center" wrapText="1"/>
    </xf>
    <xf numFmtId="187" fontId="0" fillId="0" borderId="0" xfId="0" applyNumberFormat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</cellXfs>
  <cellStyles count="2">
    <cellStyle name="一般" xfId="0" builtinId="0"/>
    <cellStyle name="百分比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力矩</a:t>
            </a:r>
            <a:r>
              <a:rPr lang="en-US" altLang="zh-TW"/>
              <a:t>-</a:t>
            </a:r>
            <a:r>
              <a:rPr lang="zh-TW" altLang="en-US"/>
              <a:t>角度</a:t>
            </a:r>
            <a:endParaRPr lang="en-US" altLang="zh-TW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7671959755030623"/>
                  <c:y val="5.4537037037037037E-2"/>
                </c:manualLayout>
              </c:layout>
              <c:numFmt formatCode="#,##0.000000_);[Red]\(#,##0.000000\)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實驗一!$F$2:$F$6</c:f>
              <c:numCache>
                <c:formatCode>0.0000_ </c:formatCode>
                <c:ptCount val="5"/>
                <c:pt idx="0">
                  <c:v>6.9813170079773182E-2</c:v>
                </c:pt>
                <c:pt idx="1">
                  <c:v>0.12217304763960307</c:v>
                </c:pt>
                <c:pt idx="2">
                  <c:v>0.19198621771937624</c:v>
                </c:pt>
                <c:pt idx="3">
                  <c:v>0.24434609527920614</c:v>
                </c:pt>
                <c:pt idx="4">
                  <c:v>0.29670597283903605</c:v>
                </c:pt>
              </c:numCache>
            </c:numRef>
          </c:xVal>
          <c:yVal>
            <c:numRef>
              <c:f>實驗一!$D$2:$D$6</c:f>
              <c:numCache>
                <c:formatCode>0.0000_ </c:formatCode>
                <c:ptCount val="5"/>
                <c:pt idx="0">
                  <c:v>2.0710340000000004E-2</c:v>
                </c:pt>
                <c:pt idx="1">
                  <c:v>3.7208640000000008E-2</c:v>
                </c:pt>
                <c:pt idx="2">
                  <c:v>5.4324340000000013E-2</c:v>
                </c:pt>
                <c:pt idx="3">
                  <c:v>7.0822640000000006E-2</c:v>
                </c:pt>
                <c:pt idx="4">
                  <c:v>8.7938340000000004E-2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81-4D59-93FD-EC3A588744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0410944"/>
        <c:axId val="1910407200"/>
      </c:scatterChart>
      <c:valAx>
        <c:axId val="1910410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角度</a:t>
                </a:r>
                <a:r>
                  <a:rPr lang="en-US" altLang="zh-TW"/>
                  <a:t>(rad)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0.0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10407200"/>
        <c:crosses val="autoZero"/>
        <c:crossBetween val="midCat"/>
      </c:valAx>
      <c:valAx>
        <c:axId val="191040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力矩</a:t>
                </a:r>
                <a:r>
                  <a:rPr lang="en-US" altLang="zh-TW"/>
                  <a:t>(Nm)</a:t>
                </a:r>
                <a:endParaRPr lang="zh-TW" altLang="en-US"/>
              </a:p>
            </c:rich>
          </c:tx>
          <c:layout>
            <c:manualLayout>
              <c:xMode val="edge"/>
              <c:yMode val="edge"/>
              <c:x val="1.6666666666666666E-2"/>
              <c:y val="0.368082531350247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0.0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10410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T^2-delta</a:t>
            </a:r>
            <a:r>
              <a:rPr lang="en-US" altLang="zh-TW" baseline="0"/>
              <a:t> I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2127515310586176"/>
                  <c:y val="-1.8842957130358706E-3"/>
                </c:manualLayout>
              </c:layout>
              <c:numFmt formatCode="#,##0.000000_);[Red]\(#,##0.000000\)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實驗二!$F$3:$F$6</c:f>
              <c:numCache>
                <c:formatCode>0.0000_ </c:formatCode>
                <c:ptCount val="4"/>
                <c:pt idx="0">
                  <c:v>3.8024999999999998</c:v>
                </c:pt>
                <c:pt idx="1">
                  <c:v>4.9729000000000001</c:v>
                </c:pt>
                <c:pt idx="2">
                  <c:v>5.1528999999999998</c:v>
                </c:pt>
                <c:pt idx="3">
                  <c:v>10.240000000000002</c:v>
                </c:pt>
              </c:numCache>
            </c:numRef>
          </c:xVal>
          <c:yVal>
            <c:numRef>
              <c:f>實驗二!$E$3:$E$6</c:f>
              <c:numCache>
                <c:formatCode>0.000000_ </c:formatCode>
                <c:ptCount val="4"/>
                <c:pt idx="0">
                  <c:v>3.0734407142652999E-3</c:v>
                </c:pt>
                <c:pt idx="1">
                  <c:v>1.1701780872519326E-2</c:v>
                </c:pt>
                <c:pt idx="2">
                  <c:v>1.3028764150446296E-2</c:v>
                </c:pt>
                <c:pt idx="3">
                  <c:v>5.0531523223459024E-2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6B-4394-8AAA-EE06FE3B30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2430128"/>
        <c:axId val="1912426384"/>
      </c:scatterChart>
      <c:valAx>
        <c:axId val="1912430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baseline="0"/>
                  <a:t>T^2</a:t>
                </a:r>
              </a:p>
            </c:rich>
          </c:tx>
          <c:layout>
            <c:manualLayout>
              <c:xMode val="edge"/>
              <c:yMode val="edge"/>
              <c:x val="0.50061001749781264"/>
              <c:y val="0.87868037328667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0.0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12426384"/>
        <c:crosses val="autoZero"/>
        <c:crossBetween val="midCat"/>
      </c:valAx>
      <c:valAx>
        <c:axId val="191242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delta I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0.000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12430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振幅</a:t>
            </a:r>
            <a:r>
              <a:rPr lang="en-US" altLang="zh-TW"/>
              <a:t>-</a:t>
            </a:r>
            <a:r>
              <a:rPr lang="zh-TW" altLang="en-US"/>
              <a:t>頻率</a:t>
            </a:r>
          </a:p>
        </c:rich>
      </c:tx>
      <c:layout>
        <c:manualLayout>
          <c:xMode val="edge"/>
          <c:yMode val="edge"/>
          <c:x val="0.44682633420822404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'實驗三-1'!$L$2:$L$17</c:f>
              <c:numCache>
                <c:formatCode>0.00000_ </c:formatCode>
                <c:ptCount val="16"/>
                <c:pt idx="0">
                  <c:v>0.31746031746031744</c:v>
                </c:pt>
                <c:pt idx="1">
                  <c:v>0.36153289949385392</c:v>
                </c:pt>
                <c:pt idx="2">
                  <c:v>0.37593984962406013</c:v>
                </c:pt>
                <c:pt idx="3">
                  <c:v>0.38461538461538458</c:v>
                </c:pt>
                <c:pt idx="4">
                  <c:v>0.4</c:v>
                </c:pt>
                <c:pt idx="5">
                  <c:v>0.4065040650406504</c:v>
                </c:pt>
                <c:pt idx="6">
                  <c:v>0.41322314049586778</c:v>
                </c:pt>
                <c:pt idx="7">
                  <c:v>0.41666666666666669</c:v>
                </c:pt>
                <c:pt idx="8">
                  <c:v>0.43010752688172038</c:v>
                </c:pt>
                <c:pt idx="9">
                  <c:v>0.4329004329004329</c:v>
                </c:pt>
                <c:pt idx="10">
                  <c:v>0.44444444444444442</c:v>
                </c:pt>
                <c:pt idx="11">
                  <c:v>0.4587155963302752</c:v>
                </c:pt>
                <c:pt idx="12">
                  <c:v>0.47619047619047616</c:v>
                </c:pt>
                <c:pt idx="13">
                  <c:v>0.49261083743842371</c:v>
                </c:pt>
                <c:pt idx="14">
                  <c:v>0.51282051282051289</c:v>
                </c:pt>
              </c:numCache>
            </c:numRef>
          </c:xVal>
          <c:yVal>
            <c:numRef>
              <c:f>'實驗三-1'!$J$2:$J$17</c:f>
              <c:numCache>
                <c:formatCode>0.00000_ </c:formatCode>
                <c:ptCount val="16"/>
                <c:pt idx="0">
                  <c:v>0.17453292519943295</c:v>
                </c:pt>
                <c:pt idx="1">
                  <c:v>0.26179938779914941</c:v>
                </c:pt>
                <c:pt idx="2">
                  <c:v>0.34033920413889424</c:v>
                </c:pt>
                <c:pt idx="3">
                  <c:v>0.39269908169872414</c:v>
                </c:pt>
                <c:pt idx="4">
                  <c:v>0.54105206811824214</c:v>
                </c:pt>
                <c:pt idx="5">
                  <c:v>0.6544984694978736</c:v>
                </c:pt>
                <c:pt idx="6">
                  <c:v>0.72431163957764677</c:v>
                </c:pt>
                <c:pt idx="7">
                  <c:v>0.76794487087750496</c:v>
                </c:pt>
                <c:pt idx="8">
                  <c:v>0.69813170079773179</c:v>
                </c:pt>
                <c:pt idx="9">
                  <c:v>0.64577182323790194</c:v>
                </c:pt>
                <c:pt idx="10">
                  <c:v>0.52359877559829882</c:v>
                </c:pt>
                <c:pt idx="11">
                  <c:v>0.41887902047863912</c:v>
                </c:pt>
                <c:pt idx="12">
                  <c:v>0.31415926535897931</c:v>
                </c:pt>
                <c:pt idx="13">
                  <c:v>0.22689280275926285</c:v>
                </c:pt>
                <c:pt idx="14">
                  <c:v>0.17453292519943295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84-4605-925D-5913FAFE4B2B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'實驗三-1'!$L$18:$L$19</c:f>
              <c:numCache>
                <c:formatCode>0.00000_ </c:formatCode>
                <c:ptCount val="2"/>
                <c:pt idx="0">
                  <c:v>0.3</c:v>
                </c:pt>
                <c:pt idx="1">
                  <c:v>0.55000000000000004</c:v>
                </c:pt>
              </c:numCache>
            </c:numRef>
          </c:xVal>
          <c:yVal>
            <c:numRef>
              <c:f>'實驗三-1'!$J$18:$J$19</c:f>
              <c:numCache>
                <c:formatCode>0.00000_ </c:formatCode>
                <c:ptCount val="2"/>
                <c:pt idx="0">
                  <c:v>0.54301902577491135</c:v>
                </c:pt>
                <c:pt idx="1">
                  <c:v>0.54301902577491135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D84-4605-925D-5913FAFE4B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2240576"/>
        <c:axId val="1912236000"/>
      </c:scatterChart>
      <c:valAx>
        <c:axId val="1912240576"/>
        <c:scaling>
          <c:orientation val="minMax"/>
          <c:min val="0.3000000000000000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頻率</a:t>
                </a:r>
                <a:r>
                  <a:rPr lang="en-US" altLang="zh-TW"/>
                  <a:t>(1/s)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0.00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12236000"/>
        <c:crosses val="autoZero"/>
        <c:crossBetween val="midCat"/>
      </c:valAx>
      <c:valAx>
        <c:axId val="191223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振幅</a:t>
                </a:r>
                <a:r>
                  <a:rPr lang="en-US" altLang="zh-TW"/>
                  <a:t>(rad)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0.00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12240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振幅</a:t>
            </a:r>
            <a:r>
              <a:rPr lang="en-US" altLang="zh-TW"/>
              <a:t>-</a:t>
            </a:r>
            <a:r>
              <a:rPr lang="zh-TW" altLang="en-US"/>
              <a:t>頻率</a:t>
            </a:r>
            <a:endParaRPr lang="en-US" altLang="zh-TW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'實驗三-2'!$J$2:$J$13</c:f>
              <c:numCache>
                <c:formatCode>0.00000_ </c:formatCode>
                <c:ptCount val="12"/>
                <c:pt idx="0">
                  <c:v>0.16233766233766234</c:v>
                </c:pt>
                <c:pt idx="1">
                  <c:v>0.19083969465648853</c:v>
                </c:pt>
                <c:pt idx="2">
                  <c:v>0.1984126984126984</c:v>
                </c:pt>
                <c:pt idx="3">
                  <c:v>0.20661157024793389</c:v>
                </c:pt>
                <c:pt idx="4">
                  <c:v>0.21008403361344538</c:v>
                </c:pt>
                <c:pt idx="5">
                  <c:v>0.21008403361344538</c:v>
                </c:pt>
                <c:pt idx="6">
                  <c:v>0.21367521367521369</c:v>
                </c:pt>
                <c:pt idx="7">
                  <c:v>0.22222222222222221</c:v>
                </c:pt>
                <c:pt idx="8">
                  <c:v>0.23364485981308411</c:v>
                </c:pt>
                <c:pt idx="9">
                  <c:v>0.24752475247524752</c:v>
                </c:pt>
                <c:pt idx="10">
                  <c:v>0.25641025641025644</c:v>
                </c:pt>
                <c:pt idx="11">
                  <c:v>0.27777777777777779</c:v>
                </c:pt>
              </c:numCache>
            </c:numRef>
          </c:xVal>
          <c:yVal>
            <c:numRef>
              <c:f>'實驗三-2'!$H$2:$H$13</c:f>
              <c:numCache>
                <c:formatCode>0.00000_ </c:formatCode>
                <c:ptCount val="12"/>
                <c:pt idx="0">
                  <c:v>0.17802358370342161</c:v>
                </c:pt>
                <c:pt idx="1">
                  <c:v>0.38397243543875248</c:v>
                </c:pt>
                <c:pt idx="2">
                  <c:v>0.6108652381980153</c:v>
                </c:pt>
                <c:pt idx="3">
                  <c:v>0.99483767363676789</c:v>
                </c:pt>
                <c:pt idx="4">
                  <c:v>1.3700834628155487</c:v>
                </c:pt>
                <c:pt idx="5">
                  <c:v>1.3439035240356338</c:v>
                </c:pt>
                <c:pt idx="6">
                  <c:v>1.2740903539558606</c:v>
                </c:pt>
                <c:pt idx="7">
                  <c:v>0.62831853071795862</c:v>
                </c:pt>
                <c:pt idx="8">
                  <c:v>0.37699111843077521</c:v>
                </c:pt>
                <c:pt idx="9">
                  <c:v>0.26529004630313807</c:v>
                </c:pt>
                <c:pt idx="10">
                  <c:v>0.2007128639793479</c:v>
                </c:pt>
                <c:pt idx="11">
                  <c:v>0.1361356816555577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0F1-43D7-ACC0-1BD3F32833D4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'實驗三-2'!$J$15:$J$16</c:f>
              <c:numCache>
                <c:formatCode>General</c:formatCode>
                <c:ptCount val="2"/>
                <c:pt idx="0">
                  <c:v>0.3</c:v>
                </c:pt>
                <c:pt idx="1">
                  <c:v>0.6</c:v>
                </c:pt>
              </c:numCache>
            </c:numRef>
          </c:xVal>
          <c:yVal>
            <c:numRef>
              <c:f>'實驗三-2'!$H$15:$H$16</c:f>
              <c:numCache>
                <c:formatCode>General</c:formatCode>
                <c:ptCount val="2"/>
                <c:pt idx="0">
                  <c:v>0.96879530734842145</c:v>
                </c:pt>
                <c:pt idx="1">
                  <c:v>0.96879530734842145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0F1-43D7-ACC0-1BD3F32833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1162704"/>
        <c:axId val="2081163120"/>
      </c:scatterChart>
      <c:valAx>
        <c:axId val="2081162704"/>
        <c:scaling>
          <c:orientation val="minMax"/>
          <c:min val="0.3000000000000000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頻率</a:t>
                </a:r>
                <a:r>
                  <a:rPr lang="en-US" altLang="zh-TW"/>
                  <a:t>(1/s)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0.00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81163120"/>
        <c:crosses val="autoZero"/>
        <c:crossBetween val="midCat"/>
      </c:valAx>
      <c:valAx>
        <c:axId val="208116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振幅</a:t>
                </a:r>
                <a:r>
                  <a:rPr lang="en-US" altLang="zh-TW"/>
                  <a:t>(rad)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0.00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81162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'實驗三-2'!$J$2:$J$13</c:f>
              <c:numCache>
                <c:formatCode>0.00000_ </c:formatCode>
                <c:ptCount val="12"/>
                <c:pt idx="0">
                  <c:v>0.16233766233766234</c:v>
                </c:pt>
                <c:pt idx="1">
                  <c:v>0.19083969465648853</c:v>
                </c:pt>
                <c:pt idx="2">
                  <c:v>0.1984126984126984</c:v>
                </c:pt>
                <c:pt idx="3">
                  <c:v>0.20661157024793389</c:v>
                </c:pt>
                <c:pt idx="4">
                  <c:v>0.21008403361344538</c:v>
                </c:pt>
                <c:pt idx="5">
                  <c:v>0.21008403361344538</c:v>
                </c:pt>
                <c:pt idx="6">
                  <c:v>0.21367521367521369</c:v>
                </c:pt>
                <c:pt idx="7">
                  <c:v>0.22222222222222221</c:v>
                </c:pt>
                <c:pt idx="8">
                  <c:v>0.23364485981308411</c:v>
                </c:pt>
                <c:pt idx="9">
                  <c:v>0.24752475247524752</c:v>
                </c:pt>
                <c:pt idx="10">
                  <c:v>0.25641025641025644</c:v>
                </c:pt>
                <c:pt idx="11">
                  <c:v>0.27777777777777779</c:v>
                </c:pt>
              </c:numCache>
            </c:numRef>
          </c:xVal>
          <c:yVal>
            <c:numRef>
              <c:f>'實驗三-2'!$H$2:$H$13</c:f>
              <c:numCache>
                <c:formatCode>0.00000_ </c:formatCode>
                <c:ptCount val="12"/>
                <c:pt idx="0">
                  <c:v>0.17802358370342161</c:v>
                </c:pt>
                <c:pt idx="1">
                  <c:v>0.38397243543875248</c:v>
                </c:pt>
                <c:pt idx="2">
                  <c:v>0.6108652381980153</c:v>
                </c:pt>
                <c:pt idx="3">
                  <c:v>0.99483767363676789</c:v>
                </c:pt>
                <c:pt idx="4">
                  <c:v>1.3700834628155487</c:v>
                </c:pt>
                <c:pt idx="5">
                  <c:v>1.3439035240356338</c:v>
                </c:pt>
                <c:pt idx="6">
                  <c:v>1.2740903539558606</c:v>
                </c:pt>
                <c:pt idx="7">
                  <c:v>0.62831853071795862</c:v>
                </c:pt>
                <c:pt idx="8">
                  <c:v>0.37699111843077521</c:v>
                </c:pt>
                <c:pt idx="9">
                  <c:v>0.26529004630313807</c:v>
                </c:pt>
                <c:pt idx="10">
                  <c:v>0.2007128639793479</c:v>
                </c:pt>
                <c:pt idx="11">
                  <c:v>0.1361356816555577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FE-452F-9F7D-4FDD37C0F9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5136320"/>
        <c:axId val="745139928"/>
      </c:scatterChart>
      <c:valAx>
        <c:axId val="745136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45139928"/>
        <c:crosses val="autoZero"/>
        <c:crossBetween val="midCat"/>
      </c:valAx>
      <c:valAx>
        <c:axId val="745139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45136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114300</xdr:colOff>
      <xdr:row>5</xdr:row>
      <xdr:rowOff>33337</xdr:rowOff>
    </xdr:from>
    <xdr:to>
      <xdr:col>13</xdr:col>
      <xdr:colOff>352425</xdr:colOff>
      <xdr:row>18</xdr:row>
      <xdr:rowOff>52387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495300</xdr:colOff>
      <xdr:row>3</xdr:row>
      <xdr:rowOff>133350</xdr:rowOff>
    </xdr:from>
    <xdr:to>
      <xdr:col>13</xdr:col>
      <xdr:colOff>266700</xdr:colOff>
      <xdr:row>16</xdr:row>
      <xdr:rowOff>100012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257259</xdr:colOff>
      <xdr:row>2</xdr:row>
      <xdr:rowOff>95124</xdr:rowOff>
    </xdr:from>
    <xdr:to>
      <xdr:col>21</xdr:col>
      <xdr:colOff>46548</xdr:colOff>
      <xdr:row>15</xdr:row>
      <xdr:rowOff>114174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232495</xdr:colOff>
      <xdr:row>8</xdr:row>
      <xdr:rowOff>136829</xdr:rowOff>
    </xdr:from>
    <xdr:to>
      <xdr:col>20</xdr:col>
      <xdr:colOff>384645</xdr:colOff>
      <xdr:row>22</xdr:row>
      <xdr:rowOff>21955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207302</xdr:colOff>
      <xdr:row>14</xdr:row>
      <xdr:rowOff>110749</xdr:rowOff>
    </xdr:from>
    <xdr:to>
      <xdr:col>11</xdr:col>
      <xdr:colOff>383366</xdr:colOff>
      <xdr:row>27</xdr:row>
      <xdr:rowOff>195942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8DA03DBF-866C-4CCA-9E93-6AABAEBC13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"/>
  <sheetViews>
    <sheetView workbookViewId="0">
      <selection activeCell="F18" sqref="F18"/>
    </sheetView>
  </sheetViews>
  <sheetFormatPr defaultColWidth="9" defaultRowHeight="16.3" x14ac:dyDescent="0.3"/>
  <cols>
    <col min="1" max="2" width="5.33203125" style="1" customWidth="1"/>
    <col min="3" max="4" width="7.33203125" style="5" customWidth="1"/>
    <col min="5" max="5" width="6.109375" style="1" customWidth="1"/>
    <col min="6" max="6" width="7.33203125" style="5" customWidth="1"/>
    <col min="7" max="7" width="9" style="1"/>
    <col min="8" max="8" width="11.88671875" style="1" customWidth="1"/>
    <col min="9" max="16384" width="9" style="1"/>
  </cols>
  <sheetData>
    <row r="1" spans="1:11" ht="48.85" x14ac:dyDescent="0.3">
      <c r="A1" s="3"/>
      <c r="B1" s="21" t="s">
        <v>0</v>
      </c>
      <c r="C1" s="22" t="s">
        <v>1</v>
      </c>
      <c r="D1" s="22" t="s">
        <v>2</v>
      </c>
      <c r="E1" s="21" t="s">
        <v>3</v>
      </c>
      <c r="F1" s="22" t="s">
        <v>4</v>
      </c>
      <c r="H1" s="3" t="s">
        <v>5</v>
      </c>
      <c r="I1" s="3">
        <v>9.8000000000000007</v>
      </c>
      <c r="J1" s="3" t="s">
        <v>6</v>
      </c>
      <c r="K1" s="3">
        <v>3.5000000000000003E-2</v>
      </c>
    </row>
    <row r="2" spans="1:11" x14ac:dyDescent="0.3">
      <c r="A2" s="3">
        <v>1</v>
      </c>
      <c r="B2" s="3">
        <f>0.01048+0.0499</f>
        <v>6.0380000000000003E-2</v>
      </c>
      <c r="C2" s="4">
        <f>B2*$I$1</f>
        <v>0.59172400000000003</v>
      </c>
      <c r="D2" s="4">
        <f>C2*$K$1</f>
        <v>2.0710340000000004E-2</v>
      </c>
      <c r="E2" s="3">
        <v>4</v>
      </c>
      <c r="F2" s="4">
        <f>E2*(PI()/180)</f>
        <v>6.9813170079773182E-2</v>
      </c>
    </row>
    <row r="3" spans="1:11" x14ac:dyDescent="0.3">
      <c r="A3" s="3">
        <v>2</v>
      </c>
      <c r="B3" s="3">
        <f>0.01048+0.098</f>
        <v>0.10848000000000001</v>
      </c>
      <c r="C3" s="4">
        <f t="shared" ref="C3:C6" si="0">B3*$I$1</f>
        <v>1.063104</v>
      </c>
      <c r="D3" s="4">
        <f>C3*$K$1</f>
        <v>3.7208640000000008E-2</v>
      </c>
      <c r="E3" s="3">
        <v>7</v>
      </c>
      <c r="F3" s="4">
        <f t="shared" ref="F3:F6" si="1">E3*(PI()/180)</f>
        <v>0.12217304763960307</v>
      </c>
    </row>
    <row r="4" spans="1:11" x14ac:dyDescent="0.3">
      <c r="A4" s="3">
        <v>3</v>
      </c>
      <c r="B4" s="3">
        <f>0.01048+0.0499+0.098</f>
        <v>0.15838000000000002</v>
      </c>
      <c r="C4" s="4">
        <f t="shared" si="0"/>
        <v>1.5521240000000003</v>
      </c>
      <c r="D4" s="4">
        <f>C4*$K$1</f>
        <v>5.4324340000000013E-2</v>
      </c>
      <c r="E4" s="3">
        <v>11</v>
      </c>
      <c r="F4" s="4">
        <f t="shared" si="1"/>
        <v>0.19198621771937624</v>
      </c>
      <c r="H4" s="3" t="s">
        <v>15</v>
      </c>
      <c r="I4" s="3">
        <v>0.29104000000000002</v>
      </c>
    </row>
    <row r="5" spans="1:11" x14ac:dyDescent="0.3">
      <c r="A5" s="3">
        <v>4</v>
      </c>
      <c r="B5" s="3">
        <f>0.01048+0.098+0.098</f>
        <v>0.20648</v>
      </c>
      <c r="C5" s="4">
        <f t="shared" si="0"/>
        <v>2.023504</v>
      </c>
      <c r="D5" s="4">
        <f>C5*$K$1</f>
        <v>7.0822640000000006E-2</v>
      </c>
      <c r="E5" s="3">
        <v>14</v>
      </c>
      <c r="F5" s="4">
        <f t="shared" si="1"/>
        <v>0.24434609527920614</v>
      </c>
    </row>
    <row r="6" spans="1:11" x14ac:dyDescent="0.3">
      <c r="A6" s="3">
        <v>5</v>
      </c>
      <c r="B6" s="3">
        <f>0.01048+0.098+0.098+0.0499</f>
        <v>0.25638</v>
      </c>
      <c r="C6" s="4">
        <f t="shared" si="0"/>
        <v>2.512524</v>
      </c>
      <c r="D6" s="4">
        <f>C6*$K$1</f>
        <v>8.7938340000000004E-2</v>
      </c>
      <c r="E6" s="3">
        <v>17</v>
      </c>
      <c r="F6" s="4">
        <f t="shared" si="1"/>
        <v>0.29670597283903605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"/>
  <sheetViews>
    <sheetView workbookViewId="0">
      <selection activeCell="C4" sqref="C4"/>
    </sheetView>
  </sheetViews>
  <sheetFormatPr defaultColWidth="9" defaultRowHeight="16.3" x14ac:dyDescent="0.3"/>
  <cols>
    <col min="1" max="1" width="6" style="1" customWidth="1"/>
    <col min="2" max="2" width="9" style="1"/>
    <col min="3" max="3" width="6.6640625" style="1" customWidth="1"/>
    <col min="4" max="4" width="11.33203125" style="6" customWidth="1"/>
    <col min="5" max="5" width="13.6640625" style="6" customWidth="1"/>
    <col min="6" max="6" width="9" style="5"/>
    <col min="7" max="16384" width="9" style="1"/>
  </cols>
  <sheetData>
    <row r="1" spans="1:6" x14ac:dyDescent="0.3">
      <c r="A1" s="3" t="s">
        <v>10</v>
      </c>
      <c r="B1" s="3" t="s">
        <v>18</v>
      </c>
      <c r="C1" s="3" t="s">
        <v>13</v>
      </c>
      <c r="D1" s="7" t="s">
        <v>14</v>
      </c>
      <c r="E1" s="7" t="s">
        <v>16</v>
      </c>
      <c r="F1" s="4" t="s">
        <v>17</v>
      </c>
    </row>
    <row r="2" spans="1:6" x14ac:dyDescent="0.3">
      <c r="A2" s="9"/>
      <c r="B2" s="3">
        <v>0</v>
      </c>
      <c r="C2" s="3">
        <v>1.84</v>
      </c>
      <c r="D2" s="7">
        <f>(C2^2*實驗一!$I$4)/(4*PI()*PI())</f>
        <v>2.4959081031941933E-2</v>
      </c>
      <c r="E2" s="8"/>
      <c r="F2" s="4">
        <f>C2^2</f>
        <v>3.3856000000000002</v>
      </c>
    </row>
    <row r="3" spans="1:6" x14ac:dyDescent="0.3">
      <c r="A3" s="3" t="s">
        <v>11</v>
      </c>
      <c r="B3" s="3" t="s">
        <v>7</v>
      </c>
      <c r="C3" s="3">
        <v>1.95</v>
      </c>
      <c r="D3" s="7">
        <f>(C3^2*實驗一!$I$4)/(4*PI()*PI())</f>
        <v>2.8032521746207233E-2</v>
      </c>
      <c r="E3" s="7">
        <f>D3-$D$2</f>
        <v>3.0734407142652999E-3</v>
      </c>
      <c r="F3" s="4">
        <f t="shared" ref="F3:F6" si="0">C3^2</f>
        <v>3.8024999999999998</v>
      </c>
    </row>
    <row r="4" spans="1:6" x14ac:dyDescent="0.3">
      <c r="A4" s="3" t="s">
        <v>12</v>
      </c>
      <c r="B4" s="3" t="s">
        <v>8</v>
      </c>
      <c r="C4" s="3">
        <v>2.23</v>
      </c>
      <c r="D4" s="7">
        <f>(C4^2*實驗一!$I$4)/(4*PI()*PI())</f>
        <v>3.6660861904461259E-2</v>
      </c>
      <c r="E4" s="7">
        <f>D4-$D$2</f>
        <v>1.1701780872519326E-2</v>
      </c>
      <c r="F4" s="4">
        <f t="shared" si="0"/>
        <v>4.9729000000000001</v>
      </c>
    </row>
    <row r="5" spans="1:6" x14ac:dyDescent="0.3">
      <c r="A5" s="3" t="s">
        <v>11</v>
      </c>
      <c r="B5" s="3" t="s">
        <v>9</v>
      </c>
      <c r="C5" s="3">
        <v>2.27</v>
      </c>
      <c r="D5" s="7">
        <f>(C5^2*實驗一!$I$4)/(4*PI()*PI())</f>
        <v>3.7987845182388229E-2</v>
      </c>
      <c r="E5" s="7">
        <f>D5-$D$2</f>
        <v>1.3028764150446296E-2</v>
      </c>
      <c r="F5" s="4">
        <f t="shared" si="0"/>
        <v>5.1528999999999998</v>
      </c>
    </row>
    <row r="6" spans="1:6" x14ac:dyDescent="0.3">
      <c r="A6" s="3" t="s">
        <v>12</v>
      </c>
      <c r="B6" s="3" t="s">
        <v>9</v>
      </c>
      <c r="C6" s="3">
        <v>3.2</v>
      </c>
      <c r="D6" s="7">
        <f>(C6^2*實驗一!$I$4)/(4*PI()*PI())</f>
        <v>7.5490604255400953E-2</v>
      </c>
      <c r="E6" s="7">
        <f>D6-$D$2</f>
        <v>5.0531523223459024E-2</v>
      </c>
      <c r="F6" s="4">
        <f t="shared" si="0"/>
        <v>10.240000000000002</v>
      </c>
    </row>
    <row r="7" spans="1:6" x14ac:dyDescent="0.3">
      <c r="D7" s="1"/>
      <c r="E7" s="1"/>
      <c r="F7" s="1"/>
    </row>
    <row r="8" spans="1:6" x14ac:dyDescent="0.3">
      <c r="D8" s="7" t="s">
        <v>19</v>
      </c>
      <c r="E8" s="7">
        <f>0.007372*4*PI()*PI()</f>
        <v>0.29103489457932302</v>
      </c>
    </row>
    <row r="10" spans="1:6" x14ac:dyDescent="0.3">
      <c r="E10" s="19">
        <f>(實驗一!I4-實驗二!E8)/實驗一!I4</f>
        <v>1.7541989681825468E-5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22"/>
  <sheetViews>
    <sheetView zoomScaleNormal="100" workbookViewId="0">
      <selection activeCell="C21" sqref="C21"/>
    </sheetView>
  </sheetViews>
  <sheetFormatPr defaultColWidth="9" defaultRowHeight="16.3" x14ac:dyDescent="0.3"/>
  <cols>
    <col min="1" max="3" width="9" style="1"/>
    <col min="4" max="4" width="11.109375" style="1" customWidth="1"/>
    <col min="5" max="5" width="9" style="1"/>
    <col min="6" max="6" width="9.33203125" style="1" bestFit="1" customWidth="1"/>
    <col min="7" max="8" width="9" style="1"/>
    <col min="9" max="9" width="8.33203125" style="1" customWidth="1"/>
    <col min="10" max="10" width="9.109375" style="12" customWidth="1"/>
    <col min="11" max="11" width="6.77734375" style="13" customWidth="1"/>
    <col min="12" max="13" width="8.21875" style="12" customWidth="1"/>
    <col min="14" max="14" width="20.44140625" style="1" bestFit="1" customWidth="1"/>
    <col min="15" max="16384" width="9" style="1"/>
  </cols>
  <sheetData>
    <row r="1" spans="1:14" x14ac:dyDescent="0.3">
      <c r="A1" s="2" t="s">
        <v>20</v>
      </c>
      <c r="B1" s="3" t="s">
        <v>26</v>
      </c>
      <c r="C1" s="3" t="s">
        <v>24</v>
      </c>
      <c r="D1" s="3" t="s">
        <v>28</v>
      </c>
      <c r="H1" s="2" t="s">
        <v>25</v>
      </c>
      <c r="I1" s="3" t="s">
        <v>35</v>
      </c>
      <c r="J1" s="10" t="s">
        <v>24</v>
      </c>
      <c r="K1" s="14" t="s">
        <v>22</v>
      </c>
      <c r="L1" s="10" t="s">
        <v>32</v>
      </c>
      <c r="M1" s="10" t="s">
        <v>31</v>
      </c>
    </row>
    <row r="2" spans="1:14" x14ac:dyDescent="0.3">
      <c r="B2" s="3">
        <v>60</v>
      </c>
      <c r="C2" s="10">
        <f>RADIANS(B2)</f>
        <v>1.0471975511965976</v>
      </c>
      <c r="D2" s="3">
        <f>32-30.5</f>
        <v>1.5</v>
      </c>
      <c r="I2" s="3">
        <v>10</v>
      </c>
      <c r="J2" s="10">
        <f>RADIANS(I2)</f>
        <v>0.17453292519943295</v>
      </c>
      <c r="K2" s="14">
        <v>3.15</v>
      </c>
      <c r="L2" s="10">
        <f>1/K2</f>
        <v>0.31746031746031744</v>
      </c>
      <c r="M2" s="10">
        <f>L2*2*PI()</f>
        <v>1.9946620022792336</v>
      </c>
      <c r="N2" s="23">
        <f>J2^2</f>
        <v>3.0461741978670857E-2</v>
      </c>
    </row>
    <row r="3" spans="1:14" x14ac:dyDescent="0.3">
      <c r="B3" s="3">
        <v>39</v>
      </c>
      <c r="C3" s="10">
        <f>RADIANS(B3)</f>
        <v>0.68067840827778847</v>
      </c>
      <c r="D3" s="3">
        <f>34.6-30.5</f>
        <v>4.1000000000000014</v>
      </c>
      <c r="E3" s="1">
        <f>LN($B$2/B3)*(2)/(D3-$D$2)</f>
        <v>0.3313714739172724</v>
      </c>
      <c r="F3" s="1">
        <f>LN($C$2/C3)/(D3-$D$2)</f>
        <v>0.1656857369586362</v>
      </c>
      <c r="I3" s="3">
        <v>15</v>
      </c>
      <c r="J3" s="10">
        <f t="shared" ref="J3:J9" si="0">RADIANS(I3)</f>
        <v>0.26179938779914941</v>
      </c>
      <c r="K3" s="14">
        <v>2.766</v>
      </c>
      <c r="L3" s="10">
        <f t="shared" ref="L3:L9" si="1">1/K3</f>
        <v>0.36153289949385392</v>
      </c>
      <c r="M3" s="10">
        <f t="shared" ref="M3:M16" si="2">L3*2*PI()</f>
        <v>2.2715782021618169</v>
      </c>
      <c r="N3" s="23">
        <f t="shared" ref="N3:N16" si="3">J3^2</f>
        <v>6.853891945200942E-2</v>
      </c>
    </row>
    <row r="4" spans="1:14" x14ac:dyDescent="0.3">
      <c r="B4" s="3">
        <v>26</v>
      </c>
      <c r="C4" s="10">
        <f>RADIANS(B4)</f>
        <v>0.4537856055185257</v>
      </c>
      <c r="D4" s="3">
        <f>37.1-30.5</f>
        <v>6.6000000000000014</v>
      </c>
      <c r="E4" s="1">
        <f>LN($B$2/B4)*(2)/(D4-$D$2)</f>
        <v>0.32794040164730126</v>
      </c>
      <c r="F4" s="1">
        <f t="shared" ref="F4:F10" si="4">LN($C$2/C4)/(D4-$D$2)</f>
        <v>0.16397020082365063</v>
      </c>
      <c r="I4" s="3">
        <v>19.5</v>
      </c>
      <c r="J4" s="10">
        <f t="shared" si="0"/>
        <v>0.34033920413889424</v>
      </c>
      <c r="K4" s="14">
        <v>2.66</v>
      </c>
      <c r="L4" s="10">
        <f t="shared" si="1"/>
        <v>0.37593984962406013</v>
      </c>
      <c r="M4" s="10">
        <f t="shared" si="2"/>
        <v>2.3620997395411978</v>
      </c>
      <c r="N4" s="23">
        <f t="shared" si="3"/>
        <v>0.11583077387389593</v>
      </c>
    </row>
    <row r="5" spans="1:14" x14ac:dyDescent="0.3">
      <c r="B5" s="3">
        <v>16</v>
      </c>
      <c r="C5" s="10">
        <f t="shared" ref="C3:C10" si="5">RADIANS(B5)</f>
        <v>0.27925268031909273</v>
      </c>
      <c r="D5" s="3">
        <f>37.6-30.5</f>
        <v>7.1000000000000014</v>
      </c>
      <c r="E5" s="1">
        <f>LN($B$2/B5)*(2)/(D5-$D$2)</f>
        <v>0.47205565713654257</v>
      </c>
      <c r="F5" s="1">
        <f t="shared" si="4"/>
        <v>0.23602782856827123</v>
      </c>
      <c r="I5" s="3">
        <v>22.5</v>
      </c>
      <c r="J5" s="10">
        <f t="shared" si="0"/>
        <v>0.39269908169872414</v>
      </c>
      <c r="K5" s="14">
        <v>2.6</v>
      </c>
      <c r="L5" s="10">
        <f t="shared" si="1"/>
        <v>0.38461538461538458</v>
      </c>
      <c r="M5" s="10">
        <f t="shared" si="2"/>
        <v>2.4166097335306098</v>
      </c>
      <c r="N5" s="23">
        <f t="shared" si="3"/>
        <v>0.15421256876702122</v>
      </c>
    </row>
    <row r="6" spans="1:14" x14ac:dyDescent="0.3">
      <c r="B6" s="3">
        <v>9</v>
      </c>
      <c r="C6" s="10">
        <f t="shared" si="5"/>
        <v>0.15707963267948966</v>
      </c>
      <c r="D6" s="3">
        <f>42-30.5</f>
        <v>11.5</v>
      </c>
      <c r="E6" s="1">
        <f>LN($B$2/B6)*(2)/(D6-$D$2)</f>
        <v>0.37942399697717627</v>
      </c>
      <c r="F6" s="1">
        <f t="shared" si="4"/>
        <v>0.18971199848858813</v>
      </c>
      <c r="I6" s="3">
        <v>31</v>
      </c>
      <c r="J6" s="10">
        <f t="shared" si="0"/>
        <v>0.54105206811824214</v>
      </c>
      <c r="K6" s="14">
        <v>2.5</v>
      </c>
      <c r="L6" s="10">
        <f t="shared" si="1"/>
        <v>0.4</v>
      </c>
      <c r="M6" s="10">
        <f t="shared" si="2"/>
        <v>2.5132741228718345</v>
      </c>
      <c r="N6" s="23">
        <f t="shared" si="3"/>
        <v>0.29273734041502691</v>
      </c>
    </row>
    <row r="7" spans="1:14" x14ac:dyDescent="0.3">
      <c r="B7" s="3">
        <v>6</v>
      </c>
      <c r="C7" s="10">
        <f t="shared" si="5"/>
        <v>0.10471975511965978</v>
      </c>
      <c r="D7" s="3">
        <f>44.3-30.5</f>
        <v>13.799999999999997</v>
      </c>
      <c r="E7" s="1">
        <f>LN($B$2/B7)*(2)/(D7-$D$2)</f>
        <v>0.37440408016163357</v>
      </c>
      <c r="F7" s="1">
        <f t="shared" si="4"/>
        <v>0.18720204008081676</v>
      </c>
      <c r="I7" s="3">
        <v>37.5</v>
      </c>
      <c r="J7" s="10">
        <f t="shared" si="0"/>
        <v>0.6544984694978736</v>
      </c>
      <c r="K7" s="14">
        <v>2.46</v>
      </c>
      <c r="L7" s="10">
        <f t="shared" si="1"/>
        <v>0.4065040650406504</v>
      </c>
      <c r="M7" s="10">
        <f t="shared" si="2"/>
        <v>2.5541403687721895</v>
      </c>
      <c r="N7" s="23">
        <f t="shared" si="3"/>
        <v>0.42836824657505901</v>
      </c>
    </row>
    <row r="8" spans="1:14" x14ac:dyDescent="0.3">
      <c r="B8" s="3">
        <v>3</v>
      </c>
      <c r="C8" s="10">
        <f>RADIANS(B8)</f>
        <v>5.235987755982989E-2</v>
      </c>
      <c r="D8" s="3">
        <f>46.6-30.5</f>
        <v>16.100000000000001</v>
      </c>
      <c r="E8" s="1">
        <f>LN($B$2/B8)*(2)/(D8-$D$2)</f>
        <v>0.41037428404849186</v>
      </c>
      <c r="F8" s="1">
        <f t="shared" si="4"/>
        <v>0.20518714202424593</v>
      </c>
      <c r="I8" s="3">
        <v>41.5</v>
      </c>
      <c r="J8" s="10">
        <f t="shared" si="0"/>
        <v>0.72431163957764677</v>
      </c>
      <c r="K8" s="14">
        <v>2.42</v>
      </c>
      <c r="L8" s="10">
        <f t="shared" si="1"/>
        <v>0.41322314049586778</v>
      </c>
      <c r="M8" s="10">
        <f t="shared" si="2"/>
        <v>2.5963575649502424</v>
      </c>
      <c r="N8" s="23">
        <f t="shared" si="3"/>
        <v>0.52462735122765891</v>
      </c>
    </row>
    <row r="9" spans="1:14" x14ac:dyDescent="0.3">
      <c r="B9" s="3">
        <v>2</v>
      </c>
      <c r="C9" s="10">
        <f t="shared" si="5"/>
        <v>3.4906585039886591E-2</v>
      </c>
      <c r="D9" s="3">
        <f>48.8-30.5</f>
        <v>18.299999999999997</v>
      </c>
      <c r="E9" s="1">
        <f>LN($B$2/B9)*(2)/(D9-$D$2)</f>
        <v>0.40490445019787574</v>
      </c>
      <c r="F9" s="1">
        <f t="shared" si="4"/>
        <v>0.20245222509893787</v>
      </c>
      <c r="I9" s="3">
        <v>44</v>
      </c>
      <c r="J9" s="10">
        <f t="shared" si="0"/>
        <v>0.76794487087750496</v>
      </c>
      <c r="K9" s="14">
        <v>2.4</v>
      </c>
      <c r="L9" s="10">
        <f>1/K9</f>
        <v>0.41666666666666669</v>
      </c>
      <c r="M9" s="10">
        <f t="shared" si="2"/>
        <v>2.6179938779914944</v>
      </c>
      <c r="N9" s="23">
        <f t="shared" si="3"/>
        <v>0.5897393247070678</v>
      </c>
    </row>
    <row r="10" spans="1:14" x14ac:dyDescent="0.3">
      <c r="B10" s="3">
        <v>1</v>
      </c>
      <c r="C10" s="10">
        <f t="shared" si="5"/>
        <v>1.7453292519943295E-2</v>
      </c>
      <c r="D10" s="11">
        <f>51.1-30.5</f>
        <v>20.6</v>
      </c>
      <c r="E10" s="1">
        <f>LN($B$2/B10)*(2)/(D10-$D$2)</f>
        <v>0.42872717929027226</v>
      </c>
      <c r="F10" s="1">
        <f t="shared" si="4"/>
        <v>0.21436358964513613</v>
      </c>
      <c r="I10" s="3">
        <v>40</v>
      </c>
      <c r="J10" s="10">
        <f t="shared" ref="J10:J16" si="6">RADIANS(I10)</f>
        <v>0.69813170079773179</v>
      </c>
      <c r="K10" s="14">
        <v>2.3250000000000002</v>
      </c>
      <c r="L10" s="10">
        <f t="shared" ref="L10:L16" si="7">1/K10</f>
        <v>0.43010752688172038</v>
      </c>
      <c r="M10" s="10">
        <f t="shared" si="2"/>
        <v>2.7024452934105745</v>
      </c>
      <c r="N10" s="23">
        <f t="shared" si="3"/>
        <v>0.48738787165873371</v>
      </c>
    </row>
    <row r="11" spans="1:14" x14ac:dyDescent="0.3">
      <c r="D11" s="10" t="s">
        <v>29</v>
      </c>
      <c r="E11" s="10">
        <f>AVERAGE(E3:E10)</f>
        <v>0.39115019042207072</v>
      </c>
      <c r="F11" s="24">
        <f>AVERAGE(F3:F10)</f>
        <v>0.19557509521103536</v>
      </c>
      <c r="G11" s="24"/>
      <c r="I11" s="3">
        <v>37</v>
      </c>
      <c r="J11" s="10">
        <f t="shared" si="6"/>
        <v>0.64577182323790194</v>
      </c>
      <c r="K11" s="14">
        <v>2.31</v>
      </c>
      <c r="L11" s="10">
        <f t="shared" si="7"/>
        <v>0.4329004329004329</v>
      </c>
      <c r="M11" s="10">
        <f t="shared" si="2"/>
        <v>2.7199936394716824</v>
      </c>
      <c r="N11" s="23">
        <f t="shared" si="3"/>
        <v>0.41702124768800408</v>
      </c>
    </row>
    <row r="12" spans="1:14" x14ac:dyDescent="0.3">
      <c r="B12" s="1" t="s">
        <v>22</v>
      </c>
      <c r="C12" s="1" t="s">
        <v>27</v>
      </c>
      <c r="I12" s="3">
        <v>30</v>
      </c>
      <c r="J12" s="10">
        <f t="shared" si="6"/>
        <v>0.52359877559829882</v>
      </c>
      <c r="K12" s="14">
        <v>2.25</v>
      </c>
      <c r="L12" s="10">
        <f t="shared" si="7"/>
        <v>0.44444444444444442</v>
      </c>
      <c r="M12" s="10">
        <f t="shared" si="2"/>
        <v>2.7925268031909272</v>
      </c>
      <c r="N12" s="23">
        <f t="shared" si="3"/>
        <v>0.27415567780803768</v>
      </c>
    </row>
    <row r="13" spans="1:14" x14ac:dyDescent="0.3">
      <c r="B13" s="1">
        <v>2.65</v>
      </c>
      <c r="C13" s="1">
        <f>1/B13</f>
        <v>0.37735849056603776</v>
      </c>
      <c r="I13" s="3">
        <v>24</v>
      </c>
      <c r="J13" s="10">
        <f t="shared" si="6"/>
        <v>0.41887902047863912</v>
      </c>
      <c r="K13" s="14">
        <v>2.1800000000000002</v>
      </c>
      <c r="L13" s="10">
        <f t="shared" si="7"/>
        <v>0.4587155963302752</v>
      </c>
      <c r="M13" s="10">
        <f t="shared" si="2"/>
        <v>2.8821950950365074</v>
      </c>
      <c r="N13" s="23">
        <f t="shared" si="3"/>
        <v>0.17545963379714416</v>
      </c>
    </row>
    <row r="14" spans="1:14" x14ac:dyDescent="0.3">
      <c r="I14" s="3">
        <v>18</v>
      </c>
      <c r="J14" s="10">
        <f t="shared" si="6"/>
        <v>0.31415926535897931</v>
      </c>
      <c r="K14" s="14">
        <v>2.1</v>
      </c>
      <c r="L14" s="10">
        <f t="shared" si="7"/>
        <v>0.47619047619047616</v>
      </c>
      <c r="M14" s="10">
        <f t="shared" si="2"/>
        <v>2.9919930034188504</v>
      </c>
      <c r="N14" s="23">
        <f t="shared" si="3"/>
        <v>9.8696044010893574E-2</v>
      </c>
    </row>
    <row r="15" spans="1:14" x14ac:dyDescent="0.3">
      <c r="I15" s="3">
        <v>13</v>
      </c>
      <c r="J15" s="10">
        <f t="shared" si="6"/>
        <v>0.22689280275926285</v>
      </c>
      <c r="K15" s="14">
        <v>2.0299999999999998</v>
      </c>
      <c r="L15" s="10">
        <f t="shared" si="7"/>
        <v>0.49261083743842371</v>
      </c>
      <c r="M15" s="10">
        <f t="shared" si="2"/>
        <v>3.0951651759505356</v>
      </c>
      <c r="N15" s="23">
        <f t="shared" si="3"/>
        <v>5.1480343943953753E-2</v>
      </c>
    </row>
    <row r="16" spans="1:14" x14ac:dyDescent="0.3">
      <c r="A16" s="1">
        <v>0.39245000000000002</v>
      </c>
      <c r="B16" s="1">
        <v>0.49835000000000002</v>
      </c>
      <c r="I16" s="3">
        <v>10</v>
      </c>
      <c r="J16" s="10">
        <f t="shared" si="6"/>
        <v>0.17453292519943295</v>
      </c>
      <c r="K16" s="14">
        <v>1.95</v>
      </c>
      <c r="L16" s="10">
        <f t="shared" si="7"/>
        <v>0.51282051282051289</v>
      </c>
      <c r="M16" s="10">
        <f t="shared" si="2"/>
        <v>3.2221463113741473</v>
      </c>
      <c r="N16" s="23">
        <f t="shared" si="3"/>
        <v>3.0461741978670857E-2</v>
      </c>
    </row>
    <row r="17" spans="1:13" x14ac:dyDescent="0.3">
      <c r="A17" s="1">
        <v>0.39441999999999999</v>
      </c>
      <c r="B17" s="1">
        <v>0.52144000000000001</v>
      </c>
    </row>
    <row r="18" spans="1:13" x14ac:dyDescent="0.3">
      <c r="J18" s="12">
        <f>MAX($J$2:$J$16)/2^0.5</f>
        <v>0.54301902577491135</v>
      </c>
      <c r="L18" s="12">
        <v>0.3</v>
      </c>
    </row>
    <row r="19" spans="1:13" x14ac:dyDescent="0.3">
      <c r="E19" s="1" t="s">
        <v>36</v>
      </c>
      <c r="J19" s="12">
        <f>MAX($J$2:$J$16)/2^0.5</f>
        <v>0.54301902577491135</v>
      </c>
      <c r="L19" s="12">
        <v>0.55000000000000004</v>
      </c>
    </row>
    <row r="21" spans="1:13" x14ac:dyDescent="0.3">
      <c r="B21" s="1">
        <f>A16+(A17-A16)*(K22-B16)</f>
        <v>0.39247520866946517</v>
      </c>
      <c r="C21" s="25">
        <f>(B21-E11)/E11</f>
        <v>3.3874922723792825E-3</v>
      </c>
      <c r="J21" s="10" t="s">
        <v>30</v>
      </c>
      <c r="K21" s="4">
        <v>0.26700000000000002</v>
      </c>
      <c r="M21" s="20">
        <f>(E11-K21)/E11</f>
        <v>0.31739775017904609</v>
      </c>
    </row>
    <row r="22" spans="1:13" x14ac:dyDescent="0.3">
      <c r="K22" s="13">
        <f>0.72287/SQRT(2)</f>
        <v>0.51114627891631959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21"/>
  <sheetViews>
    <sheetView tabSelected="1" zoomScale="70" zoomScaleNormal="70" workbookViewId="0">
      <selection activeCell="K33" sqref="K33"/>
    </sheetView>
  </sheetViews>
  <sheetFormatPr defaultColWidth="9" defaultRowHeight="16.3" x14ac:dyDescent="0.3"/>
  <cols>
    <col min="1" max="3" width="9" style="1"/>
    <col min="4" max="4" width="10" style="1" customWidth="1"/>
    <col min="5" max="6" width="9" style="1"/>
    <col min="7" max="7" width="9" style="15"/>
    <col min="8" max="8" width="8.88671875" style="1" customWidth="1"/>
    <col min="9" max="9" width="7.33203125" style="1" customWidth="1"/>
    <col min="10" max="16384" width="9" style="1"/>
  </cols>
  <sheetData>
    <row r="1" spans="1:13" x14ac:dyDescent="0.3">
      <c r="A1" s="2" t="s">
        <v>20</v>
      </c>
      <c r="B1" s="3" t="s">
        <v>23</v>
      </c>
      <c r="C1" s="3" t="s">
        <v>24</v>
      </c>
      <c r="D1" s="3" t="s">
        <v>28</v>
      </c>
      <c r="F1" s="2" t="s">
        <v>25</v>
      </c>
      <c r="G1" s="16" t="s">
        <v>23</v>
      </c>
      <c r="H1" s="3" t="s">
        <v>24</v>
      </c>
      <c r="I1" s="3" t="s">
        <v>22</v>
      </c>
      <c r="J1" s="3" t="s">
        <v>33</v>
      </c>
      <c r="K1" s="3" t="s">
        <v>21</v>
      </c>
    </row>
    <row r="2" spans="1:13" x14ac:dyDescent="0.3">
      <c r="B2" s="3">
        <v>88</v>
      </c>
      <c r="C2" s="10">
        <f>RADIANS(B2)</f>
        <v>1.5358897417550099</v>
      </c>
      <c r="D2" s="16">
        <v>0</v>
      </c>
      <c r="G2" s="16">
        <v>10.199999999999999</v>
      </c>
      <c r="H2" s="10">
        <f>RADIANS(G2)</f>
        <v>0.17802358370342161</v>
      </c>
      <c r="I2" s="18">
        <f>M2*2</f>
        <v>6.16</v>
      </c>
      <c r="J2" s="10">
        <f>1/I2</f>
        <v>0.16233766233766234</v>
      </c>
      <c r="K2" s="10">
        <f>J2*2*PI()</f>
        <v>1.0199976148018808</v>
      </c>
      <c r="M2" s="18">
        <v>3.08</v>
      </c>
    </row>
    <row r="3" spans="1:13" x14ac:dyDescent="0.3">
      <c r="B3" s="3">
        <v>70</v>
      </c>
      <c r="C3" s="10">
        <f t="shared" ref="C3:C8" si="0">RADIANS(B3)</f>
        <v>1.2217304763960306</v>
      </c>
      <c r="D3" s="16">
        <f>54.1-51.5</f>
        <v>2.6000000000000014</v>
      </c>
      <c r="E3" s="1">
        <f>LN($B$2/B3)*(2)/(D3-$D$2)</f>
        <v>0.17603197879142102</v>
      </c>
      <c r="G3" s="16">
        <v>22</v>
      </c>
      <c r="H3" s="10">
        <f>RADIANS(G3)</f>
        <v>0.38397243543875248</v>
      </c>
      <c r="I3" s="18">
        <f t="shared" ref="I3:I13" si="1">M3*2</f>
        <v>5.24</v>
      </c>
      <c r="J3" s="10">
        <f>1/I3</f>
        <v>0.19083969465648853</v>
      </c>
      <c r="K3" s="10">
        <f t="shared" ref="K3:K13" si="2">J3*2*PI()</f>
        <v>1.1990811654922873</v>
      </c>
      <c r="M3" s="18">
        <v>2.62</v>
      </c>
    </row>
    <row r="4" spans="1:13" x14ac:dyDescent="0.3">
      <c r="B4" s="3">
        <v>55</v>
      </c>
      <c r="C4" s="10">
        <f t="shared" si="0"/>
        <v>0.95993108859688125</v>
      </c>
      <c r="D4" s="16">
        <f>56.6-51.5</f>
        <v>5.1000000000000014</v>
      </c>
      <c r="E4" s="1">
        <f>LN($B$2/B4)*(2)/(D4-$D$2)</f>
        <v>0.18431514872381785</v>
      </c>
      <c r="G4" s="16">
        <v>35</v>
      </c>
      <c r="H4" s="10">
        <f>RADIANS(G4)</f>
        <v>0.6108652381980153</v>
      </c>
      <c r="I4" s="18">
        <f t="shared" si="1"/>
        <v>5.04</v>
      </c>
      <c r="J4" s="10">
        <f t="shared" ref="J4:J13" si="3">1/I4</f>
        <v>0.1984126984126984</v>
      </c>
      <c r="K4" s="10">
        <f t="shared" si="2"/>
        <v>1.2466637514245209</v>
      </c>
      <c r="M4" s="18">
        <v>2.52</v>
      </c>
    </row>
    <row r="5" spans="1:13" x14ac:dyDescent="0.3">
      <c r="B5" s="3">
        <v>42</v>
      </c>
      <c r="C5" s="10">
        <f t="shared" si="0"/>
        <v>0.73303828583761843</v>
      </c>
      <c r="D5" s="16">
        <f>59-51.5</f>
        <v>7.5</v>
      </c>
      <c r="E5" s="1">
        <f>LN($B$2/B5)*(2)/(D5-$D$2)</f>
        <v>0.19724458565195685</v>
      </c>
      <c r="G5" s="16">
        <v>57</v>
      </c>
      <c r="H5" s="10">
        <f t="shared" ref="H5:H13" si="4">RADIANS(G5)</f>
        <v>0.99483767363676789</v>
      </c>
      <c r="I5" s="18">
        <f t="shared" si="1"/>
        <v>4.84</v>
      </c>
      <c r="J5" s="10">
        <f t="shared" si="3"/>
        <v>0.20661157024793389</v>
      </c>
      <c r="K5" s="10">
        <f t="shared" si="2"/>
        <v>1.2981787824751212</v>
      </c>
      <c r="M5" s="18">
        <v>2.42</v>
      </c>
    </row>
    <row r="6" spans="1:13" x14ac:dyDescent="0.3">
      <c r="B6" s="3">
        <v>32</v>
      </c>
      <c r="C6" s="10">
        <f t="shared" si="0"/>
        <v>0.55850536063818546</v>
      </c>
      <c r="D6" s="16">
        <f>61.5-51.5</f>
        <v>10</v>
      </c>
      <c r="E6" s="1">
        <f t="shared" ref="E3:E8" si="5">LN($B$2/B6)*(2)/(D6-$D$2)</f>
        <v>0.20232018233569599</v>
      </c>
      <c r="G6" s="16">
        <v>78.5</v>
      </c>
      <c r="H6" s="10">
        <f t="shared" si="4"/>
        <v>1.3700834628155487</v>
      </c>
      <c r="I6" s="18">
        <f t="shared" si="1"/>
        <v>4.76</v>
      </c>
      <c r="J6" s="10">
        <f t="shared" si="3"/>
        <v>0.21008403361344538</v>
      </c>
      <c r="K6" s="10">
        <f t="shared" si="2"/>
        <v>1.3199969132730223</v>
      </c>
      <c r="M6" s="18">
        <v>2.38</v>
      </c>
    </row>
    <row r="7" spans="1:13" x14ac:dyDescent="0.3">
      <c r="B7" s="3">
        <v>23</v>
      </c>
      <c r="C7" s="10">
        <f t="shared" si="0"/>
        <v>0.4014257279586958</v>
      </c>
      <c r="D7" s="16">
        <f>64-51.5</f>
        <v>12.5</v>
      </c>
      <c r="E7" s="1">
        <f t="shared" si="5"/>
        <v>0.21469481576784907</v>
      </c>
      <c r="G7" s="16">
        <v>77</v>
      </c>
      <c r="H7" s="10">
        <f t="shared" si="4"/>
        <v>1.3439035240356338</v>
      </c>
      <c r="I7" s="18">
        <f t="shared" si="1"/>
        <v>4.76</v>
      </c>
      <c r="J7" s="10">
        <f t="shared" si="3"/>
        <v>0.21008403361344538</v>
      </c>
      <c r="K7" s="10">
        <f t="shared" si="2"/>
        <v>1.3199969132730223</v>
      </c>
      <c r="M7" s="18">
        <v>2.38</v>
      </c>
    </row>
    <row r="8" spans="1:13" x14ac:dyDescent="0.3">
      <c r="B8" s="3">
        <v>15</v>
      </c>
      <c r="C8" s="10">
        <f t="shared" si="0"/>
        <v>0.26179938779914941</v>
      </c>
      <c r="D8" s="17">
        <f>66.5-51.5</f>
        <v>15</v>
      </c>
      <c r="E8" s="1">
        <f>LN($B$2/B8)*(2)/(D8-$D$2)</f>
        <v>0.23590488178346619</v>
      </c>
      <c r="G8" s="16">
        <v>73</v>
      </c>
      <c r="H8" s="10">
        <f t="shared" si="4"/>
        <v>1.2740903539558606</v>
      </c>
      <c r="I8" s="18">
        <f t="shared" si="1"/>
        <v>4.68</v>
      </c>
      <c r="J8" s="10">
        <f t="shared" si="3"/>
        <v>0.21367521367521369</v>
      </c>
      <c r="K8" s="10">
        <f t="shared" si="2"/>
        <v>1.3425609630725612</v>
      </c>
      <c r="M8" s="18">
        <v>2.34</v>
      </c>
    </row>
    <row r="9" spans="1:13" x14ac:dyDescent="0.3">
      <c r="D9" s="10" t="s">
        <v>34</v>
      </c>
      <c r="E9" s="10">
        <f>AVERAGE(E3:E8)</f>
        <v>0.20175193217570117</v>
      </c>
      <c r="G9" s="16">
        <v>36</v>
      </c>
      <c r="H9" s="10">
        <f t="shared" si="4"/>
        <v>0.62831853071795862</v>
      </c>
      <c r="I9" s="18">
        <f t="shared" si="1"/>
        <v>4.5</v>
      </c>
      <c r="J9" s="10">
        <f t="shared" si="3"/>
        <v>0.22222222222222221</v>
      </c>
      <c r="K9" s="10">
        <f t="shared" si="2"/>
        <v>1.3962634015954636</v>
      </c>
      <c r="M9" s="18">
        <v>2.25</v>
      </c>
    </row>
    <row r="10" spans="1:13" x14ac:dyDescent="0.3">
      <c r="G10" s="16">
        <v>21.6</v>
      </c>
      <c r="H10" s="10">
        <f t="shared" si="4"/>
        <v>0.37699111843077521</v>
      </c>
      <c r="I10" s="18">
        <f t="shared" si="1"/>
        <v>4.28</v>
      </c>
      <c r="J10" s="10">
        <f t="shared" si="3"/>
        <v>0.23364485981308411</v>
      </c>
      <c r="K10" s="10">
        <f t="shared" si="2"/>
        <v>1.4680339502756043</v>
      </c>
      <c r="M10" s="18">
        <v>2.14</v>
      </c>
    </row>
    <row r="11" spans="1:13" x14ac:dyDescent="0.3">
      <c r="B11" s="1" t="s">
        <v>22</v>
      </c>
      <c r="C11" s="1" t="s">
        <v>21</v>
      </c>
      <c r="G11" s="16">
        <v>15.2</v>
      </c>
      <c r="H11" s="10">
        <f t="shared" si="4"/>
        <v>0.26529004630313807</v>
      </c>
      <c r="I11" s="18">
        <f t="shared" si="1"/>
        <v>4.04</v>
      </c>
      <c r="J11" s="10">
        <f t="shared" si="3"/>
        <v>0.24752475247524752</v>
      </c>
      <c r="K11" s="10">
        <f t="shared" si="2"/>
        <v>1.5552438879157391</v>
      </c>
      <c r="M11" s="18">
        <v>2.02</v>
      </c>
    </row>
    <row r="12" spans="1:13" x14ac:dyDescent="0.3">
      <c r="B12" s="1">
        <v>2.5</v>
      </c>
      <c r="C12" s="1">
        <f t="shared" ref="C12" si="6">1/B12</f>
        <v>0.4</v>
      </c>
      <c r="G12" s="16">
        <v>11.5</v>
      </c>
      <c r="H12" s="10">
        <f t="shared" si="4"/>
        <v>0.2007128639793479</v>
      </c>
      <c r="I12" s="18">
        <f t="shared" si="1"/>
        <v>3.9</v>
      </c>
      <c r="J12" s="10">
        <f t="shared" si="3"/>
        <v>0.25641025641025644</v>
      </c>
      <c r="K12" s="10">
        <f t="shared" si="2"/>
        <v>1.6110731556870737</v>
      </c>
      <c r="M12" s="18">
        <v>1.95</v>
      </c>
    </row>
    <row r="13" spans="1:13" x14ac:dyDescent="0.3">
      <c r="G13" s="16">
        <v>7.8</v>
      </c>
      <c r="H13" s="10">
        <f t="shared" si="4"/>
        <v>0.1361356816555577</v>
      </c>
      <c r="I13" s="18">
        <f t="shared" si="1"/>
        <v>3.6</v>
      </c>
      <c r="J13" s="10">
        <f t="shared" si="3"/>
        <v>0.27777777777777779</v>
      </c>
      <c r="K13" s="10">
        <f t="shared" si="2"/>
        <v>1.7453292519943295</v>
      </c>
      <c r="M13" s="18">
        <v>1.8</v>
      </c>
    </row>
    <row r="15" spans="1:13" x14ac:dyDescent="0.3">
      <c r="H15" s="1">
        <f>MAX($H$2:$H$13)/2^0.5</f>
        <v>0.96879530734842145</v>
      </c>
      <c r="J15" s="1">
        <f>0.3</f>
        <v>0.3</v>
      </c>
    </row>
    <row r="16" spans="1:13" x14ac:dyDescent="0.3">
      <c r="H16" s="1">
        <f>MAX($H$2:$H$13)/2^0.5</f>
        <v>0.96879530734842145</v>
      </c>
      <c r="J16" s="1">
        <v>0.6</v>
      </c>
    </row>
    <row r="17" spans="1:11" x14ac:dyDescent="0.3">
      <c r="A17" s="1">
        <v>0.20315</v>
      </c>
      <c r="B17" s="1">
        <v>0.90300000000000002</v>
      </c>
    </row>
    <row r="18" spans="1:11" x14ac:dyDescent="0.3">
      <c r="A18" s="1">
        <v>0.20432</v>
      </c>
      <c r="B18" s="1">
        <v>0.99211000000000005</v>
      </c>
      <c r="H18" s="3" t="s">
        <v>30</v>
      </c>
      <c r="I18" s="3">
        <v>0.14649999999999999</v>
      </c>
      <c r="K18" s="20">
        <f>(E9-I18)/E9</f>
        <v>0.27386073372315228</v>
      </c>
    </row>
    <row r="19" spans="1:11" x14ac:dyDescent="0.3">
      <c r="C19" s="1">
        <f>1.30423/SQRT(2)</f>
        <v>0.92222987722693084</v>
      </c>
    </row>
    <row r="21" spans="1:11" x14ac:dyDescent="0.3">
      <c r="B21" s="1">
        <f>A17+(A18-A17)*(C19-B17)</f>
        <v>0.2031724989563555</v>
      </c>
      <c r="C21" s="26">
        <f>(B21-E9)/E9</f>
        <v>7.0411557665638197E-3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實驗一</vt:lpstr>
      <vt:lpstr>實驗二</vt:lpstr>
      <vt:lpstr>實驗三-1</vt:lpstr>
      <vt:lpstr>實驗三-2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劉弘祥</cp:lastModifiedBy>
  <dcterms:created xsi:type="dcterms:W3CDTF">2018-10-05T05:51:04Z</dcterms:created>
  <dcterms:modified xsi:type="dcterms:W3CDTF">2018-11-22T08:01:10Z</dcterms:modified>
</cp:coreProperties>
</file>