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lanilhas\Lucros 2022\"/>
    </mc:Choice>
  </mc:AlternateContent>
  <xr:revisionPtr revIDLastSave="0" documentId="13_ncr:1_{DE5C520D-2CF4-4AC9-AD3F-E29A0F69DDD6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ena 5" sheetId="5" r:id="rId5"/>
    <sheet name="Despesas e valores finai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B18" i="5"/>
  <c r="C132" i="4"/>
  <c r="C101" i="4"/>
  <c r="C9" i="4"/>
  <c r="B9" i="4"/>
  <c r="C8" i="4"/>
  <c r="G8" i="4" s="1"/>
  <c r="C163" i="3"/>
  <c r="C160" i="3"/>
  <c r="C131" i="3"/>
  <c r="C3" i="6"/>
  <c r="C13" i="3"/>
  <c r="G13" i="3" s="1"/>
  <c r="C132" i="2"/>
  <c r="C131" i="2"/>
  <c r="G131" i="2" s="1"/>
  <c r="C84" i="2"/>
  <c r="C102" i="1"/>
  <c r="G102" i="1" s="1"/>
  <c r="C100" i="1"/>
  <c r="G100" i="1" s="1"/>
  <c r="C41" i="1"/>
  <c r="C40" i="1"/>
  <c r="G40" i="1" s="1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7" i="4"/>
  <c r="G6" i="4"/>
  <c r="G5" i="4"/>
  <c r="G4" i="4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2" i="3"/>
  <c r="G11" i="3"/>
  <c r="G10" i="3"/>
  <c r="G9" i="3"/>
  <c r="G8" i="3"/>
  <c r="G7" i="3"/>
  <c r="G6" i="3"/>
  <c r="G5" i="3"/>
  <c r="G4" i="3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0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C219" i="1"/>
  <c r="G18" i="5" l="1"/>
  <c r="C220" i="1"/>
  <c r="C221" i="1"/>
  <c r="G12" i="1"/>
  <c r="G11" i="1"/>
  <c r="G10" i="1"/>
  <c r="G9" i="1"/>
  <c r="G8" i="1"/>
  <c r="G7" i="1"/>
  <c r="G6" i="1"/>
  <c r="G5" i="1"/>
  <c r="G4" i="1"/>
  <c r="G28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60" i="5"/>
  <c r="C94" i="5"/>
  <c r="C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C125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C156" i="5"/>
  <c r="C155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70" i="5"/>
  <c r="G171" i="5"/>
  <c r="G172" i="5"/>
  <c r="G173" i="5"/>
  <c r="G174" i="5"/>
  <c r="G175" i="5"/>
  <c r="G176" i="5"/>
  <c r="G177" i="5"/>
  <c r="G178" i="5"/>
  <c r="G179" i="5"/>
  <c r="G180" i="5"/>
  <c r="C183" i="5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C182" i="5"/>
  <c r="C124" i="5"/>
  <c r="C184" i="5" l="1"/>
  <c r="C157" i="5"/>
  <c r="C126" i="5"/>
  <c r="C63" i="5"/>
  <c r="C62" i="5"/>
  <c r="C31" i="5"/>
  <c r="C30" i="5"/>
  <c r="C189" i="4"/>
  <c r="C188" i="4"/>
  <c r="C158" i="4"/>
  <c r="C157" i="4"/>
  <c r="C126" i="4"/>
  <c r="C127" i="4"/>
  <c r="C94" i="4"/>
  <c r="C93" i="4"/>
  <c r="C63" i="4"/>
  <c r="C62" i="4"/>
  <c r="G28" i="4"/>
  <c r="D20" i="6"/>
  <c r="E20" i="6"/>
  <c r="F20" i="6"/>
  <c r="G20" i="6"/>
  <c r="H20" i="6"/>
  <c r="I20" i="6"/>
  <c r="B20" i="6"/>
  <c r="C20" i="6"/>
  <c r="C189" i="1"/>
  <c r="C188" i="1"/>
  <c r="C158" i="1"/>
  <c r="C157" i="1"/>
  <c r="J4" i="5" l="1"/>
  <c r="C190" i="1"/>
  <c r="C15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C32" i="4" l="1"/>
  <c r="C187" i="2"/>
  <c r="C186" i="2"/>
  <c r="C31" i="4"/>
  <c r="I4" i="5"/>
  <c r="C186" i="3"/>
  <c r="C185" i="3"/>
  <c r="C155" i="3"/>
  <c r="C154" i="3"/>
  <c r="C124" i="3"/>
  <c r="C123" i="3"/>
  <c r="C93" i="3"/>
  <c r="C92" i="3"/>
  <c r="C62" i="3"/>
  <c r="C61" i="3"/>
  <c r="C31" i="3"/>
  <c r="C30" i="3"/>
  <c r="C156" i="2"/>
  <c r="C155" i="2"/>
  <c r="C125" i="2"/>
  <c r="C124" i="2"/>
  <c r="C91" i="2"/>
  <c r="C90" i="2"/>
  <c r="C62" i="2"/>
  <c r="C61" i="2"/>
  <c r="C126" i="1"/>
  <c r="C125" i="1"/>
  <c r="C93" i="1"/>
  <c r="C92" i="1"/>
  <c r="L3" i="6"/>
  <c r="C31" i="2"/>
  <c r="C30" i="2"/>
  <c r="C62" i="1"/>
  <c r="C61" i="1"/>
  <c r="C31" i="1"/>
  <c r="C30" i="1"/>
  <c r="I4" i="1" l="1"/>
  <c r="J4" i="1"/>
  <c r="C128" i="4"/>
  <c r="C125" i="3"/>
  <c r="C188" i="2"/>
  <c r="C127" i="1"/>
  <c r="C95" i="5"/>
  <c r="C64" i="5"/>
  <c r="C32" i="5"/>
  <c r="C64" i="4"/>
  <c r="C190" i="4"/>
  <c r="C95" i="4"/>
  <c r="C159" i="4"/>
  <c r="C33" i="4"/>
  <c r="C187" i="3"/>
  <c r="C156" i="3"/>
  <c r="C94" i="3"/>
  <c r="C63" i="3"/>
  <c r="C32" i="3"/>
  <c r="C157" i="2"/>
  <c r="C126" i="2"/>
  <c r="C92" i="2"/>
  <c r="C63" i="2"/>
  <c r="C32" i="2"/>
  <c r="C94" i="1"/>
  <c r="J4" i="3"/>
  <c r="I4" i="2"/>
  <c r="I4" i="4"/>
  <c r="C63" i="1"/>
  <c r="J4" i="2"/>
  <c r="C32" i="1"/>
  <c r="I4" i="3"/>
  <c r="K4" i="1" l="1"/>
  <c r="K4" i="5"/>
  <c r="K3" i="6"/>
  <c r="J4" i="4"/>
  <c r="N3" i="6" s="1"/>
  <c r="K4" i="4"/>
  <c r="K4" i="3"/>
  <c r="K4" i="2"/>
  <c r="M3" i="6" l="1"/>
  <c r="P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E0C-525A-4BD3-AAE2-D467C93B6F8C}" keepAlive="1" name="Consulta - Document" description="Conexão com a consulta 'Document' na pasta de trabalho." type="5" refreshedVersion="7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<sst xmlns="http://schemas.openxmlformats.org/spreadsheetml/2006/main" count="2203" uniqueCount="330">
  <si>
    <t>Valor Bruto</t>
  </si>
  <si>
    <t>Valor despesa</t>
  </si>
  <si>
    <t>Nº/Linha Key</t>
  </si>
  <si>
    <t>Quantidade</t>
  </si>
  <si>
    <t>Valor final</t>
  </si>
  <si>
    <t>Serviço</t>
  </si>
  <si>
    <t>Total do dia</t>
  </si>
  <si>
    <t>Valor despesas</t>
  </si>
  <si>
    <t>Valor Líquido</t>
  </si>
  <si>
    <t>Valor líquido</t>
  </si>
  <si>
    <t>Valor total semanal</t>
  </si>
  <si>
    <t>Mercado</t>
  </si>
  <si>
    <t>Farmácia</t>
  </si>
  <si>
    <t>Mecânica</t>
  </si>
  <si>
    <t>Combustível</t>
  </si>
  <si>
    <t>Outros</t>
  </si>
  <si>
    <t>Total do Mês Bruto</t>
  </si>
  <si>
    <t>Total do Mês Líquido</t>
  </si>
  <si>
    <t>Total de despesas</t>
  </si>
  <si>
    <t>TOTAL LIMPO</t>
  </si>
  <si>
    <t>Aluguel</t>
  </si>
  <si>
    <t>Fornecedor</t>
  </si>
  <si>
    <t>Total Gastos</t>
  </si>
  <si>
    <t>Parcelas</t>
  </si>
  <si>
    <t>Coluna1</t>
  </si>
  <si>
    <t>-</t>
  </si>
  <si>
    <t>Cópia simples/Din</t>
  </si>
  <si>
    <t>Cópia simples/Deb</t>
  </si>
  <si>
    <t xml:space="preserve"> </t>
  </si>
  <si>
    <t>27A</t>
  </si>
  <si>
    <t>28/09/2022 - Chaveiro Agua Verde</t>
  </si>
  <si>
    <t>29/09/2022 Chaveiro Agua Verde</t>
  </si>
  <si>
    <t>30/09/2022 Chaveiro Agua Verde</t>
  </si>
  <si>
    <t>01/10/2022 - Chaveiro Agua Verde</t>
  </si>
  <si>
    <t>04/10/2022 Chaveiro Agua Verde</t>
  </si>
  <si>
    <t>Pd 682</t>
  </si>
  <si>
    <t>07/10/2022 - Chaveiro Agua Verde</t>
  </si>
  <si>
    <t>23A</t>
  </si>
  <si>
    <t>Oh Pro</t>
  </si>
  <si>
    <t>Controle/Din</t>
  </si>
  <si>
    <t>08/10/2022 - Chaveiro Agua Verde</t>
  </si>
  <si>
    <t>SOP 952</t>
  </si>
  <si>
    <t>Troca de Pilha/Din</t>
  </si>
  <si>
    <t xml:space="preserve">  </t>
  </si>
  <si>
    <t>01/11/2022 - Chaveiro Agua Verde</t>
  </si>
  <si>
    <t>PD 297/AR 832</t>
  </si>
  <si>
    <t>TETRA LAND 781</t>
  </si>
  <si>
    <t>Cópia tetra/Pix</t>
  </si>
  <si>
    <t>Pz 340</t>
  </si>
  <si>
    <t>ST 999;1040</t>
  </si>
  <si>
    <t>Troca de Pilha/Cred</t>
  </si>
  <si>
    <t>03/11/2022 - Chaveiro Agua Verde</t>
  </si>
  <si>
    <t>St 999</t>
  </si>
  <si>
    <t>Cópia simples/deb</t>
  </si>
  <si>
    <t>AR 832</t>
  </si>
  <si>
    <t>Miolo usado;cópia simples/Cred</t>
  </si>
  <si>
    <t>Conserto Fech</t>
  </si>
  <si>
    <t>Conserto/cred</t>
  </si>
  <si>
    <t>Cópia simples;troca de pilha/cred</t>
  </si>
  <si>
    <t>St 846 / CR2032</t>
  </si>
  <si>
    <t>St 1030 / Fz 855</t>
  </si>
  <si>
    <t>ST 1004</t>
  </si>
  <si>
    <t>St 605 / Pd 682</t>
  </si>
  <si>
    <t>Cópia simples/din</t>
  </si>
  <si>
    <t>Cópia simples/pix</t>
  </si>
  <si>
    <t>Carcaça</t>
  </si>
  <si>
    <t>SOP 1062/23A</t>
  </si>
  <si>
    <t>Cópia simples;troca de pilha/Deb</t>
  </si>
  <si>
    <t>HELLA 1195</t>
  </si>
  <si>
    <t>Cópia simples/Cred</t>
  </si>
  <si>
    <t>Externo</t>
  </si>
  <si>
    <t>2 aberturas;troca de miolo/Pix</t>
  </si>
  <si>
    <t>IMAB 721</t>
  </si>
  <si>
    <t>Cópia simples/Pix</t>
  </si>
  <si>
    <t>Troca de Pilha/Deb</t>
  </si>
  <si>
    <t>ST 605</t>
  </si>
  <si>
    <t>Conserto;troca de pilha/Deb</t>
  </si>
  <si>
    <t>Fox 433</t>
  </si>
  <si>
    <t>Fechadura IMAB/din</t>
  </si>
  <si>
    <t>Controle Fox/Deb</t>
  </si>
  <si>
    <t>Troca de fechadura/pix</t>
  </si>
  <si>
    <t>Stam</t>
  </si>
  <si>
    <t>Miolo de Gaveta/deb</t>
  </si>
  <si>
    <t>ST 795</t>
  </si>
  <si>
    <t>2032/27A</t>
  </si>
  <si>
    <t>PD 682</t>
  </si>
  <si>
    <t>UM</t>
  </si>
  <si>
    <t>Cópia gorja/Din</t>
  </si>
  <si>
    <t>CR 2032</t>
  </si>
  <si>
    <t>Troca de pilha/dinheiro</t>
  </si>
  <si>
    <t>FZ 855</t>
  </si>
  <si>
    <t>05/11/2022 Chaveiro Água Verde</t>
  </si>
  <si>
    <t>Sop 952 / Fm 356</t>
  </si>
  <si>
    <t>CR 2016 / 23a</t>
  </si>
  <si>
    <t>Troca de pilha/pix</t>
  </si>
  <si>
    <t>07/11/2022 Chaveiro Agua Verde</t>
  </si>
  <si>
    <t>PD 693</t>
  </si>
  <si>
    <t>Corte lâmina/DOMINGO</t>
  </si>
  <si>
    <t>Abertura/Pix</t>
  </si>
  <si>
    <t>Abertura/Din</t>
  </si>
  <si>
    <t>Troca de fechadura/Pix</t>
  </si>
  <si>
    <t>Troca de fechadura/Deb</t>
  </si>
  <si>
    <t>Sop 952</t>
  </si>
  <si>
    <t>Oh Pro/AR 832</t>
  </si>
  <si>
    <t>Cópia simples;controle/Deb</t>
  </si>
  <si>
    <t>Visita mínima;chave de banheiro/Pix</t>
  </si>
  <si>
    <t>ST 1040/AR 832/IMAB 721</t>
  </si>
  <si>
    <t>GM PVC</t>
  </si>
  <si>
    <t>Sop 1115</t>
  </si>
  <si>
    <t>ST 870</t>
  </si>
  <si>
    <t>ST 999</t>
  </si>
  <si>
    <t>St 1030 / Pz 150</t>
  </si>
  <si>
    <t>Cópias simples/din</t>
  </si>
  <si>
    <t>Hyundai</t>
  </si>
  <si>
    <t>Troca de carcaça/Pix</t>
  </si>
  <si>
    <t>Botões/Pix</t>
  </si>
  <si>
    <t>ST 1030</t>
  </si>
  <si>
    <t>Chave gorja</t>
  </si>
  <si>
    <t>ST 3</t>
  </si>
  <si>
    <t>Abertura residencial;troca de miolo Piller Sop/Din</t>
  </si>
  <si>
    <t>AR 832/ST 795</t>
  </si>
  <si>
    <t>Cópia simples;chaveiros/Din</t>
  </si>
  <si>
    <t>ST TETRA</t>
  </si>
  <si>
    <t>Troca de miolos</t>
  </si>
  <si>
    <t>08/11/2022 - Chaveiro Agua Verde</t>
  </si>
  <si>
    <t>Haga 1053</t>
  </si>
  <si>
    <t>St 795&amp;1040</t>
  </si>
  <si>
    <t>Pilha/Din</t>
  </si>
  <si>
    <t>AR 832/ST 999/HELLA 1196</t>
  </si>
  <si>
    <t>Cópia simples/Din e Pix</t>
  </si>
  <si>
    <t>INTELBRAS</t>
  </si>
  <si>
    <t>TAG/Pix</t>
  </si>
  <si>
    <t>Sop 397</t>
  </si>
  <si>
    <t xml:space="preserve">PD </t>
  </si>
  <si>
    <t>PILL</t>
  </si>
  <si>
    <t>Oh Pro/PD 682/ST</t>
  </si>
  <si>
    <t>Cópia simples;tetra;controle/Pix</t>
  </si>
  <si>
    <t>09/11/2022 Chaveiro Agua Verde</t>
  </si>
  <si>
    <t>Troca de miolo;cópias/</t>
  </si>
  <si>
    <t>ST 999;TETRA AROUCA</t>
  </si>
  <si>
    <t>Miolo tetra;cópia simples;cópia tetra/Pix</t>
  </si>
  <si>
    <t>ST 1040</t>
  </si>
  <si>
    <t>ST 870;1040/SCH 392</t>
  </si>
  <si>
    <t>Troca de miolo/cred</t>
  </si>
  <si>
    <t>Troca de miolo/deb</t>
  </si>
  <si>
    <t>Pado</t>
  </si>
  <si>
    <t>Cadeado/deb</t>
  </si>
  <si>
    <t>Cópias simples/pic</t>
  </si>
  <si>
    <t>23a</t>
  </si>
  <si>
    <t>Pilha/din</t>
  </si>
  <si>
    <t>ST 838</t>
  </si>
  <si>
    <t>10/11/2022 Chaveiro Agua Verde</t>
  </si>
  <si>
    <t>Conserto fechadura</t>
  </si>
  <si>
    <t>Abertura;troca de miolo sop/Din</t>
  </si>
  <si>
    <t>SOP 1062</t>
  </si>
  <si>
    <t>AR 832/FZ 855</t>
  </si>
  <si>
    <t>Conserto ignição/Pix</t>
  </si>
  <si>
    <t>Honda Fit</t>
  </si>
  <si>
    <t>ST 846</t>
  </si>
  <si>
    <t>AR 832/IMAB 721</t>
  </si>
  <si>
    <t>Abertura automotiva/Pix</t>
  </si>
  <si>
    <t>Cópia Tetra/Deb</t>
  </si>
  <si>
    <t>st 543;1040</t>
  </si>
  <si>
    <t>PD 619</t>
  </si>
  <si>
    <t>Corte de lâmina</t>
  </si>
  <si>
    <t>Honda Civic</t>
  </si>
  <si>
    <t>Abertura;troca de miolo/Din</t>
  </si>
  <si>
    <t>St 1030 / Ar 832</t>
  </si>
  <si>
    <t>Cópia simples/</t>
  </si>
  <si>
    <t>SOP 1115</t>
  </si>
  <si>
    <t>11/11/2022 Chaveiro Agua Verde</t>
  </si>
  <si>
    <t>ST 838;846/PD 682/TETRA 1004</t>
  </si>
  <si>
    <t>Troca de pilha(1620);Cópias YALE&amp;Tetra/deb&amp;din</t>
  </si>
  <si>
    <t>Cópia simples/cred</t>
  </si>
  <si>
    <t>Ar 832 / Gold 595 / Identificador</t>
  </si>
  <si>
    <t>ALI 72/ PD 693</t>
  </si>
  <si>
    <t>Cópia simples;chaveiro/Din</t>
  </si>
  <si>
    <t>Troca de miolo/Pix</t>
  </si>
  <si>
    <t>PILL LAND 1067</t>
  </si>
  <si>
    <t>ST 856/ ST 1040</t>
  </si>
  <si>
    <t>12/11/2022 Chaveiro Agua Verde</t>
  </si>
  <si>
    <t>Tag simples</t>
  </si>
  <si>
    <t>Cópia/Deb</t>
  </si>
  <si>
    <t>MGM 1080</t>
  </si>
  <si>
    <t xml:space="preserve">SOP </t>
  </si>
  <si>
    <t>Miolo usado/Cred</t>
  </si>
  <si>
    <t>IGREJA</t>
  </si>
  <si>
    <t>Fz 855 / IMAB 721</t>
  </si>
  <si>
    <t>PD 687</t>
  </si>
  <si>
    <t>LAND</t>
  </si>
  <si>
    <t>Chave baú moto/Deb</t>
  </si>
  <si>
    <t>Troca de fecho eletronica;visita minima/Pix</t>
  </si>
  <si>
    <t>14/11/2022 Chaveiro Agua Verde</t>
  </si>
  <si>
    <t>SOP 802</t>
  </si>
  <si>
    <t>Chevrolet</t>
  </si>
  <si>
    <t>Cópia chave/Din</t>
  </si>
  <si>
    <t>SOP 952/MGM 1007</t>
  </si>
  <si>
    <t>ALI 72/PD 682</t>
  </si>
  <si>
    <t>Pado pino vidro</t>
  </si>
  <si>
    <t>Troca de miolo/pix</t>
  </si>
  <si>
    <t>Ar 832 / Vouga 554</t>
  </si>
  <si>
    <t>St 605 / Ar 832</t>
  </si>
  <si>
    <t>FERIADO</t>
  </si>
  <si>
    <t>16/11/2022 Chaveiro Agua Verde</t>
  </si>
  <si>
    <t>Cotrole/Cred</t>
  </si>
  <si>
    <t>ST 605/TRF Land 97</t>
  </si>
  <si>
    <t>Corte lâmina/Deb</t>
  </si>
  <si>
    <t>Ford</t>
  </si>
  <si>
    <t>Remoção de chave e cópia/Pix</t>
  </si>
  <si>
    <t>SOP 952/ST 870</t>
  </si>
  <si>
    <t>Configuração de controle/Cred</t>
  </si>
  <si>
    <t>PACRI 87</t>
  </si>
  <si>
    <t>Sop 1062</t>
  </si>
  <si>
    <t>St 870 &amp; Ar 832</t>
  </si>
  <si>
    <t>PD 682/SOP 1062;952</t>
  </si>
  <si>
    <t xml:space="preserve">St 870 </t>
  </si>
  <si>
    <t>PD 682/TETRA ST 1008</t>
  </si>
  <si>
    <t>Cópia simples;tetra/Din e Cred</t>
  </si>
  <si>
    <t>Remoção chave;cópias simples/Pix</t>
  </si>
  <si>
    <t>Solda;troca de pilha/Cred</t>
  </si>
  <si>
    <t>Cópia simples;chaveiros/Cred</t>
  </si>
  <si>
    <t>17/11/2022 Chaveiro Agua Verde</t>
  </si>
  <si>
    <t>ST 1007</t>
  </si>
  <si>
    <t>Cópia tetra/Cred</t>
  </si>
  <si>
    <t>Controle/Deb</t>
  </si>
  <si>
    <t>ST 1040;605</t>
  </si>
  <si>
    <t>ALI 72</t>
  </si>
  <si>
    <t>Visita Minima/Deb</t>
  </si>
  <si>
    <t>Chave fiat/Deb</t>
  </si>
  <si>
    <t>18/11/2022 Chaveiro Agua Verde</t>
  </si>
  <si>
    <t>Abertura Residencial/</t>
  </si>
  <si>
    <t>Soprano 1</t>
  </si>
  <si>
    <t>Cópia chave Gorja/din</t>
  </si>
  <si>
    <t>La Fonte</t>
  </si>
  <si>
    <t xml:space="preserve">Cópia simples/Din </t>
  </si>
  <si>
    <t>Cópia YALE &amp; TAG/pix</t>
  </si>
  <si>
    <t>Intelbras DM / IMAB 721</t>
  </si>
  <si>
    <t>Cópia chave YALE automotiva/din</t>
  </si>
  <si>
    <t>Cópia de chave YALE/cred</t>
  </si>
  <si>
    <t>Cópia de chave YALE/din</t>
  </si>
  <si>
    <t>19/11/2022 Chaveiro Agua Verde</t>
  </si>
  <si>
    <t>Pecinnin / Ar 832</t>
  </si>
  <si>
    <t>Cópia simples;controle/deb</t>
  </si>
  <si>
    <t>Fz 855</t>
  </si>
  <si>
    <t>St 1030</t>
  </si>
  <si>
    <t>Ar 27 / St 544</t>
  </si>
  <si>
    <t>Honda</t>
  </si>
  <si>
    <t>Cópia Motocicleta/deb</t>
  </si>
  <si>
    <t>21/11/2022 Chaveiro Agua Verde</t>
  </si>
  <si>
    <t>SOP 952/ST 999/AR 832</t>
  </si>
  <si>
    <t>2032/ST 1040</t>
  </si>
  <si>
    <t>Cópia simples;troca de pilha/Pix</t>
  </si>
  <si>
    <t>Abertura Residencial;troca de miolo/Pix</t>
  </si>
  <si>
    <t>Citroen / 2 Botões</t>
  </si>
  <si>
    <t>Troca de Carcaça e botões/cred</t>
  </si>
  <si>
    <t>Fecho eletronico/Pix</t>
  </si>
  <si>
    <t>Troca de fechadura porta divisória/Din</t>
  </si>
  <si>
    <t>St 1040</t>
  </si>
  <si>
    <t>GAREN LIGHT</t>
  </si>
  <si>
    <t>Phillips</t>
  </si>
  <si>
    <t>22/11/2022 Chaveiro Agua Verde</t>
  </si>
  <si>
    <t>PD 179</t>
  </si>
  <si>
    <t>Pd 682  / St 870</t>
  </si>
  <si>
    <t>Arouca / Tetra Arouca</t>
  </si>
  <si>
    <t>Troca de miolo para porta de vidro;tetra/pix</t>
  </si>
  <si>
    <t>SIN LAND 841</t>
  </si>
  <si>
    <t>Programação no portão/pix</t>
  </si>
  <si>
    <t>IPEC pix</t>
  </si>
  <si>
    <t>1005/SOP 1062/AR 832/PD 682</t>
  </si>
  <si>
    <t>Cópia simples;tetra/Din</t>
  </si>
  <si>
    <t>Troca de miolo tetra;cópia simples/Pix</t>
  </si>
  <si>
    <t>Chave direto do miolo/Deb</t>
  </si>
  <si>
    <t>AR 817</t>
  </si>
  <si>
    <t>Controle/Cred</t>
  </si>
  <si>
    <t>Abertura Residencial/Deb</t>
  </si>
  <si>
    <t xml:space="preserve">St 999;1004;1030;1040/ Pd 682 </t>
  </si>
  <si>
    <t>Cópia tetras/pix</t>
  </si>
  <si>
    <t>Land 326 / 133</t>
  </si>
  <si>
    <t>ST 838;1040</t>
  </si>
  <si>
    <t>Troca de miolos/pix</t>
  </si>
  <si>
    <t>Stam Piller/Arouca vidro</t>
  </si>
  <si>
    <t>St 846 / Fz 855</t>
  </si>
  <si>
    <t>24/11/2022 Chaveiro Agua Verde</t>
  </si>
  <si>
    <t>Cópias simples/deb</t>
  </si>
  <si>
    <t>St 1007</t>
  </si>
  <si>
    <t>Cópias simples/cred</t>
  </si>
  <si>
    <t xml:space="preserve">TAG </t>
  </si>
  <si>
    <t>Cópia tag simples/cred</t>
  </si>
  <si>
    <t>Abertura Residencial/Pix</t>
  </si>
  <si>
    <t>HAGA 380/ST 999</t>
  </si>
  <si>
    <t>ST 1030/PD 620</t>
  </si>
  <si>
    <t>Troca fechadura 55mm/pix</t>
  </si>
  <si>
    <t>25/11/2022 Chaveiro Agua Verde</t>
  </si>
  <si>
    <t>Piller / St 1086 / P1620</t>
  </si>
  <si>
    <t>Cópia YALE;Troca de pilha/deb</t>
  </si>
  <si>
    <t>Qtd. Key</t>
  </si>
  <si>
    <t>Pado (Porta de Vidro)</t>
  </si>
  <si>
    <t>Troca de Fechadura/Pix</t>
  </si>
  <si>
    <t>ST 543</t>
  </si>
  <si>
    <t>ST 838;999</t>
  </si>
  <si>
    <t xml:space="preserve">STAM 20mm </t>
  </si>
  <si>
    <t>Troca de Fechadura/Cred</t>
  </si>
  <si>
    <t>AR 27</t>
  </si>
  <si>
    <t>26/11/2022 Chaveiro Agua Verde</t>
  </si>
  <si>
    <t>Abertura/deb</t>
  </si>
  <si>
    <t>Remoção de chave quebrada/pix</t>
  </si>
  <si>
    <t>28/11/2022 Chaveiro Agua Verde</t>
  </si>
  <si>
    <t>Troca de fech. Tetra 1003/Din</t>
  </si>
  <si>
    <t>Domingo</t>
  </si>
  <si>
    <t>Abertura Automotiva/Pix</t>
  </si>
  <si>
    <t>Troca de Pilha/Pix</t>
  </si>
  <si>
    <t>OhPro</t>
  </si>
  <si>
    <t>Controle/cred</t>
  </si>
  <si>
    <t>Cópias simples;tetras/cred</t>
  </si>
  <si>
    <t>PD 694/ST 838</t>
  </si>
  <si>
    <t>Gold 594</t>
  </si>
  <si>
    <t>PD 682/ST 543</t>
  </si>
  <si>
    <t>Cópia tetra/</t>
  </si>
  <si>
    <t>Peccinin/Imab 721</t>
  </si>
  <si>
    <t>Controle;cópia simples/Deb</t>
  </si>
  <si>
    <t>TAG / 512 BR</t>
  </si>
  <si>
    <t>Cópia de YALE;TAG/Deb</t>
  </si>
  <si>
    <t>29/11/2022 Chaveiro Agua Verde</t>
  </si>
  <si>
    <t>Troca de miolo (p. correr)/</t>
  </si>
  <si>
    <t>ST 846;856</t>
  </si>
  <si>
    <t>Abertura e troca de miolo correio/Pix</t>
  </si>
  <si>
    <t>Oh Pro/2032</t>
  </si>
  <si>
    <t>Controle;troca de pilha/Deb</t>
  </si>
  <si>
    <t>Troca de pilha/Din</t>
  </si>
  <si>
    <t>PD 6852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</si>
</sst>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39">
    <xf numFmtId="0" fontId="0" fillId="0" borderId="0" xfId="0"/>
    <xf numFmtId="44" fontId="1" fillId="0" borderId="1" xfId="1" applyFont="1" applyBorder="1" applyAlignment="1">
      <alignment vertical="center"/>
    </xf>
    <xf numFmtId="44" fontId="1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2" xfId="1" applyFont="1" applyBorder="1" applyAlignment="1">
      <alignment vertical="center"/>
    </xf>
    <xf numFmtId="44" fontId="1" fillId="0" borderId="3" xfId="1" applyFont="1" applyBorder="1"/>
    <xf numFmtId="44" fontId="1" fillId="0" borderId="4" xfId="1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44" fontId="1" fillId="0" borderId="6" xfId="1" applyFont="1" applyBorder="1"/>
    <xf numFmtId="44" fontId="1" fillId="2" borderId="1" xfId="1" applyFont="1" applyFill="1" applyBorder="1" applyAlignment="1">
      <alignment vertical="center"/>
    </xf>
    <xf numFmtId="44" fontId="3" fillId="0" borderId="1" xfId="1" applyFont="1" applyBorder="1" applyAlignment="1">
      <alignment vertical="center"/>
    </xf>
    <xf numFmtId="44" fontId="3" fillId="2" borderId="1" xfId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4" fontId="4" fillId="3" borderId="9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left" vertical="center"/>
    </xf>
    <xf numFmtId="44" fontId="0" fillId="0" borderId="1" xfId="1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3" xfId="1" applyFont="1" applyBorder="1"/>
    <xf numFmtId="44" fontId="7" fillId="6" borderId="1" xfId="2" applyNumberFormat="1" applyFont="1" applyFill="1" applyBorder="1" applyAlignment="1">
      <alignment horizontal="center" vertical="center"/>
    </xf>
    <xf numFmtId="44" fontId="0" fillId="0" borderId="0" xfId="0" applyNumberFormat="1"/>
    <xf numFmtId="44" fontId="1" fillId="0" borderId="2" xfId="1" quotePrefix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3">
    <cellStyle name="Ênfase6" xfId="2" builtinId="49"/>
    <cellStyle name="Moeda" xfId="1" builtinId="4"/>
    <cellStyle name="Normal" xfId="0" builtinId="0"/>
  </cellStyles>
  <dxfs count="3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B3:G27" totalsRowShown="0" headerRowDxfId="340" dataDxfId="338" headerRowBorderDxfId="339" tableBorderDxfId="337" totalsRowBorderDxfId="336">
  <autoFilter ref="B3:G27" xr:uid="{00000000-0009-0000-0100-000004000000}"/>
  <tableColumns count="6">
    <tableColumn id="1" xr3:uid="{00000000-0010-0000-0000-000001000000}" name="Valor Bruto" dataDxfId="335" dataCellStyle="Moeda"/>
    <tableColumn id="2" xr3:uid="{00000000-0010-0000-0000-000002000000}" name="Valor despesa" dataDxfId="334" dataCellStyle="Moeda"/>
    <tableColumn id="3" xr3:uid="{00000000-0010-0000-0000-000003000000}" name="Nº/Linha Key" dataDxfId="333"/>
    <tableColumn id="4" xr3:uid="{00000000-0010-0000-0000-000004000000}" name="Serviço" dataDxfId="332"/>
    <tableColumn id="5" xr3:uid="{00000000-0010-0000-0000-000005000000}" name="Quantidade" dataDxfId="331"/>
    <tableColumn id="6" xr3:uid="{00000000-0010-0000-0000-000006000000}" name="Valor final" dataDxfId="330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ela4713" displayName="Tabela4713" ref="B66:G88" totalsRowShown="0" headerRowDxfId="241" dataDxfId="239" headerRowBorderDxfId="240" tableBorderDxfId="238" totalsRowBorderDxfId="237">
  <autoFilter ref="B66:G88" xr:uid="{00000000-0009-0000-0100-00000C000000}"/>
  <tableColumns count="6">
    <tableColumn id="1" xr3:uid="{00000000-0010-0000-0800-000001000000}" name="Valor Bruto" dataDxfId="236" dataCellStyle="Moeda"/>
    <tableColumn id="2" xr3:uid="{00000000-0010-0000-0800-000002000000}" name="Valor despesa" dataDxfId="235" dataCellStyle="Moeda"/>
    <tableColumn id="3" xr3:uid="{00000000-0010-0000-0800-000003000000}" name="Nº/Linha Key" dataDxfId="234"/>
    <tableColumn id="4" xr3:uid="{00000000-0010-0000-0800-000004000000}" name="Serviço" dataDxfId="233"/>
    <tableColumn id="5" xr3:uid="{00000000-0010-0000-0800-000005000000}" name="Quantidade" dataDxfId="232"/>
    <tableColumn id="6" xr3:uid="{00000000-0010-0000-0800-000006000000}" name="Valor final" dataDxfId="231" dataCellStyle="Moeda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ela4814" displayName="Tabela4814" ref="B97:G121" totalsRowShown="0" headerRowDxfId="230" dataDxfId="228" headerRowBorderDxfId="229" tableBorderDxfId="227" totalsRowBorderDxfId="226">
  <autoFilter ref="B97:G121" xr:uid="{00000000-0009-0000-0100-00000D000000}"/>
  <tableColumns count="6">
    <tableColumn id="1" xr3:uid="{00000000-0010-0000-0900-000001000000}" name="Valor Bruto" dataDxfId="225" dataCellStyle="Moeda"/>
    <tableColumn id="2" xr3:uid="{00000000-0010-0000-0900-000002000000}" name="Valor despesa" dataDxfId="224" dataCellStyle="Moeda"/>
    <tableColumn id="3" xr3:uid="{00000000-0010-0000-0900-000003000000}" name="Nº/Linha Key" dataDxfId="223"/>
    <tableColumn id="4" xr3:uid="{00000000-0010-0000-0900-000004000000}" name="Serviço" dataDxfId="222"/>
    <tableColumn id="5" xr3:uid="{00000000-0010-0000-0900-000005000000}" name="Quantidade" dataDxfId="221"/>
    <tableColumn id="6" xr3:uid="{00000000-0010-0000-0900-000006000000}" name="Valor final" dataDxfId="220" dataCellStyle="Moeda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ela4915" displayName="Tabela4915" ref="B129:G153" totalsRowShown="0" headerRowDxfId="219" dataDxfId="217" headerRowBorderDxfId="218" tableBorderDxfId="216" totalsRowBorderDxfId="215">
  <autoFilter ref="B129:G153" xr:uid="{00000000-0009-0000-0100-00000E000000}"/>
  <tableColumns count="6">
    <tableColumn id="1" xr3:uid="{00000000-0010-0000-0A00-000001000000}" name="Valor Bruto" dataDxfId="214" dataCellStyle="Moeda"/>
    <tableColumn id="2" xr3:uid="{00000000-0010-0000-0A00-000002000000}" name="Valor despesa" dataDxfId="213" dataCellStyle="Moeda"/>
    <tableColumn id="3" xr3:uid="{00000000-0010-0000-0A00-000003000000}" name="Nº/Linha Key" dataDxfId="212"/>
    <tableColumn id="4" xr3:uid="{00000000-0010-0000-0A00-000004000000}" name="Serviço" dataDxfId="211"/>
    <tableColumn id="5" xr3:uid="{00000000-0010-0000-0A00-000005000000}" name="Quantidade" dataDxfId="210"/>
    <tableColumn id="6" xr3:uid="{00000000-0010-0000-0A00-000006000000}" name="Valor final" dataDxfId="209" dataCellStyle="Moeda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ela41016" displayName="Tabela41016" ref="B160:G184" totalsRowShown="0" headerRowDxfId="208" dataDxfId="206" headerRowBorderDxfId="207" tableBorderDxfId="205" totalsRowBorderDxfId="204">
  <autoFilter ref="B160:G184" xr:uid="{00000000-0009-0000-0100-00000F000000}"/>
  <tableColumns count="6">
    <tableColumn id="1" xr3:uid="{00000000-0010-0000-0B00-000001000000}" name="Valor Bruto" dataDxfId="203" dataCellStyle="Moeda"/>
    <tableColumn id="2" xr3:uid="{00000000-0010-0000-0B00-000002000000}" name="Valor despesa" dataDxfId="202" dataCellStyle="Moeda"/>
    <tableColumn id="3" xr3:uid="{00000000-0010-0000-0B00-000003000000}" name="Nº/Linha Key" dataDxfId="201"/>
    <tableColumn id="4" xr3:uid="{00000000-0010-0000-0B00-000004000000}" name="Serviço" dataDxfId="200"/>
    <tableColumn id="5" xr3:uid="{00000000-0010-0000-0B00-000005000000}" name="Quantidade" dataDxfId="199"/>
    <tableColumn id="6" xr3:uid="{00000000-0010-0000-0B00-000006000000}" name="Valor final" dataDxfId="198" dataCellStyle="Moeda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ela417" displayName="Tabela417" ref="B3:G27" totalsRowShown="0" headerRowDxfId="197" dataDxfId="195" headerRowBorderDxfId="196" tableBorderDxfId="194" totalsRowBorderDxfId="193">
  <autoFilter ref="B3:G27" xr:uid="{00000000-0009-0000-0100-000010000000}"/>
  <tableColumns count="6">
    <tableColumn id="1" xr3:uid="{00000000-0010-0000-0C00-000001000000}" name="Valor Bruto" dataDxfId="192" dataCellStyle="Moeda"/>
    <tableColumn id="2" xr3:uid="{00000000-0010-0000-0C00-000002000000}" name="Valor despesa" dataDxfId="191" dataCellStyle="Moeda"/>
    <tableColumn id="3" xr3:uid="{00000000-0010-0000-0C00-000003000000}" name="Nº/Linha Key" dataDxfId="190"/>
    <tableColumn id="4" xr3:uid="{00000000-0010-0000-0C00-000004000000}" name="Serviço" dataDxfId="189"/>
    <tableColumn id="5" xr3:uid="{00000000-0010-0000-0C00-000005000000}" name="Quantidade" dataDxfId="188"/>
    <tableColumn id="6" xr3:uid="{00000000-0010-0000-0C00-000006000000}" name="Valor final" dataDxfId="187" dataCellStyle="Moeda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ela4618" displayName="Tabela4618" ref="B35:G59" totalsRowShown="0" headerRowDxfId="186" dataDxfId="184" headerRowBorderDxfId="185" tableBorderDxfId="183" totalsRowBorderDxfId="182">
  <autoFilter ref="B35:G59" xr:uid="{00000000-0009-0000-0100-000011000000}"/>
  <tableColumns count="6">
    <tableColumn id="1" xr3:uid="{00000000-0010-0000-0D00-000001000000}" name="Valor Bruto" dataDxfId="181" dataCellStyle="Moeda"/>
    <tableColumn id="2" xr3:uid="{00000000-0010-0000-0D00-000002000000}" name="Valor despesa" dataDxfId="180" dataCellStyle="Moeda"/>
    <tableColumn id="3" xr3:uid="{00000000-0010-0000-0D00-000003000000}" name="Nº/Linha Key" dataDxfId="179"/>
    <tableColumn id="4" xr3:uid="{00000000-0010-0000-0D00-000004000000}" name="Serviço" dataDxfId="178"/>
    <tableColumn id="5" xr3:uid="{00000000-0010-0000-0D00-000005000000}" name="Quantidade" dataDxfId="177"/>
    <tableColumn id="6" xr3:uid="{00000000-0010-0000-0D00-000006000000}" name="Valor final" dataDxfId="176" dataCellStyle="Moeda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ela4719" displayName="Tabela4719" ref="B66:G90" totalsRowShown="0" headerRowDxfId="175" dataDxfId="173" headerRowBorderDxfId="174" tableBorderDxfId="172" totalsRowBorderDxfId="171">
  <autoFilter ref="B66:G90" xr:uid="{00000000-0009-0000-0100-000012000000}"/>
  <tableColumns count="6">
    <tableColumn id="1" xr3:uid="{00000000-0010-0000-0E00-000001000000}" name="Valor Bruto" dataDxfId="170" dataCellStyle="Moeda"/>
    <tableColumn id="2" xr3:uid="{00000000-0010-0000-0E00-000002000000}" name="Valor despesa" dataDxfId="169" dataCellStyle="Moeda"/>
    <tableColumn id="3" xr3:uid="{00000000-0010-0000-0E00-000003000000}" name="Nº/Linha Key" dataDxfId="168"/>
    <tableColumn id="4" xr3:uid="{00000000-0010-0000-0E00-000004000000}" name="Serviço" dataDxfId="167"/>
    <tableColumn id="5" xr3:uid="{00000000-0010-0000-0E00-000005000000}" name="Quantidade" dataDxfId="166"/>
    <tableColumn id="6" xr3:uid="{00000000-0010-0000-0E00-000006000000}" name="Valor final" dataDxfId="165" dataCellStyle="Moeda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ela4820" displayName="Tabela4820" ref="B97:G121" totalsRowShown="0" headerRowDxfId="164" dataDxfId="162" headerRowBorderDxfId="163" tableBorderDxfId="161" totalsRowBorderDxfId="160">
  <autoFilter ref="B97:G121" xr:uid="{00000000-0009-0000-0100-000013000000}"/>
  <tableColumns count="6">
    <tableColumn id="1" xr3:uid="{00000000-0010-0000-0F00-000001000000}" name="Valor Bruto" dataDxfId="159" dataCellStyle="Moeda"/>
    <tableColumn id="2" xr3:uid="{00000000-0010-0000-0F00-000002000000}" name="Valor despesa" dataDxfId="158" dataCellStyle="Moeda"/>
    <tableColumn id="3" xr3:uid="{00000000-0010-0000-0F00-000003000000}" name="Nº/Linha Key" dataDxfId="157"/>
    <tableColumn id="4" xr3:uid="{00000000-0010-0000-0F00-000004000000}" name="Serviço" dataDxfId="156"/>
    <tableColumn id="5" xr3:uid="{00000000-0010-0000-0F00-000005000000}" name="Quantidade" dataDxfId="155"/>
    <tableColumn id="6" xr3:uid="{00000000-0010-0000-0F00-000006000000}" name="Valor final" dataDxfId="154" dataCellStyle="Moeda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0000000}" name="Tabela4921" displayName="Tabela4921" ref="B128:G152" totalsRowShown="0" headerRowDxfId="153" dataDxfId="151" headerRowBorderDxfId="152" tableBorderDxfId="150" totalsRowBorderDxfId="149">
  <autoFilter ref="B128:G152" xr:uid="{00000000-0009-0000-0100-000014000000}"/>
  <tableColumns count="6">
    <tableColumn id="1" xr3:uid="{00000000-0010-0000-1000-000001000000}" name="Valor Bruto" dataDxfId="148" dataCellStyle="Moeda"/>
    <tableColumn id="2" xr3:uid="{00000000-0010-0000-1000-000002000000}" name="Valor despesa" dataDxfId="147" dataCellStyle="Moeda"/>
    <tableColumn id="3" xr3:uid="{00000000-0010-0000-1000-000003000000}" name="Nº/Linha Key" dataDxfId="146"/>
    <tableColumn id="4" xr3:uid="{00000000-0010-0000-1000-000004000000}" name="Serviço" dataDxfId="145"/>
    <tableColumn id="5" xr3:uid="{00000000-0010-0000-1000-000005000000}" name="Quantidade" dataDxfId="144"/>
    <tableColumn id="6" xr3:uid="{00000000-0010-0000-1000-000006000000}" name="Valor final" dataDxfId="143" dataCellStyle="Moeda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Tabela41022" displayName="Tabela41022" ref="B159:G183" totalsRowShown="0" headerRowDxfId="142" dataDxfId="140" headerRowBorderDxfId="141" tableBorderDxfId="139" totalsRowBorderDxfId="138">
  <autoFilter ref="B159:G183" xr:uid="{00000000-0009-0000-0100-000015000000}"/>
  <tableColumns count="6">
    <tableColumn id="1" xr3:uid="{00000000-0010-0000-1100-000001000000}" name="Valor Bruto" dataDxfId="137" dataCellStyle="Moeda"/>
    <tableColumn id="2" xr3:uid="{00000000-0010-0000-1100-000002000000}" name="Valor despesa" dataDxfId="136" dataCellStyle="Moeda"/>
    <tableColumn id="3" xr3:uid="{00000000-0010-0000-1100-000003000000}" name="Nº/Linha Key" dataDxfId="135"/>
    <tableColumn id="4" xr3:uid="{00000000-0010-0000-1100-000004000000}" name="Serviço" dataDxfId="134"/>
    <tableColumn id="5" xr3:uid="{00000000-0010-0000-1100-000005000000}" name="Quantidade" dataDxfId="133"/>
    <tableColumn id="6" xr3:uid="{00000000-0010-0000-1100-000006000000}" name="Valor final" dataDxfId="132" dataCellStyle="Moeda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46" displayName="Tabela46" ref="B35:G59" totalsRowShown="0" headerRowDxfId="329" dataDxfId="327" headerRowBorderDxfId="328" tableBorderDxfId="326" totalsRowBorderDxfId="325">
  <autoFilter ref="B35:G59" xr:uid="{00000000-0009-0000-0100-000005000000}"/>
  <tableColumns count="6">
    <tableColumn id="1" xr3:uid="{00000000-0010-0000-0100-000001000000}" name="Valor Bruto" dataDxfId="324" dataCellStyle="Moeda"/>
    <tableColumn id="2" xr3:uid="{00000000-0010-0000-0100-000002000000}" name="Valor despesa" dataDxfId="323" dataCellStyle="Moeda"/>
    <tableColumn id="3" xr3:uid="{00000000-0010-0000-0100-000003000000}" name="Nº/Linha Key" dataDxfId="322"/>
    <tableColumn id="4" xr3:uid="{00000000-0010-0000-0100-000004000000}" name="Serviço" dataDxfId="321"/>
    <tableColumn id="5" xr3:uid="{00000000-0010-0000-0100-000005000000}" name="Quantidade" dataDxfId="320"/>
    <tableColumn id="6" xr3:uid="{00000000-0010-0000-0100-000006000000}" name="Valor final" dataDxfId="319" dataCellStyle="Moeda"/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ela423" displayName="Tabela423" ref="B3:G28" totalsRowShown="0" headerRowDxfId="131" dataDxfId="129" headerRowBorderDxfId="130" tableBorderDxfId="128" totalsRowBorderDxfId="127">
  <autoFilter ref="B3:G28" xr:uid="{00000000-0009-0000-0100-000016000000}"/>
  <tableColumns count="6">
    <tableColumn id="1" xr3:uid="{00000000-0010-0000-1200-000001000000}" name="Valor Bruto" dataDxfId="126" dataCellStyle="Moeda"/>
    <tableColumn id="2" xr3:uid="{00000000-0010-0000-1200-000002000000}" name="Valor despesa" dataDxfId="125" dataCellStyle="Moeda"/>
    <tableColumn id="3" xr3:uid="{00000000-0010-0000-1200-000003000000}" name="Nº/Linha Key" dataDxfId="124"/>
    <tableColumn id="4" xr3:uid="{00000000-0010-0000-1200-000004000000}" name="Serviço" dataDxfId="123"/>
    <tableColumn id="5" xr3:uid="{00000000-0010-0000-1200-000005000000}" name="Quantidade" dataDxfId="122"/>
    <tableColumn id="6" xr3:uid="{00000000-0010-0000-1200-000006000000}" name="Valor final" dataDxfId="121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a4624" displayName="Tabela4624" ref="B36:G60" totalsRowShown="0" headerRowDxfId="120" dataDxfId="118" headerRowBorderDxfId="119" tableBorderDxfId="117" totalsRowBorderDxfId="116">
  <autoFilter ref="B36:G60" xr:uid="{00000000-0009-0000-0100-000017000000}"/>
  <tableColumns count="6">
    <tableColumn id="1" xr3:uid="{00000000-0010-0000-1300-000001000000}" name="Valor Bruto" dataDxfId="115" dataCellStyle="Moeda"/>
    <tableColumn id="2" xr3:uid="{00000000-0010-0000-1300-000002000000}" name="Valor despesa" dataDxfId="114" dataCellStyle="Moeda"/>
    <tableColumn id="3" xr3:uid="{00000000-0010-0000-1300-000003000000}" name="Nº/Linha Key" dataDxfId="113"/>
    <tableColumn id="4" xr3:uid="{00000000-0010-0000-1300-000004000000}" name="Serviço" dataDxfId="112"/>
    <tableColumn id="5" xr3:uid="{00000000-0010-0000-1300-000005000000}" name="Quantidade" dataDxfId="111"/>
    <tableColumn id="6" xr3:uid="{00000000-0010-0000-1300-000006000000}" name="Valor final" dataDxfId="110" dataCellStyle="Moeda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ela4725" displayName="Tabela4725" ref="B67:G91" totalsRowShown="0" headerRowDxfId="109" dataDxfId="107" headerRowBorderDxfId="108" tableBorderDxfId="106" totalsRowBorderDxfId="105">
  <autoFilter ref="B67:G91" xr:uid="{00000000-0009-0000-0100-000018000000}"/>
  <tableColumns count="6">
    <tableColumn id="1" xr3:uid="{00000000-0010-0000-1400-000001000000}" name="Valor Bruto" dataDxfId="104" dataCellStyle="Moeda"/>
    <tableColumn id="2" xr3:uid="{00000000-0010-0000-1400-000002000000}" name="Coluna1" dataDxfId="103" dataCellStyle="Moeda"/>
    <tableColumn id="3" xr3:uid="{00000000-0010-0000-1400-000003000000}" name="Nº/Linha Key" dataDxfId="102"/>
    <tableColumn id="4" xr3:uid="{00000000-0010-0000-1400-000004000000}" name="Serviço" dataDxfId="101"/>
    <tableColumn id="5" xr3:uid="{00000000-0010-0000-1400-000005000000}" name="Quantidade" dataDxfId="100"/>
    <tableColumn id="6" xr3:uid="{00000000-0010-0000-1400-000006000000}" name="Valor final" dataDxfId="99" dataCellStyle="Moeda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a4826" displayName="Tabela4826" ref="B100:G124" totalsRowShown="0" headerRowDxfId="98" dataDxfId="96" headerRowBorderDxfId="97" tableBorderDxfId="95" totalsRowBorderDxfId="94">
  <autoFilter ref="B100:G124" xr:uid="{00000000-0009-0000-0100-000019000000}"/>
  <tableColumns count="6">
    <tableColumn id="1" xr3:uid="{00000000-0010-0000-1500-000001000000}" name="Valor Bruto" dataDxfId="93" dataCellStyle="Moeda"/>
    <tableColumn id="2" xr3:uid="{00000000-0010-0000-1500-000002000000}" name="Valor despesa" dataDxfId="92" dataCellStyle="Moeda"/>
    <tableColumn id="3" xr3:uid="{00000000-0010-0000-1500-000003000000}" name="Nº/Linha Key" dataDxfId="91"/>
    <tableColumn id="4" xr3:uid="{00000000-0010-0000-1500-000004000000}" name="Serviço" dataDxfId="90"/>
    <tableColumn id="5" xr3:uid="{00000000-0010-0000-1500-000005000000}" name="Quantidade" dataDxfId="89"/>
    <tableColumn id="6" xr3:uid="{00000000-0010-0000-1500-000006000000}" name="Valor final" dataDxfId="88" dataCellStyle="Moeda"/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ela4927" displayName="Tabela4927" ref="B131:G155" totalsRowShown="0" headerRowDxfId="87" dataDxfId="85" headerRowBorderDxfId="86" tableBorderDxfId="84" totalsRowBorderDxfId="83">
  <autoFilter ref="B131:G155" xr:uid="{00000000-0009-0000-0100-00001A000000}"/>
  <tableColumns count="6">
    <tableColumn id="1" xr3:uid="{00000000-0010-0000-1600-000001000000}" name="Valor Bruto" dataDxfId="82" dataCellStyle="Moeda"/>
    <tableColumn id="2" xr3:uid="{00000000-0010-0000-1600-000002000000}" name="Valor despesa" dataDxfId="81" dataCellStyle="Moeda"/>
    <tableColumn id="3" xr3:uid="{00000000-0010-0000-1600-000003000000}" name="Nº/Linha Key" dataDxfId="80"/>
    <tableColumn id="4" xr3:uid="{00000000-0010-0000-1600-000004000000}" name="Serviço" dataDxfId="79"/>
    <tableColumn id="5" xr3:uid="{00000000-0010-0000-1600-000005000000}" name="Qtd. Key" dataDxfId="78"/>
    <tableColumn id="6" xr3:uid="{00000000-0010-0000-1600-000006000000}" name="Valor final" dataDxfId="77" dataCellStyle="Moeda"/>
  </tableColumns>
  <tableStyleInfo name="TableStyleMedium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ela41028" displayName="Tabela41028" ref="B162:G186" totalsRowShown="0" headerRowDxfId="76" dataDxfId="74" headerRowBorderDxfId="75" tableBorderDxfId="73" totalsRowBorderDxfId="72">
  <autoFilter ref="B162:G186" xr:uid="{00000000-0009-0000-0100-00001B000000}"/>
  <tableColumns count="6">
    <tableColumn id="1" xr3:uid="{00000000-0010-0000-1700-000001000000}" name="Valor Bruto" dataDxfId="71" dataCellStyle="Moeda"/>
    <tableColumn id="2" xr3:uid="{00000000-0010-0000-1700-000002000000}" name="Valor despesa" dataDxfId="70" dataCellStyle="Moeda"/>
    <tableColumn id="3" xr3:uid="{00000000-0010-0000-1700-000003000000}" name="Nº/Linha Key" dataDxfId="69"/>
    <tableColumn id="4" xr3:uid="{00000000-0010-0000-1700-000004000000}" name="Serviço" dataDxfId="68"/>
    <tableColumn id="5" xr3:uid="{00000000-0010-0000-1700-000005000000}" name="Quantidade" dataDxfId="67"/>
    <tableColumn id="6" xr3:uid="{00000000-0010-0000-1700-000006000000}" name="Valor final" dataDxfId="66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a42329" displayName="Tabela42329" ref="B3:G28" totalsRowShown="0" headerRowDxfId="65" dataDxfId="63" headerRowBorderDxfId="64" tableBorderDxfId="62" totalsRowBorderDxfId="61">
  <autoFilter ref="B3:G28" xr:uid="{00000000-0009-0000-0100-00001C000000}"/>
  <tableColumns count="6">
    <tableColumn id="1" xr3:uid="{00000000-0010-0000-1800-000001000000}" name="Valor Bruto" dataDxfId="60" dataCellStyle="Moeda"/>
    <tableColumn id="2" xr3:uid="{00000000-0010-0000-1800-000002000000}" name="Valor despesa" dataDxfId="59" dataCellStyle="Moeda"/>
    <tableColumn id="3" xr3:uid="{00000000-0010-0000-1800-000003000000}" name="Nº/Linha Key" dataDxfId="58"/>
    <tableColumn id="4" xr3:uid="{00000000-0010-0000-1800-000004000000}" name="Serviço" dataDxfId="57"/>
    <tableColumn id="5" xr3:uid="{00000000-0010-0000-1800-000005000000}" name="Quantidade" dataDxfId="56"/>
    <tableColumn id="6" xr3:uid="{00000000-0010-0000-1800-000006000000}" name="Valor final" dataDxfId="55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a462430" displayName="Tabela462430" ref="B35:G60" totalsRowShown="0" headerRowDxfId="54" dataDxfId="52" headerRowBorderDxfId="53" tableBorderDxfId="51" totalsRowBorderDxfId="50">
  <autoFilter ref="B35:G60" xr:uid="{00000000-0009-0000-0100-00001D000000}"/>
  <tableColumns count="6">
    <tableColumn id="1" xr3:uid="{00000000-0010-0000-1900-000001000000}" name="Valor Bruto" dataDxfId="49" dataCellStyle="Moeda"/>
    <tableColumn id="2" xr3:uid="{00000000-0010-0000-1900-000002000000}" name="Valor despesa" dataDxfId="48" dataCellStyle="Moeda"/>
    <tableColumn id="3" xr3:uid="{00000000-0010-0000-1900-000003000000}" name="Nº/Linha Key" dataDxfId="47"/>
    <tableColumn id="4" xr3:uid="{00000000-0010-0000-1900-000004000000}" name="Serviço" dataDxfId="46"/>
    <tableColumn id="5" xr3:uid="{00000000-0010-0000-1900-000005000000}" name="Quantidade" dataDxfId="45"/>
    <tableColumn id="6" xr3:uid="{00000000-0010-0000-1900-000006000000}" name="Valor final" dataDxfId="44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041B8-CFE3-4026-9C3F-3C5E15EABDA2}" name="Tabela423292" displayName="Tabela423292" ref="B67:G91" totalsRowShown="0" headerRowDxfId="43" dataDxfId="41" headerRowBorderDxfId="42" tableBorderDxfId="40" totalsRowBorderDxfId="39">
  <autoFilter ref="B67:G91" xr:uid="{458041B8-CFE3-4026-9C3F-3C5E15EABDA2}"/>
  <tableColumns count="6">
    <tableColumn id="1" xr3:uid="{C0CB1962-74E4-4A91-82EF-7A5A77CE8A71}" name="Valor Bruto" dataDxfId="38" dataCellStyle="Moeda"/>
    <tableColumn id="2" xr3:uid="{FC16D36F-15F8-4CF9-A18E-E7E6957BF021}" name="Valor despesa" dataDxfId="37" dataCellStyle="Moeda"/>
    <tableColumn id="3" xr3:uid="{A7D91028-B494-43CE-890F-2B59F7133B91}" name="Nº/Linha Key" dataDxfId="36"/>
    <tableColumn id="4" xr3:uid="{E30F42B7-D88B-472D-8C38-720B4EA98F89}" name="Serviço" dataDxfId="35"/>
    <tableColumn id="5" xr3:uid="{2DAF22BA-C8C1-438F-9D86-292EC90EE07A}" name="Quantidade" dataDxfId="34"/>
    <tableColumn id="6" xr3:uid="{78141D2E-4AD9-4497-99AC-CF97965DCDD2}" name="Valor final" dataDxfId="33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5312D-84E6-47BD-B3BD-DE4B8AA58834}" name="Tabela4232923" displayName="Tabela4232923" ref="B98:G122" totalsRowShown="0" headerRowDxfId="32" dataDxfId="30" headerRowBorderDxfId="31" tableBorderDxfId="29" totalsRowBorderDxfId="28">
  <autoFilter ref="B98:G122" xr:uid="{7645312D-84E6-47BD-B3BD-DE4B8AA58834}"/>
  <tableColumns count="6">
    <tableColumn id="1" xr3:uid="{6C50403C-D00B-4F34-9321-BA3F873245AC}" name="Valor Bruto" dataDxfId="27" dataCellStyle="Moeda"/>
    <tableColumn id="2" xr3:uid="{C0FE8A99-D48E-4022-8066-C1A0069A3DEA}" name="Valor despesa" dataDxfId="26" dataCellStyle="Moeda"/>
    <tableColumn id="3" xr3:uid="{A02F045F-B05A-414E-85AD-1F3295A4E173}" name="Nº/Linha Key" dataDxfId="25"/>
    <tableColumn id="4" xr3:uid="{79299B33-29A6-43E1-828C-0A60BE2C536C}" name="Serviço" dataDxfId="24"/>
    <tableColumn id="5" xr3:uid="{344EBBD4-A5D6-4260-8FCE-923CA8ABC48E}" name="Quantidade" dataDxfId="23"/>
    <tableColumn id="6" xr3:uid="{B86A8475-6BC8-49F0-ACDB-F6AECB6A939B}" name="Valor final" dataDxfId="22" dataCellStyle="Moeda">
      <calculatedColumnFormula>SUM(B99-C99)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47" displayName="Tabela47" ref="B66:G90" totalsRowShown="0" headerRowDxfId="318" dataDxfId="316" headerRowBorderDxfId="317" tableBorderDxfId="315" totalsRowBorderDxfId="314">
  <autoFilter ref="B66:G90" xr:uid="{00000000-0009-0000-0100-000006000000}"/>
  <tableColumns count="6">
    <tableColumn id="1" xr3:uid="{00000000-0010-0000-0200-000001000000}" name="Valor Bruto" dataDxfId="313" dataCellStyle="Moeda"/>
    <tableColumn id="2" xr3:uid="{00000000-0010-0000-0200-000002000000}" name="Valor despesa" dataDxfId="312" dataCellStyle="Moeda"/>
    <tableColumn id="3" xr3:uid="{00000000-0010-0000-0200-000003000000}" name="Nº/Linha Key" dataDxfId="311"/>
    <tableColumn id="4" xr3:uid="{00000000-0010-0000-0200-000004000000}" name="Serviço" dataDxfId="310"/>
    <tableColumn id="5" xr3:uid="{00000000-0010-0000-0200-000005000000}" name="Quantidade" dataDxfId="309"/>
    <tableColumn id="6" xr3:uid="{00000000-0010-0000-0200-000006000000}" name="Valor final" dataDxfId="308" dataCellStyle="Moeda"/>
  </tableColumns>
  <tableStyleInfo name="TableStyleMedium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6129B2-AC14-46E1-8167-991DF1952234}" name="Tabela4232910" displayName="Tabela4232910" ref="B129:G153" totalsRowShown="0" headerRowDxfId="21" dataDxfId="19" headerRowBorderDxfId="20" tableBorderDxfId="18" totalsRowBorderDxfId="17">
  <autoFilter ref="B129:G153" xr:uid="{C46129B2-AC14-46E1-8167-991DF1952234}"/>
  <tableColumns count="6">
    <tableColumn id="1" xr3:uid="{FB537C30-4866-4F88-83A0-EF699393770F}" name="Valor Bruto" dataDxfId="16" dataCellStyle="Moeda"/>
    <tableColumn id="2" xr3:uid="{3FF0035A-B209-405E-972A-8AE711E3E6E0}" name="Valor despesa" dataDxfId="15" dataCellStyle="Moeda"/>
    <tableColumn id="3" xr3:uid="{A24EB611-BC66-49EF-90B2-234FE4D196F0}" name="Nº/Linha Key" dataDxfId="14"/>
    <tableColumn id="4" xr3:uid="{2198B471-FB31-4341-AEA3-97CF86A6E592}" name="Serviço" dataDxfId="13"/>
    <tableColumn id="5" xr3:uid="{AB893E91-47FE-4B10-8284-7B27ED3EBC10}" name="Quantidade" dataDxfId="12"/>
    <tableColumn id="6" xr3:uid="{3D5559B1-F7FE-48AE-9A4C-56684492D541}" name="Valor final" dataDxfId="11" dataCellStyle="Moeda">
      <calculatedColumnFormula>SUM(B130-C130)</calculatedColumnFormula>
    </tableColumn>
  </tableColumns>
  <tableStyleInfo name="TableStyleMedium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0CBBE5-6F55-456B-934C-AF5865A7F3D4}" name="Tabela423299" displayName="Tabela423299" ref="B160:G180" totalsRowShown="0" headerRowDxfId="10" dataDxfId="8" headerRowBorderDxfId="9" tableBorderDxfId="7" totalsRowBorderDxfId="6">
  <autoFilter ref="B160:G180" xr:uid="{790CBBE5-6F55-456B-934C-AF5865A7F3D4}"/>
  <tableColumns count="6">
    <tableColumn id="1" xr3:uid="{16DDC007-9202-43F8-8353-73953291B1E7}" name="Valor Bruto" dataDxfId="5" dataCellStyle="Moeda"/>
    <tableColumn id="2" xr3:uid="{3BCE6A79-B4D2-4669-A287-160EC9663196}" name="Valor despesa" dataDxfId="4" dataCellStyle="Moeda"/>
    <tableColumn id="3" xr3:uid="{09BD4184-EAF2-4BD2-8933-BDAFFEAD108E}" name="Nº/Linha Key" dataDxfId="3"/>
    <tableColumn id="4" xr3:uid="{7255E187-FD94-44AB-B3AF-F73D3725F374}" name="Serviço" dataDxfId="2"/>
    <tableColumn id="5" xr3:uid="{460C957B-76AB-409F-963F-1221A2BDC4D2}" name="Quantidade" dataDxfId="1"/>
    <tableColumn id="6" xr3:uid="{7E0D7772-15E7-4ED8-A371-7DF3A6FD293A}" name="Valor final" dataDxfId="0" dataCellStyle="Moeda">
      <calculatedColumnFormula>SUM('Semana 1'!B4-'Semana 1'!C4)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a48" displayName="Tabela48" ref="B99:G123" totalsRowShown="0" headerRowDxfId="307" dataDxfId="305" headerRowBorderDxfId="306" tableBorderDxfId="304" totalsRowBorderDxfId="303">
  <autoFilter ref="B99:G123" xr:uid="{00000000-0009-0000-0100-000007000000}"/>
  <tableColumns count="6">
    <tableColumn id="1" xr3:uid="{00000000-0010-0000-0300-000001000000}" name="Valor Bruto" dataDxfId="302" dataCellStyle="Moeda"/>
    <tableColumn id="2" xr3:uid="{00000000-0010-0000-0300-000002000000}" name="Valor despesa" dataDxfId="301" dataCellStyle="Moeda"/>
    <tableColumn id="3" xr3:uid="{00000000-0010-0000-0300-000003000000}" name="Nº/Linha Key" dataDxfId="300"/>
    <tableColumn id="4" xr3:uid="{00000000-0010-0000-0300-000004000000}" name="Serviço" dataDxfId="299"/>
    <tableColumn id="5" xr3:uid="{00000000-0010-0000-0300-000005000000}" name="Quantidade" dataDxfId="298"/>
    <tableColumn id="6" xr3:uid="{00000000-0010-0000-0300-000006000000}" name="Valor final" dataDxfId="297" dataCellStyle="Moeda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B5EC900-5547-40FF-B234-89824AEDBB0C}" name="Tabela4732" displayName="Tabela4732" ref="B131:G155" totalsRowShown="0" headerRowDxfId="296" dataDxfId="294" headerRowBorderDxfId="295" tableBorderDxfId="293" totalsRowBorderDxfId="292">
  <autoFilter ref="B131:G155" xr:uid="{BB5EC900-5547-40FF-B234-89824AEDBB0C}"/>
  <tableColumns count="6">
    <tableColumn id="1" xr3:uid="{178FF1D5-691F-4BA7-95D8-C5B3B28B4C98}" name="Valor Bruto" dataDxfId="291" dataCellStyle="Moeda"/>
    <tableColumn id="2" xr3:uid="{ABECD74C-30E3-4AE4-836C-84064AD7227F}" name="Valor despesa" dataDxfId="290" dataCellStyle="Moeda"/>
    <tableColumn id="3" xr3:uid="{0EAC0875-E067-416B-8BF1-DE0AFA2EE054}" name="Nº/Linha Key" dataDxfId="289"/>
    <tableColumn id="4" xr3:uid="{7BD50F50-2BC2-428B-BA46-A9D9E8FB876E}" name="Serviço" dataDxfId="288"/>
    <tableColumn id="5" xr3:uid="{35685526-C257-4621-A190-37FFC8219643}" name="Quantidade" dataDxfId="287"/>
    <tableColumn id="6" xr3:uid="{67BB02E2-E6FA-457E-9999-24D9196BF55F}" name="Valor final" dataDxfId="286" dataCellStyle="Moeda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DA7B2F4-AEAB-4DB1-83B3-0C10B3394868}" name="Tabela473233" displayName="Tabela473233" ref="B162:G186" totalsRowShown="0" headerRowDxfId="285" dataDxfId="283" headerRowBorderDxfId="284" tableBorderDxfId="282" totalsRowBorderDxfId="281">
  <autoFilter ref="B162:G186" xr:uid="{6DA7B2F4-AEAB-4DB1-83B3-0C10B3394868}"/>
  <tableColumns count="6">
    <tableColumn id="1" xr3:uid="{C68A50FE-6239-4968-924F-7D4D2442EC73}" name="Valor Bruto" dataDxfId="280" dataCellStyle="Moeda"/>
    <tableColumn id="2" xr3:uid="{F5624724-A8B5-4690-B0E8-685F30650362}" name="Valor despesa" dataDxfId="279" dataCellStyle="Moeda"/>
    <tableColumn id="3" xr3:uid="{E59CD617-2616-43FA-9ED1-A9ECC4F79F84}" name="Nº/Linha Key" dataDxfId="278"/>
    <tableColumn id="4" xr3:uid="{B90BCFBF-C265-4481-84E1-34354E269451}" name="Serviço" dataDxfId="277"/>
    <tableColumn id="5" xr3:uid="{63D1A3EA-F9FB-4211-9DEB-0E67C133CEAE}" name="Quantidade" dataDxfId="276"/>
    <tableColumn id="6" xr3:uid="{8737AA2C-1A9D-4850-91C6-B63AB823F8F7}" name="Valor final" dataDxfId="275" dataCellStyle="Moeda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349FF5-C35C-4FFD-9ABB-4F9B592D84A3}" name="Tabela4732334" displayName="Tabela4732334" ref="B193:G217" totalsRowShown="0" headerRowDxfId="274" dataDxfId="272" headerRowBorderDxfId="273" tableBorderDxfId="271" totalsRowBorderDxfId="270">
  <autoFilter ref="B193:G217" xr:uid="{CB349FF5-C35C-4FFD-9ABB-4F9B592D84A3}"/>
  <tableColumns count="6">
    <tableColumn id="1" xr3:uid="{033374E0-87CE-4D69-AED4-9743E5A6C204}" name="Valor Bruto" dataDxfId="269" dataCellStyle="Moeda"/>
    <tableColumn id="2" xr3:uid="{FC9CE78A-4EC1-4AB0-9480-76113D838A3D}" name="Valor despesa" dataDxfId="268" dataCellStyle="Moeda"/>
    <tableColumn id="3" xr3:uid="{60E0F072-6098-4092-BED0-AAFEFE4BCDE1}" name="Nº/Linha Key" dataDxfId="267"/>
    <tableColumn id="4" xr3:uid="{A024AC86-04BA-4FC3-9BAA-9A0B93C27B80}" name="Serviço" dataDxfId="266"/>
    <tableColumn id="5" xr3:uid="{05E801ED-4B84-4F79-B449-42DD8445E4C5}" name="Quantidade" dataDxfId="265"/>
    <tableColumn id="6" xr3:uid="{87AE6C0D-861E-4FA5-B588-65F6E58F2556}" name="Valor final" dataDxfId="264" dataCellStyle="Moeda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a411" displayName="Tabela411" ref="B3:G27" totalsRowShown="0" headerRowDxfId="263" dataDxfId="261" headerRowBorderDxfId="262" tableBorderDxfId="260" totalsRowBorderDxfId="259">
  <autoFilter ref="B3:G27" xr:uid="{00000000-0009-0000-0100-00000A000000}"/>
  <tableColumns count="6">
    <tableColumn id="1" xr3:uid="{00000000-0010-0000-0600-000001000000}" name="Valor Bruto" dataDxfId="258" dataCellStyle="Moeda"/>
    <tableColumn id="2" xr3:uid="{00000000-0010-0000-0600-000002000000}" name="Valor despesa" dataDxfId="257" dataCellStyle="Moeda"/>
    <tableColumn id="3" xr3:uid="{00000000-0010-0000-0600-000003000000}" name="Nº/Linha Key" dataDxfId="256"/>
    <tableColumn id="4" xr3:uid="{00000000-0010-0000-0600-000004000000}" name="Serviço" dataDxfId="255"/>
    <tableColumn id="5" xr3:uid="{00000000-0010-0000-0600-000005000000}" name="Quantidade" dataDxfId="254"/>
    <tableColumn id="6" xr3:uid="{00000000-0010-0000-0600-000006000000}" name="Valor final" dataDxfId="253" dataCellStyle="Moeda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ela4612" displayName="Tabela4612" ref="B35:G59" totalsRowShown="0" headerRowDxfId="252" dataDxfId="250" headerRowBorderDxfId="251" tableBorderDxfId="249" totalsRowBorderDxfId="248">
  <autoFilter ref="B35:G59" xr:uid="{00000000-0009-0000-0100-00000B000000}"/>
  <tableColumns count="6">
    <tableColumn id="1" xr3:uid="{00000000-0010-0000-0700-000001000000}" name="Valor Bruto" dataDxfId="247" dataCellStyle="Moeda"/>
    <tableColumn id="2" xr3:uid="{00000000-0010-0000-0700-000002000000}" name="Valor despesa" dataDxfId="246" dataCellStyle="Moeda"/>
    <tableColumn id="3" xr3:uid="{00000000-0010-0000-0700-000003000000}" name="Nº/Linha Key" dataDxfId="245"/>
    <tableColumn id="4" xr3:uid="{00000000-0010-0000-0700-000004000000}" name="Serviço" dataDxfId="244"/>
    <tableColumn id="5" xr3:uid="{00000000-0010-0000-0700-000005000000}" name="Quantidade" dataDxfId="243"/>
    <tableColumn id="6" xr3:uid="{00000000-0010-0000-0700-000006000000}" name="Valor final" dataDxfId="242" dataCellStyle="Moeda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5"/>
  <sheetViews>
    <sheetView zoomScaleNormal="60" workbookViewId="0">
      <selection activeCell="D11" sqref="D11"/>
    </sheetView>
  </sheetViews>
  <sheetFormatPr defaultRowHeight="15" x14ac:dyDescent="0.25"/>
  <cols>
    <col min="1" max="1" width="1.85546875" customWidth="1"/>
    <col min="2" max="2" width="16.85546875" bestFit="1" customWidth="1"/>
    <col min="3" max="3" width="14.7109375" customWidth="1"/>
    <col min="4" max="4" width="30" style="4" bestFit="1" customWidth="1"/>
    <col min="5" max="5" width="53.5703125" style="4" bestFit="1" customWidth="1"/>
    <col min="6" max="6" width="11.85546875" style="4" customWidth="1"/>
    <col min="7" max="7" width="17" style="2" bestFit="1" customWidth="1"/>
    <col min="8" max="8" width="2.8554687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1" t="s">
        <v>44</v>
      </c>
      <c r="C2" s="32"/>
      <c r="D2" s="32"/>
      <c r="E2" s="32"/>
      <c r="F2" s="32"/>
      <c r="G2" s="33"/>
      <c r="I2" s="30" t="s">
        <v>10</v>
      </c>
      <c r="J2" s="30"/>
      <c r="K2" s="30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24</v>
      </c>
      <c r="C4" s="5">
        <v>3.2</v>
      </c>
      <c r="D4" s="9" t="s">
        <v>35</v>
      </c>
      <c r="E4" s="9" t="s">
        <v>27</v>
      </c>
      <c r="F4" s="9">
        <v>2</v>
      </c>
      <c r="G4" s="6">
        <f t="shared" ref="G4:G12" si="0">SUM(B4-C4)</f>
        <v>20.8</v>
      </c>
      <c r="I4" s="11">
        <f>SUM(C30,C61,C92,C125,C157,C188,C219)</f>
        <v>1970</v>
      </c>
      <c r="J4" s="11">
        <f>SUM(C31,C62,C126,C158,C189,C220)</f>
        <v>186.8</v>
      </c>
      <c r="K4" s="22">
        <f>SUM(C32,C63,C94,C127,C159,C190,C221)</f>
        <v>1556.53</v>
      </c>
    </row>
    <row r="5" spans="2:11" x14ac:dyDescent="0.25">
      <c r="B5" s="5">
        <v>20</v>
      </c>
      <c r="C5" s="5">
        <v>5.6</v>
      </c>
      <c r="D5" s="9">
        <v>2032</v>
      </c>
      <c r="E5" s="9" t="s">
        <v>42</v>
      </c>
      <c r="F5" s="9">
        <v>0</v>
      </c>
      <c r="G5" s="6">
        <f t="shared" si="0"/>
        <v>14.4</v>
      </c>
    </row>
    <row r="6" spans="2:11" x14ac:dyDescent="0.25">
      <c r="B6" s="5">
        <v>24</v>
      </c>
      <c r="C6" s="5">
        <v>3.2</v>
      </c>
      <c r="D6" s="9" t="s">
        <v>45</v>
      </c>
      <c r="E6" s="9" t="s">
        <v>27</v>
      </c>
      <c r="F6" s="9">
        <v>2</v>
      </c>
      <c r="G6" s="6">
        <f t="shared" si="0"/>
        <v>20.8</v>
      </c>
    </row>
    <row r="7" spans="2:11" x14ac:dyDescent="0.25">
      <c r="B7" s="5">
        <v>20</v>
      </c>
      <c r="C7" s="5">
        <v>5.6</v>
      </c>
      <c r="D7" s="9" t="s">
        <v>29</v>
      </c>
      <c r="E7" s="9" t="s">
        <v>42</v>
      </c>
      <c r="F7" s="9">
        <v>0</v>
      </c>
      <c r="G7" s="6">
        <f t="shared" si="0"/>
        <v>14.4</v>
      </c>
    </row>
    <row r="8" spans="2:11" x14ac:dyDescent="0.25">
      <c r="B8" s="5">
        <v>12</v>
      </c>
      <c r="C8" s="5">
        <v>1.6</v>
      </c>
      <c r="D8" s="9" t="s">
        <v>41</v>
      </c>
      <c r="E8" s="9" t="s">
        <v>27</v>
      </c>
      <c r="F8" s="9">
        <v>1</v>
      </c>
      <c r="G8" s="6">
        <f t="shared" si="0"/>
        <v>10.4</v>
      </c>
    </row>
    <row r="9" spans="2:11" x14ac:dyDescent="0.25">
      <c r="B9" s="5">
        <v>90</v>
      </c>
      <c r="C9" s="5">
        <v>15</v>
      </c>
      <c r="D9" s="9" t="s">
        <v>46</v>
      </c>
      <c r="E9" s="9" t="s">
        <v>47</v>
      </c>
      <c r="F9" s="9">
        <v>3</v>
      </c>
      <c r="G9" s="6">
        <f t="shared" si="0"/>
        <v>75</v>
      </c>
    </row>
    <row r="10" spans="2:11" x14ac:dyDescent="0.25">
      <c r="B10" s="5">
        <v>140</v>
      </c>
      <c r="C10" s="5">
        <v>60</v>
      </c>
      <c r="D10" s="9" t="s">
        <v>38</v>
      </c>
      <c r="E10" s="9" t="s">
        <v>39</v>
      </c>
      <c r="F10" s="9">
        <v>0</v>
      </c>
      <c r="G10" s="6">
        <f t="shared" si="0"/>
        <v>80</v>
      </c>
    </row>
    <row r="11" spans="2:11" x14ac:dyDescent="0.25">
      <c r="B11" s="5">
        <v>12</v>
      </c>
      <c r="C11" s="5">
        <v>1.6</v>
      </c>
      <c r="D11" s="9" t="s">
        <v>48</v>
      </c>
      <c r="E11" s="9" t="s">
        <v>26</v>
      </c>
      <c r="F11" s="9">
        <v>1</v>
      </c>
      <c r="G11" s="6">
        <f t="shared" si="0"/>
        <v>10.4</v>
      </c>
    </row>
    <row r="12" spans="2:11" x14ac:dyDescent="0.25">
      <c r="B12" s="5">
        <v>72</v>
      </c>
      <c r="C12" s="1">
        <v>9.6</v>
      </c>
      <c r="D12" s="9" t="s">
        <v>49</v>
      </c>
      <c r="E12" s="9" t="s">
        <v>27</v>
      </c>
      <c r="F12" s="9">
        <v>6</v>
      </c>
      <c r="G12" s="6">
        <f t="shared" si="0"/>
        <v>62.4</v>
      </c>
    </row>
    <row r="13" spans="2:11" x14ac:dyDescent="0.25">
      <c r="B13" s="5">
        <v>20</v>
      </c>
      <c r="C13" s="5">
        <v>5.6</v>
      </c>
      <c r="D13" s="9" t="s">
        <v>37</v>
      </c>
      <c r="E13" s="9" t="s">
        <v>42</v>
      </c>
      <c r="F13" s="9">
        <v>0</v>
      </c>
      <c r="G13" s="6">
        <f t="shared" ref="G13:G27" si="1">SUM(B13-C13)</f>
        <v>14.4</v>
      </c>
    </row>
    <row r="14" spans="2:11" x14ac:dyDescent="0.25">
      <c r="B14" s="5">
        <v>15</v>
      </c>
      <c r="C14" s="5">
        <v>3.6</v>
      </c>
      <c r="D14" s="9">
        <v>2016</v>
      </c>
      <c r="E14" s="9" t="s">
        <v>50</v>
      </c>
      <c r="F14" s="9">
        <v>0</v>
      </c>
      <c r="G14" s="6">
        <f t="shared" si="1"/>
        <v>11.4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1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1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1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9" spans="2:7" x14ac:dyDescent="0.25">
      <c r="B29" s="34" t="s">
        <v>6</v>
      </c>
      <c r="C29" s="34"/>
    </row>
    <row r="30" spans="2:7" x14ac:dyDescent="0.25">
      <c r="B30" s="12" t="s">
        <v>0</v>
      </c>
      <c r="C30" s="12">
        <f>SUM('Semana 1'!$B$4:$B$27)</f>
        <v>449</v>
      </c>
    </row>
    <row r="31" spans="2:7" x14ac:dyDescent="0.25">
      <c r="B31" s="13" t="s">
        <v>7</v>
      </c>
      <c r="C31" s="13">
        <f>SUM('Semana 1'!$C$4:$C$27)</f>
        <v>114.59999999999998</v>
      </c>
    </row>
    <row r="32" spans="2:7" x14ac:dyDescent="0.25">
      <c r="B32" s="12" t="s">
        <v>8</v>
      </c>
      <c r="C32" s="12">
        <f>SUM(C30-C31)</f>
        <v>334.40000000000003</v>
      </c>
    </row>
    <row r="34" spans="2:7" ht="15.75" x14ac:dyDescent="0.25">
      <c r="B34" s="31" t="s">
        <v>51</v>
      </c>
      <c r="C34" s="32"/>
      <c r="D34" s="32"/>
      <c r="E34" s="32"/>
      <c r="F34" s="32"/>
      <c r="G34" s="33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12</v>
      </c>
      <c r="C36" s="5">
        <v>1.6</v>
      </c>
      <c r="D36" s="9" t="s">
        <v>52</v>
      </c>
      <c r="E36" s="9" t="s">
        <v>53</v>
      </c>
      <c r="F36" s="9">
        <v>1</v>
      </c>
      <c r="G36" s="6">
        <f t="shared" ref="G36:G44" si="2">SUM(B36-C36)</f>
        <v>10.4</v>
      </c>
    </row>
    <row r="37" spans="2:7" x14ac:dyDescent="0.25">
      <c r="B37" s="5">
        <v>54</v>
      </c>
      <c r="C37" s="5">
        <v>3.2</v>
      </c>
      <c r="D37" s="9" t="s">
        <v>54</v>
      </c>
      <c r="E37" s="9" t="s">
        <v>55</v>
      </c>
      <c r="F37" s="9">
        <v>3</v>
      </c>
      <c r="G37" s="6">
        <f t="shared" si="2"/>
        <v>50.8</v>
      </c>
    </row>
    <row r="38" spans="2:7" x14ac:dyDescent="0.25">
      <c r="B38" s="5">
        <v>12</v>
      </c>
      <c r="C38" s="5">
        <v>1.6</v>
      </c>
      <c r="D38" s="9" t="s">
        <v>35</v>
      </c>
      <c r="E38" s="9" t="s">
        <v>63</v>
      </c>
      <c r="F38" s="9">
        <v>1</v>
      </c>
      <c r="G38" s="6">
        <f t="shared" si="2"/>
        <v>10.4</v>
      </c>
    </row>
    <row r="39" spans="2:7" x14ac:dyDescent="0.25">
      <c r="B39" s="5">
        <v>35</v>
      </c>
      <c r="C39" s="5">
        <v>0</v>
      </c>
      <c r="D39" s="9" t="s">
        <v>56</v>
      </c>
      <c r="E39" s="9" t="s">
        <v>57</v>
      </c>
      <c r="F39" s="9">
        <v>0</v>
      </c>
      <c r="G39" s="6">
        <f t="shared" si="2"/>
        <v>35</v>
      </c>
    </row>
    <row r="40" spans="2:7" x14ac:dyDescent="0.25">
      <c r="B40" s="5">
        <v>56</v>
      </c>
      <c r="C40" s="5">
        <f>SUM(5.6+3*1.6)</f>
        <v>10.4</v>
      </c>
      <c r="D40" s="9" t="s">
        <v>59</v>
      </c>
      <c r="E40" s="9" t="s">
        <v>58</v>
      </c>
      <c r="F40" s="9">
        <v>3</v>
      </c>
      <c r="G40" s="6">
        <f t="shared" si="2"/>
        <v>45.6</v>
      </c>
    </row>
    <row r="41" spans="2:7" x14ac:dyDescent="0.25">
      <c r="B41" s="5">
        <v>48</v>
      </c>
      <c r="C41" s="5">
        <f>SUM(4*1.6)</f>
        <v>6.4</v>
      </c>
      <c r="D41" s="9" t="s">
        <v>60</v>
      </c>
      <c r="E41" s="9" t="s">
        <v>53</v>
      </c>
      <c r="F41" s="9">
        <v>4</v>
      </c>
      <c r="G41" s="6">
        <f t="shared" si="2"/>
        <v>41.6</v>
      </c>
    </row>
    <row r="42" spans="2:7" x14ac:dyDescent="0.25">
      <c r="B42" s="5">
        <v>24</v>
      </c>
      <c r="C42" s="5">
        <v>3.2</v>
      </c>
      <c r="D42" s="9" t="s">
        <v>41</v>
      </c>
      <c r="E42" s="9" t="s">
        <v>53</v>
      </c>
      <c r="F42" s="9">
        <v>2</v>
      </c>
      <c r="G42" s="6">
        <f t="shared" si="2"/>
        <v>20.8</v>
      </c>
    </row>
    <row r="43" spans="2:7" x14ac:dyDescent="0.25">
      <c r="B43" s="5">
        <v>60</v>
      </c>
      <c r="C43" s="5">
        <v>10</v>
      </c>
      <c r="D43" s="9" t="s">
        <v>61</v>
      </c>
      <c r="E43" s="9" t="s">
        <v>47</v>
      </c>
      <c r="F43" s="9">
        <v>2</v>
      </c>
      <c r="G43" s="6">
        <f t="shared" si="2"/>
        <v>50</v>
      </c>
    </row>
    <row r="44" spans="2:7" x14ac:dyDescent="0.25">
      <c r="B44" s="5">
        <v>24</v>
      </c>
      <c r="C44" s="1">
        <v>3.2</v>
      </c>
      <c r="D44" s="9" t="s">
        <v>62</v>
      </c>
      <c r="E44" s="9" t="s">
        <v>63</v>
      </c>
      <c r="F44" s="9">
        <v>2</v>
      </c>
      <c r="G44" s="6">
        <f t="shared" si="2"/>
        <v>20.8</v>
      </c>
    </row>
    <row r="45" spans="2:7" x14ac:dyDescent="0.25">
      <c r="B45" s="5">
        <v>50</v>
      </c>
      <c r="C45" s="5"/>
      <c r="D45" s="9" t="s">
        <v>65</v>
      </c>
      <c r="E45" s="9" t="s">
        <v>64</v>
      </c>
      <c r="F45" s="9">
        <v>0</v>
      </c>
      <c r="G45" s="6">
        <f t="shared" ref="G45:G59" si="3">SUM(B45-C45)</f>
        <v>50</v>
      </c>
    </row>
    <row r="46" spans="2:7" x14ac:dyDescent="0.25">
      <c r="B46" s="5">
        <v>32</v>
      </c>
      <c r="C46" s="5">
        <v>7.2</v>
      </c>
      <c r="D46" s="9" t="s">
        <v>66</v>
      </c>
      <c r="E46" s="9" t="s">
        <v>67</v>
      </c>
      <c r="F46" s="9">
        <v>1</v>
      </c>
      <c r="G46" s="6">
        <f t="shared" si="3"/>
        <v>24.8</v>
      </c>
    </row>
    <row r="47" spans="2:7" x14ac:dyDescent="0.25">
      <c r="B47" s="5">
        <v>24</v>
      </c>
      <c r="C47" s="5">
        <v>3.2</v>
      </c>
      <c r="D47" s="9" t="s">
        <v>68</v>
      </c>
      <c r="E47" s="9" t="s">
        <v>69</v>
      </c>
      <c r="F47" s="9">
        <v>2</v>
      </c>
      <c r="G47" s="6">
        <f t="shared" si="3"/>
        <v>20.8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4" t="s">
        <v>6</v>
      </c>
      <c r="C60" s="34"/>
    </row>
    <row r="61" spans="2:7" x14ac:dyDescent="0.25">
      <c r="B61" s="12" t="s">
        <v>0</v>
      </c>
      <c r="C61" s="12">
        <f>SUM(Tabela46[Valor Bruto])</f>
        <v>431</v>
      </c>
    </row>
    <row r="62" spans="2:7" x14ac:dyDescent="0.25">
      <c r="B62" s="13" t="s">
        <v>7</v>
      </c>
      <c r="C62" s="13">
        <f>SUM(Tabela46[Valor despesa])</f>
        <v>50.000000000000014</v>
      </c>
    </row>
    <row r="63" spans="2:7" x14ac:dyDescent="0.25">
      <c r="B63" s="12" t="s">
        <v>8</v>
      </c>
      <c r="C63" s="12">
        <f>SUM(Tabela46[Valor final])</f>
        <v>381.00000000000006</v>
      </c>
    </row>
    <row r="65" spans="2:7" ht="15.75" x14ac:dyDescent="0.25">
      <c r="B65" s="31" t="s">
        <v>34</v>
      </c>
      <c r="C65" s="32"/>
      <c r="D65" s="32"/>
      <c r="E65" s="32"/>
      <c r="F65" s="32"/>
      <c r="G65" s="33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240</v>
      </c>
      <c r="C67" s="5">
        <v>40</v>
      </c>
      <c r="D67" s="9" t="s">
        <v>70</v>
      </c>
      <c r="E67" s="9" t="s">
        <v>71</v>
      </c>
      <c r="F67" s="9">
        <v>0</v>
      </c>
      <c r="G67" s="6">
        <f t="shared" ref="G67:G75" si="4">SUM(B67-C67)</f>
        <v>200</v>
      </c>
    </row>
    <row r="68" spans="2:7" x14ac:dyDescent="0.25">
      <c r="B68" s="5">
        <v>36</v>
      </c>
      <c r="C68" s="5">
        <v>4.8</v>
      </c>
      <c r="D68" s="9" t="s">
        <v>72</v>
      </c>
      <c r="E68" s="9" t="s">
        <v>73</v>
      </c>
      <c r="F68" s="9">
        <v>3</v>
      </c>
      <c r="G68" s="6">
        <f t="shared" si="4"/>
        <v>31.2</v>
      </c>
    </row>
    <row r="69" spans="2:7" x14ac:dyDescent="0.25">
      <c r="B69" s="5">
        <v>20</v>
      </c>
      <c r="C69" s="5">
        <v>5.6</v>
      </c>
      <c r="D69" s="9" t="s">
        <v>37</v>
      </c>
      <c r="E69" s="9" t="s">
        <v>74</v>
      </c>
      <c r="F69" s="9">
        <v>0</v>
      </c>
      <c r="G69" s="6">
        <f t="shared" si="4"/>
        <v>14.4</v>
      </c>
    </row>
    <row r="70" spans="2:7" x14ac:dyDescent="0.25">
      <c r="B70" s="5">
        <v>12</v>
      </c>
      <c r="C70" s="5">
        <v>1.6</v>
      </c>
      <c r="D70" s="9" t="s">
        <v>75</v>
      </c>
      <c r="E70" s="9" t="s">
        <v>26</v>
      </c>
      <c r="F70" s="9">
        <v>1</v>
      </c>
      <c r="G70" s="6">
        <f t="shared" si="4"/>
        <v>10.4</v>
      </c>
    </row>
    <row r="71" spans="2:7" x14ac:dyDescent="0.25">
      <c r="B71" s="5">
        <v>160</v>
      </c>
      <c r="C71" s="5">
        <v>0</v>
      </c>
      <c r="D71" s="9" t="s">
        <v>70</v>
      </c>
      <c r="E71" s="9" t="s">
        <v>80</v>
      </c>
      <c r="F71" s="9">
        <v>0</v>
      </c>
      <c r="G71" s="6">
        <f t="shared" si="4"/>
        <v>160</v>
      </c>
    </row>
    <row r="72" spans="2:7" x14ac:dyDescent="0.25">
      <c r="B72" s="5">
        <v>220</v>
      </c>
      <c r="C72" s="5">
        <v>123.47</v>
      </c>
      <c r="D72" s="9" t="s">
        <v>25</v>
      </c>
      <c r="E72" s="9" t="s">
        <v>78</v>
      </c>
      <c r="F72" s="9" t="s">
        <v>25</v>
      </c>
      <c r="G72" s="6">
        <f t="shared" si="4"/>
        <v>96.53</v>
      </c>
    </row>
    <row r="73" spans="2:7" x14ac:dyDescent="0.25">
      <c r="B73" s="5">
        <v>30</v>
      </c>
      <c r="C73" s="5">
        <v>5.6</v>
      </c>
      <c r="D73" s="9">
        <v>2032</v>
      </c>
      <c r="E73" s="9" t="s">
        <v>76</v>
      </c>
      <c r="F73" s="9">
        <v>0</v>
      </c>
      <c r="G73" s="6">
        <f t="shared" si="4"/>
        <v>24.4</v>
      </c>
    </row>
    <row r="74" spans="2:7" x14ac:dyDescent="0.25">
      <c r="B74" s="5">
        <v>50</v>
      </c>
      <c r="C74" s="5">
        <v>0</v>
      </c>
      <c r="D74" s="9" t="s">
        <v>77</v>
      </c>
      <c r="E74" s="9" t="s">
        <v>79</v>
      </c>
      <c r="F74" s="9">
        <v>0</v>
      </c>
      <c r="G74" s="6">
        <f t="shared" si="4"/>
        <v>50</v>
      </c>
    </row>
    <row r="75" spans="2:7" x14ac:dyDescent="0.25">
      <c r="B75" s="5">
        <v>12</v>
      </c>
      <c r="C75" s="1">
        <v>1.6</v>
      </c>
      <c r="D75" s="9" t="s">
        <v>52</v>
      </c>
      <c r="E75" s="9" t="s">
        <v>53</v>
      </c>
      <c r="F75" s="9">
        <v>1</v>
      </c>
      <c r="G75" s="6">
        <f t="shared" si="4"/>
        <v>10.4</v>
      </c>
    </row>
    <row r="76" spans="2:7" x14ac:dyDescent="0.25">
      <c r="B76" s="5">
        <v>24</v>
      </c>
      <c r="C76" s="5">
        <v>12</v>
      </c>
      <c r="D76" s="9" t="s">
        <v>81</v>
      </c>
      <c r="E76" s="9" t="s">
        <v>82</v>
      </c>
      <c r="F76" s="9">
        <v>0</v>
      </c>
      <c r="G76" s="6">
        <f t="shared" ref="G76:G90" si="5">SUM(B76-C76)</f>
        <v>12</v>
      </c>
    </row>
    <row r="77" spans="2:7" x14ac:dyDescent="0.25">
      <c r="B77" s="5">
        <v>12</v>
      </c>
      <c r="C77" s="5">
        <v>1.6</v>
      </c>
      <c r="D77" s="9" t="s">
        <v>83</v>
      </c>
      <c r="E77" s="9" t="s">
        <v>27</v>
      </c>
      <c r="F77" s="9">
        <v>1</v>
      </c>
      <c r="G77" s="6">
        <f t="shared" si="5"/>
        <v>10.4</v>
      </c>
    </row>
    <row r="78" spans="2:7" x14ac:dyDescent="0.25">
      <c r="B78" s="5">
        <v>40</v>
      </c>
      <c r="C78" s="5">
        <v>11.2</v>
      </c>
      <c r="D78" s="9" t="s">
        <v>84</v>
      </c>
      <c r="E78" s="9" t="s">
        <v>74</v>
      </c>
      <c r="F78" s="9">
        <v>0</v>
      </c>
      <c r="G78" s="6">
        <f t="shared" si="5"/>
        <v>28.8</v>
      </c>
    </row>
    <row r="79" spans="2:7" x14ac:dyDescent="0.25">
      <c r="B79" s="5">
        <v>20</v>
      </c>
      <c r="C79" s="5">
        <v>5</v>
      </c>
      <c r="D79" s="9" t="s">
        <v>86</v>
      </c>
      <c r="E79" s="9" t="s">
        <v>87</v>
      </c>
      <c r="F79" s="9">
        <v>1</v>
      </c>
      <c r="G79" s="6">
        <f t="shared" si="5"/>
        <v>15</v>
      </c>
    </row>
    <row r="80" spans="2:7" x14ac:dyDescent="0.25">
      <c r="B80" s="5">
        <v>36</v>
      </c>
      <c r="C80" s="5">
        <v>4.8</v>
      </c>
      <c r="D80" s="9" t="s">
        <v>85</v>
      </c>
      <c r="E80" s="9" t="s">
        <v>26</v>
      </c>
      <c r="F80" s="9">
        <v>3</v>
      </c>
      <c r="G80" s="6">
        <f t="shared" si="5"/>
        <v>31.2</v>
      </c>
    </row>
    <row r="81" spans="2:7" x14ac:dyDescent="0.25">
      <c r="B81" s="5">
        <v>10</v>
      </c>
      <c r="C81" s="5">
        <v>3</v>
      </c>
      <c r="D81" s="9" t="s">
        <v>88</v>
      </c>
      <c r="E81" s="9" t="s">
        <v>89</v>
      </c>
      <c r="F81" s="9">
        <v>0</v>
      </c>
      <c r="G81" s="6">
        <f t="shared" si="5"/>
        <v>7</v>
      </c>
    </row>
    <row r="82" spans="2:7" x14ac:dyDescent="0.25">
      <c r="B82" s="5">
        <v>24</v>
      </c>
      <c r="C82" s="5">
        <v>3.2</v>
      </c>
      <c r="D82" s="9" t="s">
        <v>41</v>
      </c>
      <c r="E82" s="9" t="s">
        <v>26</v>
      </c>
      <c r="F82" s="9">
        <v>2</v>
      </c>
      <c r="G82" s="6">
        <f t="shared" si="5"/>
        <v>20.8</v>
      </c>
    </row>
    <row r="83" spans="2:7" x14ac:dyDescent="0.25">
      <c r="B83" s="5">
        <v>24</v>
      </c>
      <c r="C83" s="5">
        <v>3.2</v>
      </c>
      <c r="D83" s="9" t="s">
        <v>90</v>
      </c>
      <c r="E83" s="9" t="s">
        <v>26</v>
      </c>
      <c r="F83" s="9">
        <v>2</v>
      </c>
      <c r="G83" s="6">
        <f t="shared" si="5"/>
        <v>20.8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5"/>
        <v>0</v>
      </c>
    </row>
    <row r="85" spans="2:7" x14ac:dyDescent="0.25">
      <c r="B85" s="5">
        <v>0</v>
      </c>
      <c r="C85" s="1">
        <v>0</v>
      </c>
      <c r="D85" s="9" t="s">
        <v>25</v>
      </c>
      <c r="E85" s="9" t="s">
        <v>25</v>
      </c>
      <c r="F85" s="9" t="s">
        <v>25</v>
      </c>
      <c r="G85" s="6">
        <f t="shared" si="5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5"/>
        <v>0</v>
      </c>
    </row>
    <row r="89" spans="2:7" x14ac:dyDescent="0.25">
      <c r="B89" s="7">
        <v>0</v>
      </c>
      <c r="C89" s="8">
        <v>0</v>
      </c>
      <c r="D89" s="9" t="s">
        <v>25</v>
      </c>
      <c r="E89" s="9" t="s">
        <v>25</v>
      </c>
      <c r="F89" s="9" t="s">
        <v>25</v>
      </c>
      <c r="G89" s="10">
        <f t="shared" si="5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5"/>
        <v>0</v>
      </c>
    </row>
    <row r="91" spans="2:7" x14ac:dyDescent="0.25">
      <c r="B91" s="34" t="s">
        <v>6</v>
      </c>
      <c r="C91" s="34"/>
    </row>
    <row r="92" spans="2:7" x14ac:dyDescent="0.25">
      <c r="B92" s="12" t="s">
        <v>0</v>
      </c>
      <c r="C92" s="12">
        <f>SUM(Tabela47[Valor Bruto])</f>
        <v>970</v>
      </c>
    </row>
    <row r="93" spans="2:7" x14ac:dyDescent="0.25">
      <c r="B93" s="13" t="s">
        <v>7</v>
      </c>
      <c r="C93" s="12">
        <f>SUM(Tabela47[Valor despesa])</f>
        <v>226.66999999999996</v>
      </c>
    </row>
    <row r="94" spans="2:7" x14ac:dyDescent="0.25">
      <c r="B94" s="12" t="s">
        <v>8</v>
      </c>
      <c r="C94" s="12">
        <f>SUM(Tabela47[Valor final])</f>
        <v>743.32999999999981</v>
      </c>
    </row>
    <row r="98" spans="2:7" ht="15.75" x14ac:dyDescent="0.25">
      <c r="B98" s="31" t="s">
        <v>91</v>
      </c>
      <c r="C98" s="32"/>
      <c r="D98" s="32"/>
      <c r="E98" s="32"/>
      <c r="F98" s="32"/>
      <c r="G98" s="33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36</v>
      </c>
      <c r="C100" s="5">
        <f>SUM(3*1.6)</f>
        <v>4.8000000000000007</v>
      </c>
      <c r="D100" s="9" t="s">
        <v>92</v>
      </c>
      <c r="E100" s="9" t="s">
        <v>53</v>
      </c>
      <c r="F100" s="9">
        <v>3</v>
      </c>
      <c r="G100" s="6">
        <f t="shared" ref="G100:G108" si="6">SUM(B100-C100)</f>
        <v>31.2</v>
      </c>
    </row>
    <row r="101" spans="2:7" x14ac:dyDescent="0.25">
      <c r="B101" s="5">
        <v>12</v>
      </c>
      <c r="C101" s="5">
        <v>1.6</v>
      </c>
      <c r="D101" s="9" t="s">
        <v>35</v>
      </c>
      <c r="E101" s="9" t="s">
        <v>53</v>
      </c>
      <c r="F101" s="9">
        <v>1</v>
      </c>
      <c r="G101" s="6">
        <f t="shared" si="6"/>
        <v>10.4</v>
      </c>
    </row>
    <row r="102" spans="2:7" x14ac:dyDescent="0.25">
      <c r="B102" s="5">
        <v>60</v>
      </c>
      <c r="C102" s="5">
        <f>SUM(2*5.6+3)</f>
        <v>14.2</v>
      </c>
      <c r="D102" s="9" t="s">
        <v>93</v>
      </c>
      <c r="E102" s="9" t="s">
        <v>94</v>
      </c>
      <c r="F102" s="9">
        <v>0</v>
      </c>
      <c r="G102" s="6">
        <f t="shared" si="6"/>
        <v>45.8</v>
      </c>
    </row>
    <row r="103" spans="2:7" x14ac:dyDescent="0.25">
      <c r="B103" s="5">
        <v>12</v>
      </c>
      <c r="C103" s="5">
        <v>1.6</v>
      </c>
      <c r="D103" s="9" t="s">
        <v>35</v>
      </c>
      <c r="E103" s="9" t="s">
        <v>63</v>
      </c>
      <c r="F103" s="9">
        <v>0</v>
      </c>
      <c r="G103" s="6">
        <f t="shared" si="6"/>
        <v>10.4</v>
      </c>
    </row>
    <row r="104" spans="2:7" x14ac:dyDescent="0.25">
      <c r="B104" s="5">
        <v>0</v>
      </c>
      <c r="C104" s="5">
        <v>0</v>
      </c>
      <c r="D104" s="9" t="s">
        <v>25</v>
      </c>
      <c r="E104" s="9" t="s">
        <v>25</v>
      </c>
      <c r="F104" s="9" t="s">
        <v>25</v>
      </c>
      <c r="G104" s="6">
        <f t="shared" si="6"/>
        <v>0</v>
      </c>
    </row>
    <row r="105" spans="2:7" x14ac:dyDescent="0.25">
      <c r="B105" s="5">
        <v>0</v>
      </c>
      <c r="C105" s="5">
        <v>0</v>
      </c>
      <c r="D105" s="9" t="s">
        <v>25</v>
      </c>
      <c r="E105" s="9" t="s">
        <v>25</v>
      </c>
      <c r="F105" s="9" t="s">
        <v>25</v>
      </c>
      <c r="G105" s="6">
        <f t="shared" si="6"/>
        <v>0</v>
      </c>
    </row>
    <row r="106" spans="2:7" x14ac:dyDescent="0.25">
      <c r="B106" s="5">
        <v>0</v>
      </c>
      <c r="C106" s="5">
        <v>0</v>
      </c>
      <c r="D106" s="9" t="s">
        <v>25</v>
      </c>
      <c r="E106" s="9" t="s">
        <v>25</v>
      </c>
      <c r="F106" s="9" t="s">
        <v>25</v>
      </c>
      <c r="G106" s="6">
        <f t="shared" si="6"/>
        <v>0</v>
      </c>
    </row>
    <row r="107" spans="2:7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6"/>
        <v>0</v>
      </c>
    </row>
    <row r="108" spans="2:7" x14ac:dyDescent="0.25">
      <c r="B108" s="5">
        <v>0</v>
      </c>
      <c r="C108" s="1">
        <v>0</v>
      </c>
      <c r="D108" s="9" t="s">
        <v>25</v>
      </c>
      <c r="E108" s="9" t="s">
        <v>25</v>
      </c>
      <c r="F108" s="9" t="s">
        <v>25</v>
      </c>
      <c r="G108" s="6">
        <f t="shared" si="6"/>
        <v>0</v>
      </c>
    </row>
    <row r="109" spans="2:7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ref="G109:G123" si="7">SUM(B109-C109)</f>
        <v>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7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7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7"/>
        <v>0</v>
      </c>
    </row>
    <row r="122" spans="2:7" x14ac:dyDescent="0.25">
      <c r="B122" s="7">
        <v>0</v>
      </c>
      <c r="C122" s="8">
        <v>0</v>
      </c>
      <c r="D122" s="9" t="s">
        <v>25</v>
      </c>
      <c r="E122" s="9" t="s">
        <v>25</v>
      </c>
      <c r="F122" s="9" t="s">
        <v>25</v>
      </c>
      <c r="G122" s="10">
        <f t="shared" si="7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7"/>
        <v>0</v>
      </c>
    </row>
    <row r="124" spans="2:7" x14ac:dyDescent="0.25">
      <c r="B124" s="34" t="s">
        <v>6</v>
      </c>
      <c r="C124" s="34"/>
    </row>
    <row r="125" spans="2:7" x14ac:dyDescent="0.25">
      <c r="B125" s="12" t="s">
        <v>0</v>
      </c>
      <c r="C125" s="12">
        <f>SUM(Tabela48[Valor Bruto])</f>
        <v>120</v>
      </c>
    </row>
    <row r="126" spans="2:7" x14ac:dyDescent="0.25">
      <c r="B126" s="13" t="s">
        <v>7</v>
      </c>
      <c r="C126" s="13">
        <f>SUM(Tabela48[Valor despesa])</f>
        <v>22.200000000000003</v>
      </c>
    </row>
    <row r="127" spans="2:7" x14ac:dyDescent="0.25">
      <c r="B127" s="12" t="s">
        <v>8</v>
      </c>
      <c r="C127" s="12">
        <f>SUM(Tabela48[Valor final])</f>
        <v>97.800000000000011</v>
      </c>
    </row>
    <row r="129" spans="2:7" x14ac:dyDescent="0.25">
      <c r="D129"/>
      <c r="E129"/>
      <c r="F129"/>
      <c r="G129"/>
    </row>
    <row r="130" spans="2:7" ht="15.75" x14ac:dyDescent="0.25">
      <c r="B130" s="31" t="s">
        <v>95</v>
      </c>
      <c r="C130" s="32"/>
      <c r="D130" s="32"/>
      <c r="E130" s="32"/>
      <c r="F130" s="32"/>
      <c r="G130" s="33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/>
      <c r="C132" s="5"/>
      <c r="D132" s="9"/>
      <c r="E132" s="9"/>
      <c r="F132" s="9"/>
      <c r="G132" s="6">
        <f t="shared" ref="G132:G140" si="8">SUM(B132-C132)</f>
        <v>0</v>
      </c>
    </row>
    <row r="133" spans="2:7" x14ac:dyDescent="0.25">
      <c r="B133" s="5"/>
      <c r="C133" s="5"/>
      <c r="D133" s="9"/>
      <c r="E133" s="9"/>
      <c r="F133" s="9"/>
      <c r="G133" s="6">
        <f t="shared" si="8"/>
        <v>0</v>
      </c>
    </row>
    <row r="134" spans="2:7" x14ac:dyDescent="0.25">
      <c r="B134" s="5">
        <v>0</v>
      </c>
      <c r="C134" s="5">
        <v>0</v>
      </c>
      <c r="D134" s="9" t="s">
        <v>25</v>
      </c>
      <c r="E134" s="9" t="s">
        <v>25</v>
      </c>
      <c r="F134" s="9" t="s">
        <v>25</v>
      </c>
      <c r="G134" s="6">
        <f t="shared" si="8"/>
        <v>0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8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8"/>
        <v>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8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8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8"/>
        <v>0</v>
      </c>
    </row>
    <row r="140" spans="2:7" x14ac:dyDescent="0.25">
      <c r="B140" s="5">
        <v>0</v>
      </c>
      <c r="C140" s="1">
        <v>0</v>
      </c>
      <c r="D140" s="9" t="s">
        <v>25</v>
      </c>
      <c r="E140" s="9" t="s">
        <v>25</v>
      </c>
      <c r="F140" s="9" t="s">
        <v>25</v>
      </c>
      <c r="G140" s="6">
        <f t="shared" si="8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ref="G141:G155" si="9">SUM(B141-C141)</f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9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9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9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9"/>
        <v>0</v>
      </c>
    </row>
    <row r="156" spans="2:7" x14ac:dyDescent="0.25">
      <c r="B156" s="34" t="s">
        <v>6</v>
      </c>
      <c r="C156" s="34"/>
    </row>
    <row r="157" spans="2:7" x14ac:dyDescent="0.25">
      <c r="B157" s="12" t="s">
        <v>0</v>
      </c>
      <c r="C157" s="12">
        <f>SUM(Tabela4732[Valor Bruto])</f>
        <v>0</v>
      </c>
    </row>
    <row r="158" spans="2:7" x14ac:dyDescent="0.25">
      <c r="B158" s="13" t="s">
        <v>7</v>
      </c>
      <c r="C158" s="12">
        <f>SUM(Tabela4732[Valor despesa])</f>
        <v>0</v>
      </c>
    </row>
    <row r="159" spans="2:7" x14ac:dyDescent="0.25">
      <c r="B159" s="12" t="s">
        <v>8</v>
      </c>
      <c r="C159" s="12">
        <f>SUM(Tabela4732[Valor final])</f>
        <v>0</v>
      </c>
    </row>
    <row r="160" spans="2:7" x14ac:dyDescent="0.25">
      <c r="D160"/>
      <c r="E160"/>
      <c r="F160"/>
      <c r="G160"/>
    </row>
    <row r="161" spans="2:7" ht="15.75" x14ac:dyDescent="0.25">
      <c r="B161" s="31" t="s">
        <v>36</v>
      </c>
      <c r="C161" s="32"/>
      <c r="D161" s="32"/>
      <c r="E161" s="32"/>
      <c r="F161" s="32"/>
      <c r="G161" s="33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0</v>
      </c>
      <c r="C163" s="5">
        <v>0</v>
      </c>
      <c r="D163" s="9" t="s">
        <v>25</v>
      </c>
      <c r="E163" s="9" t="s">
        <v>25</v>
      </c>
      <c r="F163" s="9" t="s">
        <v>25</v>
      </c>
      <c r="G163" s="6">
        <f t="shared" ref="G163:G171" si="10">SUM(B163-C163)</f>
        <v>0</v>
      </c>
    </row>
    <row r="164" spans="2:7" x14ac:dyDescent="0.25">
      <c r="B164" s="5">
        <v>0</v>
      </c>
      <c r="C164" s="5">
        <v>0</v>
      </c>
      <c r="D164" s="9" t="s">
        <v>25</v>
      </c>
      <c r="E164" s="9" t="s">
        <v>25</v>
      </c>
      <c r="F164" s="9" t="s">
        <v>25</v>
      </c>
      <c r="G164" s="6">
        <f t="shared" si="10"/>
        <v>0</v>
      </c>
    </row>
    <row r="165" spans="2:7" x14ac:dyDescent="0.25">
      <c r="B165" s="5">
        <v>0</v>
      </c>
      <c r="C165" s="5">
        <v>0</v>
      </c>
      <c r="D165" s="9" t="s">
        <v>25</v>
      </c>
      <c r="E165" s="9" t="s">
        <v>25</v>
      </c>
      <c r="F165" s="9" t="s">
        <v>25</v>
      </c>
      <c r="G165" s="6">
        <f t="shared" si="10"/>
        <v>0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5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0"/>
        <v>0</v>
      </c>
    </row>
    <row r="171" spans="2:7" x14ac:dyDescent="0.25">
      <c r="B171" s="5">
        <v>0</v>
      </c>
      <c r="C171" s="1">
        <v>0</v>
      </c>
      <c r="D171" s="9" t="s">
        <v>25</v>
      </c>
      <c r="E171" s="9" t="s">
        <v>25</v>
      </c>
      <c r="F171" s="9" t="s">
        <v>25</v>
      </c>
      <c r="G171" s="6">
        <f t="shared" si="10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ref="G172:G186" si="11">SUM(B172-C172)</f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1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11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11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11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11"/>
        <v>0</v>
      </c>
    </row>
    <row r="187" spans="2:7" x14ac:dyDescent="0.25">
      <c r="B187" s="34" t="s">
        <v>6</v>
      </c>
      <c r="C187" s="34"/>
    </row>
    <row r="188" spans="2:7" x14ac:dyDescent="0.25">
      <c r="B188" s="12" t="s">
        <v>0</v>
      </c>
      <c r="C188" s="12">
        <f>SUM(Tabela473233[Valor Bruto])</f>
        <v>0</v>
      </c>
    </row>
    <row r="189" spans="2:7" x14ac:dyDescent="0.25">
      <c r="B189" s="13" t="s">
        <v>7</v>
      </c>
      <c r="C189" s="12">
        <f>SUM(Tabela473233[Valor despesa])</f>
        <v>0</v>
      </c>
    </row>
    <row r="190" spans="2:7" x14ac:dyDescent="0.25">
      <c r="B190" s="12" t="s">
        <v>8</v>
      </c>
      <c r="C190" s="12">
        <f>SUM(Tabela473233[Valor final])</f>
        <v>0</v>
      </c>
    </row>
    <row r="191" spans="2:7" x14ac:dyDescent="0.25">
      <c r="D191"/>
      <c r="E191"/>
      <c r="F191"/>
      <c r="G191"/>
    </row>
    <row r="192" spans="2:7" ht="15.75" x14ac:dyDescent="0.25">
      <c r="B192" s="31" t="s">
        <v>40</v>
      </c>
      <c r="C192" s="32"/>
      <c r="D192" s="32"/>
      <c r="E192" s="32"/>
      <c r="F192" s="32"/>
      <c r="G192" s="33"/>
    </row>
    <row r="193" spans="2:7" ht="15.75" x14ac:dyDescent="0.25">
      <c r="B193" s="14" t="s">
        <v>0</v>
      </c>
      <c r="C193" s="15" t="s">
        <v>1</v>
      </c>
      <c r="D193" s="15" t="s">
        <v>2</v>
      </c>
      <c r="E193" s="15" t="s">
        <v>5</v>
      </c>
      <c r="F193" s="15" t="s">
        <v>3</v>
      </c>
      <c r="G193" s="16" t="s">
        <v>4</v>
      </c>
    </row>
    <row r="194" spans="2:7" x14ac:dyDescent="0.25">
      <c r="B194" s="5">
        <v>0</v>
      </c>
      <c r="C194" s="5">
        <v>0</v>
      </c>
      <c r="D194" s="9" t="s">
        <v>25</v>
      </c>
      <c r="E194" s="9" t="s">
        <v>25</v>
      </c>
      <c r="F194" s="9" t="s">
        <v>25</v>
      </c>
      <c r="G194" s="6">
        <f t="shared" ref="G194:G202" si="12">SUM(B194-C194)</f>
        <v>0</v>
      </c>
    </row>
    <row r="195" spans="2:7" x14ac:dyDescent="0.25">
      <c r="B195" s="5">
        <v>0</v>
      </c>
      <c r="C195" s="5">
        <v>0</v>
      </c>
      <c r="D195" s="9" t="s">
        <v>25</v>
      </c>
      <c r="E195" s="9" t="s">
        <v>25</v>
      </c>
      <c r="F195" s="9" t="s">
        <v>25</v>
      </c>
      <c r="G195" s="6">
        <f t="shared" si="12"/>
        <v>0</v>
      </c>
    </row>
    <row r="196" spans="2:7" x14ac:dyDescent="0.25">
      <c r="B196" s="5">
        <v>0</v>
      </c>
      <c r="C196" s="5">
        <v>0</v>
      </c>
      <c r="D196" s="9" t="s">
        <v>25</v>
      </c>
      <c r="E196" s="9" t="s">
        <v>25</v>
      </c>
      <c r="F196" s="9" t="s">
        <v>25</v>
      </c>
      <c r="G196" s="6">
        <f t="shared" si="12"/>
        <v>0</v>
      </c>
    </row>
    <row r="197" spans="2:7" x14ac:dyDescent="0.25">
      <c r="B197" s="5">
        <v>0</v>
      </c>
      <c r="C197" s="5">
        <v>0</v>
      </c>
      <c r="D197" s="9" t="s">
        <v>25</v>
      </c>
      <c r="E197" s="9" t="s">
        <v>25</v>
      </c>
      <c r="F197" s="9" t="s">
        <v>25</v>
      </c>
      <c r="G197" s="6">
        <f t="shared" si="12"/>
        <v>0</v>
      </c>
    </row>
    <row r="198" spans="2:7" x14ac:dyDescent="0.25">
      <c r="B198" s="5">
        <v>0</v>
      </c>
      <c r="C198" s="5">
        <v>0</v>
      </c>
      <c r="D198" s="9" t="s">
        <v>25</v>
      </c>
      <c r="E198" s="9" t="s">
        <v>25</v>
      </c>
      <c r="F198" s="9" t="s">
        <v>25</v>
      </c>
      <c r="G198" s="6">
        <f t="shared" si="12"/>
        <v>0</v>
      </c>
    </row>
    <row r="199" spans="2:7" x14ac:dyDescent="0.25">
      <c r="B199" s="5">
        <v>0</v>
      </c>
      <c r="C199" s="5">
        <v>0</v>
      </c>
      <c r="D199" s="9" t="s">
        <v>25</v>
      </c>
      <c r="E199" s="9" t="s">
        <v>25</v>
      </c>
      <c r="F199" s="9" t="s">
        <v>25</v>
      </c>
      <c r="G199" s="6">
        <f t="shared" si="12"/>
        <v>0</v>
      </c>
    </row>
    <row r="200" spans="2:7" x14ac:dyDescent="0.25">
      <c r="B200" s="5">
        <v>0</v>
      </c>
      <c r="C200" s="5">
        <v>0</v>
      </c>
      <c r="D200" s="9" t="s">
        <v>25</v>
      </c>
      <c r="E200" s="9" t="s">
        <v>25</v>
      </c>
      <c r="F200" s="9" t="s">
        <v>25</v>
      </c>
      <c r="G200" s="6">
        <f t="shared" si="12"/>
        <v>0</v>
      </c>
    </row>
    <row r="201" spans="2:7" x14ac:dyDescent="0.25">
      <c r="B201" s="5">
        <v>0</v>
      </c>
      <c r="C201" s="5">
        <v>0</v>
      </c>
      <c r="D201" s="9" t="s">
        <v>25</v>
      </c>
      <c r="E201" s="9" t="s">
        <v>25</v>
      </c>
      <c r="F201" s="9" t="s">
        <v>25</v>
      </c>
      <c r="G201" s="6">
        <f t="shared" si="12"/>
        <v>0</v>
      </c>
    </row>
    <row r="202" spans="2:7" x14ac:dyDescent="0.25">
      <c r="B202" s="5">
        <v>0</v>
      </c>
      <c r="C202" s="1">
        <v>0</v>
      </c>
      <c r="D202" s="9" t="s">
        <v>25</v>
      </c>
      <c r="E202" s="9" t="s">
        <v>25</v>
      </c>
      <c r="F202" s="9" t="s">
        <v>25</v>
      </c>
      <c r="G202" s="6">
        <f t="shared" si="12"/>
        <v>0</v>
      </c>
    </row>
    <row r="203" spans="2:7" x14ac:dyDescent="0.25">
      <c r="B203" s="5">
        <v>0</v>
      </c>
      <c r="C203" s="5">
        <v>0</v>
      </c>
      <c r="D203" s="9" t="s">
        <v>25</v>
      </c>
      <c r="E203" s="9" t="s">
        <v>25</v>
      </c>
      <c r="F203" s="9" t="s">
        <v>25</v>
      </c>
      <c r="G203" s="6">
        <f t="shared" ref="G203:G217" si="13">SUM(B203-C203)</f>
        <v>0</v>
      </c>
    </row>
    <row r="204" spans="2:7" x14ac:dyDescent="0.25">
      <c r="B204" s="5">
        <v>0</v>
      </c>
      <c r="C204" s="5">
        <v>0</v>
      </c>
      <c r="D204" s="9" t="s">
        <v>25</v>
      </c>
      <c r="E204" s="9" t="s">
        <v>25</v>
      </c>
      <c r="F204" s="9" t="s">
        <v>25</v>
      </c>
      <c r="G204" s="6">
        <f t="shared" si="13"/>
        <v>0</v>
      </c>
    </row>
    <row r="205" spans="2:7" x14ac:dyDescent="0.25">
      <c r="B205" s="5">
        <v>0</v>
      </c>
      <c r="C205" s="5">
        <v>0</v>
      </c>
      <c r="D205" s="9" t="s">
        <v>25</v>
      </c>
      <c r="E205" s="9" t="s">
        <v>25</v>
      </c>
      <c r="F205" s="9" t="s">
        <v>25</v>
      </c>
      <c r="G205" s="6">
        <f t="shared" si="13"/>
        <v>0</v>
      </c>
    </row>
    <row r="206" spans="2:7" x14ac:dyDescent="0.25">
      <c r="B206" s="5">
        <v>0</v>
      </c>
      <c r="C206" s="5">
        <v>0</v>
      </c>
      <c r="D206" s="9" t="s">
        <v>25</v>
      </c>
      <c r="E206" s="9" t="s">
        <v>25</v>
      </c>
      <c r="F206" s="9" t="s">
        <v>25</v>
      </c>
      <c r="G206" s="6">
        <f t="shared" si="13"/>
        <v>0</v>
      </c>
    </row>
    <row r="207" spans="2:7" x14ac:dyDescent="0.25">
      <c r="B207" s="5">
        <v>0</v>
      </c>
      <c r="C207" s="5">
        <v>0</v>
      </c>
      <c r="D207" s="9" t="s">
        <v>25</v>
      </c>
      <c r="E207" s="9" t="s">
        <v>25</v>
      </c>
      <c r="F207" s="9" t="s">
        <v>25</v>
      </c>
      <c r="G207" s="6">
        <f t="shared" si="13"/>
        <v>0</v>
      </c>
    </row>
    <row r="208" spans="2:7" x14ac:dyDescent="0.25">
      <c r="B208" s="5">
        <v>0</v>
      </c>
      <c r="C208" s="5">
        <v>0</v>
      </c>
      <c r="D208" s="9" t="s">
        <v>25</v>
      </c>
      <c r="E208" s="9" t="s">
        <v>25</v>
      </c>
      <c r="F208" s="9" t="s">
        <v>25</v>
      </c>
      <c r="G208" s="6">
        <f t="shared" si="13"/>
        <v>0</v>
      </c>
    </row>
    <row r="209" spans="2:7" x14ac:dyDescent="0.25">
      <c r="B209" s="5">
        <v>0</v>
      </c>
      <c r="C209" s="5">
        <v>0</v>
      </c>
      <c r="D209" s="9" t="s">
        <v>25</v>
      </c>
      <c r="E209" s="9" t="s">
        <v>25</v>
      </c>
      <c r="F209" s="9" t="s">
        <v>25</v>
      </c>
      <c r="G209" s="6">
        <f t="shared" si="13"/>
        <v>0</v>
      </c>
    </row>
    <row r="210" spans="2:7" x14ac:dyDescent="0.25">
      <c r="B210" s="5">
        <v>0</v>
      </c>
      <c r="C210" s="5">
        <v>0</v>
      </c>
      <c r="D210" s="9" t="s">
        <v>25</v>
      </c>
      <c r="E210" s="9" t="s">
        <v>25</v>
      </c>
      <c r="F210" s="9" t="s">
        <v>25</v>
      </c>
      <c r="G210" s="6">
        <f t="shared" si="13"/>
        <v>0</v>
      </c>
    </row>
    <row r="211" spans="2:7" x14ac:dyDescent="0.25">
      <c r="B211" s="5">
        <v>0</v>
      </c>
      <c r="C211" s="5">
        <v>0</v>
      </c>
      <c r="D211" s="9" t="s">
        <v>25</v>
      </c>
      <c r="E211" s="9" t="s">
        <v>25</v>
      </c>
      <c r="F211" s="9" t="s">
        <v>25</v>
      </c>
      <c r="G211" s="6">
        <f t="shared" si="13"/>
        <v>0</v>
      </c>
    </row>
    <row r="212" spans="2:7" x14ac:dyDescent="0.25">
      <c r="B212" s="5">
        <v>0</v>
      </c>
      <c r="C212" s="1">
        <v>0</v>
      </c>
      <c r="D212" s="9" t="s">
        <v>25</v>
      </c>
      <c r="E212" s="9" t="s">
        <v>25</v>
      </c>
      <c r="F212" s="9" t="s">
        <v>25</v>
      </c>
      <c r="G212" s="6">
        <f t="shared" si="13"/>
        <v>0</v>
      </c>
    </row>
    <row r="213" spans="2:7" x14ac:dyDescent="0.25">
      <c r="B213" s="5">
        <v>0</v>
      </c>
      <c r="C213" s="1">
        <v>0</v>
      </c>
      <c r="D213" s="9" t="s">
        <v>25</v>
      </c>
      <c r="E213" s="9" t="s">
        <v>25</v>
      </c>
      <c r="F213" s="9" t="s">
        <v>25</v>
      </c>
      <c r="G213" s="6">
        <f t="shared" si="13"/>
        <v>0</v>
      </c>
    </row>
    <row r="214" spans="2:7" x14ac:dyDescent="0.25">
      <c r="B214" s="5">
        <v>0</v>
      </c>
      <c r="C214" s="1">
        <v>0</v>
      </c>
      <c r="D214" s="9" t="s">
        <v>25</v>
      </c>
      <c r="E214" s="9" t="s">
        <v>25</v>
      </c>
      <c r="F214" s="9" t="s">
        <v>25</v>
      </c>
      <c r="G214" s="6">
        <f t="shared" si="13"/>
        <v>0</v>
      </c>
    </row>
    <row r="215" spans="2:7" x14ac:dyDescent="0.25">
      <c r="B215" s="5">
        <v>0</v>
      </c>
      <c r="C215" s="1">
        <v>0</v>
      </c>
      <c r="D215" s="9" t="s">
        <v>25</v>
      </c>
      <c r="E215" s="9" t="s">
        <v>25</v>
      </c>
      <c r="F215" s="9" t="s">
        <v>25</v>
      </c>
      <c r="G215" s="6">
        <f t="shared" si="13"/>
        <v>0</v>
      </c>
    </row>
    <row r="216" spans="2:7" x14ac:dyDescent="0.25">
      <c r="B216" s="7">
        <v>0</v>
      </c>
      <c r="C216" s="8">
        <v>0</v>
      </c>
      <c r="D216" s="9" t="s">
        <v>25</v>
      </c>
      <c r="E216" s="9" t="s">
        <v>25</v>
      </c>
      <c r="F216" s="9" t="s">
        <v>25</v>
      </c>
      <c r="G216" s="10">
        <f t="shared" si="13"/>
        <v>0</v>
      </c>
    </row>
    <row r="217" spans="2:7" x14ac:dyDescent="0.25">
      <c r="B217" s="7">
        <v>0</v>
      </c>
      <c r="C217" s="8">
        <v>0</v>
      </c>
      <c r="D217" s="9"/>
      <c r="E217" s="9"/>
      <c r="F217" s="9"/>
      <c r="G217" s="10">
        <f t="shared" si="13"/>
        <v>0</v>
      </c>
    </row>
    <row r="218" spans="2:7" x14ac:dyDescent="0.25">
      <c r="B218" s="34" t="s">
        <v>6</v>
      </c>
      <c r="C218" s="34"/>
    </row>
    <row r="219" spans="2:7" x14ac:dyDescent="0.25">
      <c r="B219" s="12" t="s">
        <v>0</v>
      </c>
      <c r="C219" s="12">
        <f>SUM(Tabela4732334[Valor Bruto])</f>
        <v>0</v>
      </c>
    </row>
    <row r="220" spans="2:7" x14ac:dyDescent="0.25">
      <c r="B220" s="13" t="s">
        <v>7</v>
      </c>
      <c r="C220" s="12">
        <f>SUM(Tabela4732334[Valor despesa])</f>
        <v>0</v>
      </c>
    </row>
    <row r="221" spans="2:7" x14ac:dyDescent="0.25">
      <c r="B221" s="12" t="s">
        <v>8</v>
      </c>
      <c r="C221" s="12">
        <f>SUM(Tabela4732334[Valor final])</f>
        <v>0</v>
      </c>
    </row>
    <row r="222" spans="2:7" x14ac:dyDescent="0.25">
      <c r="D222"/>
      <c r="E222"/>
      <c r="F222"/>
      <c r="G222"/>
    </row>
    <row r="223" spans="2:7" x14ac:dyDescent="0.25">
      <c r="D223"/>
      <c r="E223"/>
      <c r="F223"/>
      <c r="G223"/>
    </row>
    <row r="224" spans="2:7" x14ac:dyDescent="0.25">
      <c r="D224"/>
      <c r="E224"/>
      <c r="F224"/>
      <c r="G224"/>
    </row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</sheetData>
  <mergeCells count="15">
    <mergeCell ref="B192:G192"/>
    <mergeCell ref="B218:C218"/>
    <mergeCell ref="B130:G130"/>
    <mergeCell ref="B156:C156"/>
    <mergeCell ref="B161:G161"/>
    <mergeCell ref="B187:C187"/>
    <mergeCell ref="I2:K2"/>
    <mergeCell ref="B34:G34"/>
    <mergeCell ref="B60:C60"/>
    <mergeCell ref="B98:G98"/>
    <mergeCell ref="B124:C124"/>
    <mergeCell ref="B65:G65"/>
    <mergeCell ref="B91:C91"/>
    <mergeCell ref="B2:G2"/>
    <mergeCell ref="B29:C2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88"/>
  <sheetViews>
    <sheetView workbookViewId="0">
      <selection activeCell="E161" sqref="E161"/>
    </sheetView>
  </sheetViews>
  <sheetFormatPr defaultRowHeight="15" x14ac:dyDescent="0.25"/>
  <cols>
    <col min="1" max="1" width="2.42578125" customWidth="1"/>
    <col min="2" max="2" width="17.140625" customWidth="1"/>
    <col min="3" max="3" width="15.7109375" customWidth="1"/>
    <col min="4" max="4" width="34.7109375" bestFit="1" customWidth="1"/>
    <col min="5" max="5" width="46.28515625" bestFit="1" customWidth="1"/>
    <col min="6" max="6" width="13.5703125" customWidth="1"/>
    <col min="7" max="7" width="16.5703125" customWidth="1"/>
    <col min="8" max="8" width="3.28515625" customWidth="1"/>
    <col min="9" max="9" width="12.42578125" customWidth="1"/>
    <col min="10" max="10" width="14.140625" customWidth="1"/>
    <col min="11" max="11" width="13.85546875" customWidth="1"/>
  </cols>
  <sheetData>
    <row r="2" spans="2:11" ht="15.75" x14ac:dyDescent="0.25">
      <c r="B2" s="31" t="s">
        <v>95</v>
      </c>
      <c r="C2" s="32"/>
      <c r="D2" s="32"/>
      <c r="E2" s="32"/>
      <c r="F2" s="32"/>
      <c r="G2" s="33"/>
      <c r="I2" s="30" t="s">
        <v>10</v>
      </c>
      <c r="J2" s="30"/>
      <c r="K2" s="30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5">
        <v>1.6</v>
      </c>
      <c r="D4" s="9" t="s">
        <v>96</v>
      </c>
      <c r="E4" s="9" t="s">
        <v>26</v>
      </c>
      <c r="F4" s="9">
        <v>1</v>
      </c>
      <c r="G4" s="6">
        <f t="shared" ref="G4:G12" si="0">SUM(B4-C4)</f>
        <v>10.4</v>
      </c>
      <c r="I4" s="11">
        <f>SUM(C30,C61,C90,C124,C155,C186)</f>
        <v>5108</v>
      </c>
      <c r="J4" s="11">
        <f>SUM(C91,C125,C156,C187,C62,C31)</f>
        <v>1088.8</v>
      </c>
      <c r="K4" s="22">
        <f>SUM(C32,C63,C92,C126,C157,C188)</f>
        <v>4019.2000000000003</v>
      </c>
    </row>
    <row r="5" spans="2:11" x14ac:dyDescent="0.25">
      <c r="B5" s="5">
        <v>12</v>
      </c>
      <c r="C5" s="5">
        <v>1.6</v>
      </c>
      <c r="D5" s="9" t="s">
        <v>72</v>
      </c>
      <c r="E5" s="9" t="s">
        <v>27</v>
      </c>
      <c r="F5" s="9">
        <v>1</v>
      </c>
      <c r="G5" s="6">
        <f t="shared" si="0"/>
        <v>10.4</v>
      </c>
    </row>
    <row r="6" spans="2:11" x14ac:dyDescent="0.25">
      <c r="B6" s="5">
        <v>120</v>
      </c>
      <c r="C6" s="5">
        <v>10</v>
      </c>
      <c r="D6" s="9" t="s">
        <v>107</v>
      </c>
      <c r="E6" s="9" t="s">
        <v>97</v>
      </c>
      <c r="F6" s="9">
        <v>2</v>
      </c>
      <c r="G6" s="6">
        <f t="shared" si="0"/>
        <v>110</v>
      </c>
    </row>
    <row r="7" spans="2:11" x14ac:dyDescent="0.25">
      <c r="B7" s="5">
        <v>110</v>
      </c>
      <c r="C7" s="5">
        <v>36</v>
      </c>
      <c r="D7" s="9" t="s">
        <v>70</v>
      </c>
      <c r="E7" s="9" t="s">
        <v>101</v>
      </c>
      <c r="F7" s="9" t="s">
        <v>25</v>
      </c>
      <c r="G7" s="6">
        <f t="shared" si="0"/>
        <v>74</v>
      </c>
    </row>
    <row r="8" spans="2:11" x14ac:dyDescent="0.25">
      <c r="B8" s="5">
        <v>80</v>
      </c>
      <c r="C8" s="5">
        <v>0</v>
      </c>
      <c r="D8" s="9" t="s">
        <v>70</v>
      </c>
      <c r="E8" s="9" t="s">
        <v>98</v>
      </c>
      <c r="F8" s="9">
        <v>0</v>
      </c>
      <c r="G8" s="6">
        <f t="shared" si="0"/>
        <v>80</v>
      </c>
    </row>
    <row r="9" spans="2:11" x14ac:dyDescent="0.25">
      <c r="B9" s="5">
        <v>50</v>
      </c>
      <c r="C9" s="5">
        <v>0</v>
      </c>
      <c r="D9" s="9" t="s">
        <v>70</v>
      </c>
      <c r="E9" s="9" t="s">
        <v>99</v>
      </c>
      <c r="F9" s="9">
        <v>0</v>
      </c>
      <c r="G9" s="6">
        <f t="shared" si="0"/>
        <v>50</v>
      </c>
    </row>
    <row r="10" spans="2:11" x14ac:dyDescent="0.25">
      <c r="B10" s="5">
        <v>180</v>
      </c>
      <c r="C10" s="5">
        <v>50</v>
      </c>
      <c r="D10" s="9" t="s">
        <v>70</v>
      </c>
      <c r="E10" s="9" t="s">
        <v>100</v>
      </c>
      <c r="F10" s="9">
        <v>0</v>
      </c>
      <c r="G10" s="6">
        <f t="shared" si="0"/>
        <v>130</v>
      </c>
    </row>
    <row r="11" spans="2:11" x14ac:dyDescent="0.25">
      <c r="B11" s="5">
        <v>24</v>
      </c>
      <c r="C11" s="5">
        <v>3.2</v>
      </c>
      <c r="D11" s="9" t="s">
        <v>102</v>
      </c>
      <c r="E11" s="9" t="s">
        <v>63</v>
      </c>
      <c r="F11" s="9">
        <v>2</v>
      </c>
      <c r="G11" s="6">
        <f t="shared" si="0"/>
        <v>20.8</v>
      </c>
    </row>
    <row r="12" spans="2:11" x14ac:dyDescent="0.25">
      <c r="B12" s="5">
        <v>84</v>
      </c>
      <c r="C12" s="1">
        <v>33.200000000000003</v>
      </c>
      <c r="D12" s="9" t="s">
        <v>103</v>
      </c>
      <c r="E12" s="9" t="s">
        <v>104</v>
      </c>
      <c r="F12" s="9">
        <v>2</v>
      </c>
      <c r="G12" s="6">
        <f t="shared" si="0"/>
        <v>50.8</v>
      </c>
    </row>
    <row r="13" spans="2:11" x14ac:dyDescent="0.25">
      <c r="B13" s="5">
        <v>80</v>
      </c>
      <c r="C13" s="5">
        <v>5</v>
      </c>
      <c r="D13" s="9" t="s">
        <v>70</v>
      </c>
      <c r="E13" s="9" t="s">
        <v>105</v>
      </c>
      <c r="F13" s="9">
        <v>1</v>
      </c>
      <c r="G13" s="6">
        <f t="shared" ref="G13:G27" si="1">SUM(B13-C13)</f>
        <v>75</v>
      </c>
    </row>
    <row r="14" spans="2:11" x14ac:dyDescent="0.25">
      <c r="B14" s="5">
        <v>48</v>
      </c>
      <c r="C14" s="5">
        <v>6.4</v>
      </c>
      <c r="D14" s="9" t="s">
        <v>106</v>
      </c>
      <c r="E14" s="9" t="s">
        <v>26</v>
      </c>
      <c r="F14" s="9">
        <v>4</v>
      </c>
      <c r="G14" s="6">
        <f t="shared" si="1"/>
        <v>41.6</v>
      </c>
    </row>
    <row r="15" spans="2:11" x14ac:dyDescent="0.25">
      <c r="B15" s="5">
        <v>12</v>
      </c>
      <c r="C15" s="5">
        <v>1.6</v>
      </c>
      <c r="D15" s="9" t="s">
        <v>108</v>
      </c>
      <c r="E15" s="9" t="s">
        <v>53</v>
      </c>
      <c r="F15" s="9">
        <v>1</v>
      </c>
      <c r="G15" s="6">
        <f t="shared" si="1"/>
        <v>10.4</v>
      </c>
    </row>
    <row r="16" spans="2:11" x14ac:dyDescent="0.25">
      <c r="B16" s="5">
        <v>24</v>
      </c>
      <c r="C16" s="5">
        <v>3.2</v>
      </c>
      <c r="D16" s="9" t="s">
        <v>85</v>
      </c>
      <c r="E16" s="9" t="s">
        <v>26</v>
      </c>
      <c r="F16" s="9">
        <v>2</v>
      </c>
      <c r="G16" s="6">
        <f t="shared" si="1"/>
        <v>20.8</v>
      </c>
    </row>
    <row r="17" spans="2:7" x14ac:dyDescent="0.25">
      <c r="B17" s="5">
        <v>12</v>
      </c>
      <c r="C17" s="5">
        <v>1.6</v>
      </c>
      <c r="D17" s="9" t="s">
        <v>109</v>
      </c>
      <c r="E17" s="9" t="s">
        <v>73</v>
      </c>
      <c r="F17" s="9">
        <v>1</v>
      </c>
      <c r="G17" s="6">
        <f t="shared" si="1"/>
        <v>10.4</v>
      </c>
    </row>
    <row r="18" spans="2:7" x14ac:dyDescent="0.25">
      <c r="B18" s="5">
        <v>12</v>
      </c>
      <c r="C18" s="5">
        <v>1.6</v>
      </c>
      <c r="D18" s="9" t="s">
        <v>110</v>
      </c>
      <c r="E18" s="9" t="s">
        <v>26</v>
      </c>
      <c r="F18" s="9">
        <v>1</v>
      </c>
      <c r="G18" s="6">
        <f t="shared" si="1"/>
        <v>10.4</v>
      </c>
    </row>
    <row r="19" spans="2:7" x14ac:dyDescent="0.25">
      <c r="B19" s="5">
        <v>24</v>
      </c>
      <c r="C19" s="5">
        <v>3.2</v>
      </c>
      <c r="D19" s="9" t="s">
        <v>111</v>
      </c>
      <c r="E19" s="9" t="s">
        <v>112</v>
      </c>
      <c r="F19" s="9">
        <v>2</v>
      </c>
      <c r="G19" s="6">
        <f t="shared" si="1"/>
        <v>20.8</v>
      </c>
    </row>
    <row r="20" spans="2:7" x14ac:dyDescent="0.25">
      <c r="B20" s="5">
        <v>0</v>
      </c>
      <c r="C20" s="5">
        <v>0</v>
      </c>
      <c r="D20" s="9" t="s">
        <v>28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4" t="s">
        <v>6</v>
      </c>
      <c r="C29" s="34"/>
      <c r="D29" s="4"/>
      <c r="E29" s="4"/>
      <c r="F29" s="4"/>
      <c r="G29" s="2"/>
    </row>
    <row r="30" spans="2:7" x14ac:dyDescent="0.25">
      <c r="B30" s="12" t="s">
        <v>0</v>
      </c>
      <c r="C30" s="12">
        <f>SUM(Tabela411[Valor Bruto])</f>
        <v>884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SUM(Tabela411[Valor despesa])</f>
        <v>158.19999999999999</v>
      </c>
      <c r="D31" s="4"/>
      <c r="E31" s="4"/>
      <c r="F31" s="4"/>
      <c r="G31" s="2"/>
    </row>
    <row r="32" spans="2:7" x14ac:dyDescent="0.25">
      <c r="B32" s="12" t="s">
        <v>8</v>
      </c>
      <c r="C32" s="12">
        <f>SUM(Tabela411[Valor final])</f>
        <v>725.79999999999984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1" t="s">
        <v>124</v>
      </c>
      <c r="C34" s="32"/>
      <c r="D34" s="32"/>
      <c r="E34" s="32"/>
      <c r="F34" s="32"/>
      <c r="G34" s="33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140</v>
      </c>
      <c r="C36" s="5">
        <v>35</v>
      </c>
      <c r="D36" s="9" t="s">
        <v>113</v>
      </c>
      <c r="E36" s="9" t="s">
        <v>114</v>
      </c>
      <c r="F36" s="9">
        <v>0</v>
      </c>
      <c r="G36" s="6">
        <f t="shared" ref="G36:G44" si="2">SUM(B36-C36)</f>
        <v>105</v>
      </c>
    </row>
    <row r="37" spans="2:7" x14ac:dyDescent="0.25">
      <c r="B37" s="5">
        <v>60</v>
      </c>
      <c r="C37" s="5">
        <v>0</v>
      </c>
      <c r="D37" s="9" t="s">
        <v>113</v>
      </c>
      <c r="E37" s="9" t="s">
        <v>115</v>
      </c>
      <c r="F37" s="9">
        <v>0</v>
      </c>
      <c r="G37" s="6">
        <f t="shared" si="2"/>
        <v>60</v>
      </c>
    </row>
    <row r="38" spans="2:7" x14ac:dyDescent="0.25">
      <c r="B38" s="5">
        <v>24</v>
      </c>
      <c r="C38" s="5">
        <v>3.2</v>
      </c>
      <c r="D38" s="9" t="s">
        <v>116</v>
      </c>
      <c r="E38" s="9" t="s">
        <v>26</v>
      </c>
      <c r="F38" s="9">
        <v>2</v>
      </c>
      <c r="G38" s="6">
        <f t="shared" si="2"/>
        <v>20.8</v>
      </c>
    </row>
    <row r="39" spans="2:7" x14ac:dyDescent="0.25">
      <c r="B39" s="5">
        <v>20</v>
      </c>
      <c r="C39" s="5">
        <v>5</v>
      </c>
      <c r="D39" s="9" t="s">
        <v>118</v>
      </c>
      <c r="E39" s="9" t="s">
        <v>117</v>
      </c>
      <c r="F39" s="9">
        <v>1</v>
      </c>
      <c r="G39" s="6">
        <f t="shared" si="2"/>
        <v>15</v>
      </c>
    </row>
    <row r="40" spans="2:7" x14ac:dyDescent="0.25">
      <c r="B40" s="5">
        <v>140</v>
      </c>
      <c r="C40" s="5">
        <v>20</v>
      </c>
      <c r="D40" s="9" t="s">
        <v>70</v>
      </c>
      <c r="E40" s="9" t="s">
        <v>119</v>
      </c>
      <c r="F40" s="9">
        <v>0</v>
      </c>
      <c r="G40" s="6">
        <f t="shared" si="2"/>
        <v>120</v>
      </c>
    </row>
    <row r="41" spans="2:7" x14ac:dyDescent="0.25">
      <c r="B41" s="5">
        <v>38</v>
      </c>
      <c r="C41" s="5">
        <v>5.9</v>
      </c>
      <c r="D41" s="9" t="s">
        <v>120</v>
      </c>
      <c r="E41" s="9" t="s">
        <v>121</v>
      </c>
      <c r="F41" s="9">
        <v>3</v>
      </c>
      <c r="G41" s="6">
        <f t="shared" si="2"/>
        <v>32.1</v>
      </c>
    </row>
    <row r="42" spans="2:7" x14ac:dyDescent="0.25">
      <c r="B42" s="5">
        <v>12</v>
      </c>
      <c r="C42" s="5">
        <v>1.6</v>
      </c>
      <c r="D42" s="9" t="s">
        <v>83</v>
      </c>
      <c r="E42" s="9" t="s">
        <v>26</v>
      </c>
      <c r="F42" s="9">
        <v>1</v>
      </c>
      <c r="G42" s="6">
        <f t="shared" si="2"/>
        <v>10.4</v>
      </c>
    </row>
    <row r="43" spans="2:7" x14ac:dyDescent="0.25">
      <c r="B43" s="5">
        <v>325</v>
      </c>
      <c r="C43" s="5">
        <v>165</v>
      </c>
      <c r="D43" s="9" t="s">
        <v>70</v>
      </c>
      <c r="E43" s="9" t="s">
        <v>123</v>
      </c>
      <c r="F43" s="9" t="s">
        <v>25</v>
      </c>
      <c r="G43" s="6">
        <f t="shared" si="2"/>
        <v>160</v>
      </c>
    </row>
    <row r="44" spans="2:7" x14ac:dyDescent="0.25">
      <c r="B44" s="5">
        <v>12</v>
      </c>
      <c r="C44" s="1">
        <v>1.6</v>
      </c>
      <c r="D44" s="9" t="s">
        <v>41</v>
      </c>
      <c r="E44" s="9" t="s">
        <v>26</v>
      </c>
      <c r="F44" s="9">
        <v>1</v>
      </c>
      <c r="G44" s="6">
        <f t="shared" si="2"/>
        <v>10.4</v>
      </c>
    </row>
    <row r="45" spans="2:7" x14ac:dyDescent="0.25">
      <c r="B45" s="5">
        <v>30</v>
      </c>
      <c r="C45" s="5">
        <v>5</v>
      </c>
      <c r="D45" s="9" t="s">
        <v>122</v>
      </c>
      <c r="E45" s="9" t="s">
        <v>27</v>
      </c>
      <c r="F45" s="9">
        <v>1</v>
      </c>
      <c r="G45" s="6">
        <f t="shared" ref="G45:G59" si="3">SUM(B45-C45)</f>
        <v>25</v>
      </c>
    </row>
    <row r="46" spans="2:7" x14ac:dyDescent="0.25">
      <c r="B46" s="5">
        <v>36</v>
      </c>
      <c r="C46" s="5">
        <v>4.8</v>
      </c>
      <c r="D46" s="9" t="s">
        <v>41</v>
      </c>
      <c r="E46" s="9" t="s">
        <v>26</v>
      </c>
      <c r="F46" s="9">
        <v>3</v>
      </c>
      <c r="G46" s="6">
        <f t="shared" si="3"/>
        <v>31.2</v>
      </c>
    </row>
    <row r="47" spans="2:7" x14ac:dyDescent="0.25">
      <c r="B47" s="5">
        <v>12</v>
      </c>
      <c r="C47" s="5">
        <v>1.6</v>
      </c>
      <c r="D47" s="9" t="s">
        <v>125</v>
      </c>
      <c r="E47" s="9" t="s">
        <v>26</v>
      </c>
      <c r="F47" s="9">
        <v>1</v>
      </c>
      <c r="G47" s="6">
        <f t="shared" si="3"/>
        <v>10.4</v>
      </c>
    </row>
    <row r="48" spans="2:7" x14ac:dyDescent="0.25">
      <c r="B48" s="5">
        <v>24</v>
      </c>
      <c r="C48" s="5">
        <v>3.2</v>
      </c>
      <c r="D48" s="9" t="s">
        <v>126</v>
      </c>
      <c r="E48" s="9" t="s">
        <v>26</v>
      </c>
      <c r="F48" s="9">
        <v>2</v>
      </c>
      <c r="G48" s="6">
        <f t="shared" si="3"/>
        <v>20.8</v>
      </c>
    </row>
    <row r="49" spans="2:7" x14ac:dyDescent="0.25">
      <c r="B49" s="5">
        <v>20</v>
      </c>
      <c r="C49" s="5">
        <v>5.6</v>
      </c>
      <c r="D49" s="9">
        <v>2032</v>
      </c>
      <c r="E49" s="9" t="s">
        <v>127</v>
      </c>
      <c r="F49" s="9">
        <v>0</v>
      </c>
      <c r="G49" s="6">
        <f t="shared" si="3"/>
        <v>14.4</v>
      </c>
    </row>
    <row r="50" spans="2:7" x14ac:dyDescent="0.25">
      <c r="B50" s="5">
        <v>36</v>
      </c>
      <c r="C50" s="5">
        <v>4.8</v>
      </c>
      <c r="D50" s="9" t="s">
        <v>128</v>
      </c>
      <c r="E50" s="9" t="s">
        <v>129</v>
      </c>
      <c r="F50" s="9">
        <v>3</v>
      </c>
      <c r="G50" s="6">
        <f t="shared" si="3"/>
        <v>31.2</v>
      </c>
    </row>
    <row r="51" spans="2:7" x14ac:dyDescent="0.25">
      <c r="B51" s="5">
        <v>30</v>
      </c>
      <c r="C51" s="5">
        <v>15</v>
      </c>
      <c r="D51" s="9" t="s">
        <v>130</v>
      </c>
      <c r="E51" s="9" t="s">
        <v>131</v>
      </c>
      <c r="F51" s="9">
        <v>0</v>
      </c>
      <c r="G51" s="6">
        <f t="shared" si="3"/>
        <v>15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4" t="s">
        <v>6</v>
      </c>
      <c r="C60" s="34"/>
      <c r="D60" s="4"/>
      <c r="E60" s="4"/>
      <c r="F60" s="4"/>
      <c r="G60" s="2"/>
    </row>
    <row r="61" spans="2:7" x14ac:dyDescent="0.25">
      <c r="B61" s="12" t="s">
        <v>0</v>
      </c>
      <c r="C61" s="12">
        <f>SUM(Tabela4612[Valor Bruto])</f>
        <v>959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SUM(Tabela4612[Valor despesa])</f>
        <v>277.3</v>
      </c>
      <c r="D62" s="4"/>
      <c r="E62" s="4"/>
      <c r="F62" s="4"/>
      <c r="G62" s="2"/>
    </row>
    <row r="63" spans="2:7" x14ac:dyDescent="0.25">
      <c r="B63" s="12" t="s">
        <v>8</v>
      </c>
      <c r="C63" s="12">
        <f>SUM(Tabela4612[Valor final])</f>
        <v>681.69999999999993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1" t="s">
        <v>137</v>
      </c>
      <c r="C65" s="32"/>
      <c r="D65" s="32"/>
      <c r="E65" s="32"/>
      <c r="F65" s="32"/>
      <c r="G65" s="33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12</v>
      </c>
      <c r="C67" s="5">
        <v>1.6</v>
      </c>
      <c r="D67" s="9" t="s">
        <v>102</v>
      </c>
      <c r="E67" s="9" t="s">
        <v>64</v>
      </c>
      <c r="F67" s="9">
        <v>1</v>
      </c>
      <c r="G67" s="6">
        <f t="shared" ref="G67:G75" si="4">SUM(B67-C67)</f>
        <v>10.4</v>
      </c>
    </row>
    <row r="68" spans="2:7" x14ac:dyDescent="0.25">
      <c r="B68" s="5">
        <v>24</v>
      </c>
      <c r="C68" s="5">
        <v>3.2</v>
      </c>
      <c r="D68" s="9" t="s">
        <v>132</v>
      </c>
      <c r="E68" s="9" t="s">
        <v>64</v>
      </c>
      <c r="F68" s="9" t="s">
        <v>25</v>
      </c>
      <c r="G68" s="6">
        <f t="shared" si="4"/>
        <v>20.8</v>
      </c>
    </row>
    <row r="69" spans="2:7" x14ac:dyDescent="0.25">
      <c r="B69" s="5">
        <v>24</v>
      </c>
      <c r="C69" s="5">
        <v>3.2</v>
      </c>
      <c r="D69" s="9" t="s">
        <v>133</v>
      </c>
      <c r="E69" s="9" t="s">
        <v>26</v>
      </c>
      <c r="F69" s="9">
        <v>2</v>
      </c>
      <c r="G69" s="6">
        <f t="shared" si="4"/>
        <v>20.8</v>
      </c>
    </row>
    <row r="70" spans="2:7" x14ac:dyDescent="0.25">
      <c r="B70" s="5">
        <v>24</v>
      </c>
      <c r="C70" s="5">
        <v>3.2</v>
      </c>
      <c r="D70" s="9" t="s">
        <v>134</v>
      </c>
      <c r="E70" s="9" t="s">
        <v>27</v>
      </c>
      <c r="F70" s="9">
        <v>2</v>
      </c>
      <c r="G70" s="6">
        <f t="shared" si="4"/>
        <v>20.8</v>
      </c>
    </row>
    <row r="71" spans="2:7" x14ac:dyDescent="0.25">
      <c r="B71" s="5">
        <v>140</v>
      </c>
      <c r="C71" s="5">
        <v>20</v>
      </c>
      <c r="D71" s="9" t="s">
        <v>70</v>
      </c>
      <c r="E71" s="9" t="s">
        <v>25</v>
      </c>
      <c r="F71" s="9" t="s">
        <v>25</v>
      </c>
      <c r="G71" s="6">
        <f t="shared" si="4"/>
        <v>120</v>
      </c>
    </row>
    <row r="72" spans="2:7" x14ac:dyDescent="0.25">
      <c r="B72" s="5">
        <v>114</v>
      </c>
      <c r="C72" s="5">
        <v>38.200000000000003</v>
      </c>
      <c r="D72" s="9" t="s">
        <v>135</v>
      </c>
      <c r="E72" s="9" t="s">
        <v>136</v>
      </c>
      <c r="F72" s="9">
        <v>3</v>
      </c>
      <c r="G72" s="6">
        <f t="shared" si="4"/>
        <v>75.8</v>
      </c>
    </row>
    <row r="73" spans="2:7" x14ac:dyDescent="0.25">
      <c r="B73" s="5">
        <v>12</v>
      </c>
      <c r="C73" s="5">
        <v>1.6</v>
      </c>
      <c r="D73" s="9" t="s">
        <v>116</v>
      </c>
      <c r="E73" s="9" t="s">
        <v>27</v>
      </c>
      <c r="F73" s="9">
        <v>1</v>
      </c>
      <c r="G73" s="6">
        <f t="shared" si="4"/>
        <v>10.4</v>
      </c>
    </row>
    <row r="74" spans="2:7" x14ac:dyDescent="0.25">
      <c r="B74" s="5">
        <v>119</v>
      </c>
      <c r="C74" s="5">
        <v>23.2</v>
      </c>
      <c r="D74" s="9" t="s">
        <v>70</v>
      </c>
      <c r="E74" s="9" t="s">
        <v>138</v>
      </c>
      <c r="F74" s="9">
        <v>2</v>
      </c>
      <c r="G74" s="6">
        <f t="shared" si="4"/>
        <v>95.8</v>
      </c>
    </row>
    <row r="75" spans="2:7" x14ac:dyDescent="0.25">
      <c r="B75" s="5">
        <v>201</v>
      </c>
      <c r="C75" s="1">
        <v>6.2</v>
      </c>
      <c r="D75" s="9" t="s">
        <v>139</v>
      </c>
      <c r="E75" s="9" t="s">
        <v>140</v>
      </c>
      <c r="F75" s="9">
        <v>2</v>
      </c>
      <c r="G75" s="6">
        <f t="shared" si="4"/>
        <v>194.8</v>
      </c>
    </row>
    <row r="76" spans="2:7" x14ac:dyDescent="0.25">
      <c r="B76" s="5">
        <v>105</v>
      </c>
      <c r="C76" s="5">
        <v>20</v>
      </c>
      <c r="D76" s="9" t="s">
        <v>70</v>
      </c>
      <c r="E76" s="9" t="s">
        <v>143</v>
      </c>
      <c r="F76" s="9">
        <v>0</v>
      </c>
      <c r="G76" s="6">
        <f t="shared" ref="G76:G88" si="5">SUM(B76-C76)</f>
        <v>85</v>
      </c>
    </row>
    <row r="77" spans="2:7" x14ac:dyDescent="0.25">
      <c r="B77" s="5">
        <v>110</v>
      </c>
      <c r="C77" s="5">
        <v>20</v>
      </c>
      <c r="D77" s="9" t="s">
        <v>70</v>
      </c>
      <c r="E77" s="9" t="s">
        <v>144</v>
      </c>
      <c r="F77" s="9">
        <v>0</v>
      </c>
      <c r="G77" s="6">
        <f t="shared" si="5"/>
        <v>90</v>
      </c>
    </row>
    <row r="78" spans="2:7" x14ac:dyDescent="0.25">
      <c r="B78" s="5">
        <v>22</v>
      </c>
      <c r="C78" s="5">
        <v>12</v>
      </c>
      <c r="D78" s="9" t="s">
        <v>145</v>
      </c>
      <c r="E78" s="9" t="s">
        <v>146</v>
      </c>
      <c r="F78" s="9">
        <v>0</v>
      </c>
      <c r="G78" s="6">
        <f t="shared" si="5"/>
        <v>10</v>
      </c>
    </row>
    <row r="79" spans="2:7" x14ac:dyDescent="0.25">
      <c r="B79" s="5">
        <v>12</v>
      </c>
      <c r="C79" s="5">
        <v>1.6</v>
      </c>
      <c r="D79" s="9" t="s">
        <v>141</v>
      </c>
      <c r="E79" s="9" t="s">
        <v>73</v>
      </c>
      <c r="F79" s="9">
        <v>1</v>
      </c>
      <c r="G79" s="6">
        <f t="shared" si="5"/>
        <v>10.4</v>
      </c>
    </row>
    <row r="80" spans="2:7" x14ac:dyDescent="0.25">
      <c r="B80" s="5">
        <v>36</v>
      </c>
      <c r="C80" s="5">
        <v>4.8</v>
      </c>
      <c r="D80" s="9" t="s">
        <v>142</v>
      </c>
      <c r="E80" s="9" t="s">
        <v>147</v>
      </c>
      <c r="F80" s="9">
        <v>3</v>
      </c>
      <c r="G80" s="6">
        <f t="shared" si="5"/>
        <v>31.2</v>
      </c>
    </row>
    <row r="81" spans="2:7" x14ac:dyDescent="0.25">
      <c r="B81" s="5">
        <v>20</v>
      </c>
      <c r="C81" s="5">
        <v>3</v>
      </c>
      <c r="D81" s="9" t="s">
        <v>148</v>
      </c>
      <c r="E81" s="9" t="s">
        <v>149</v>
      </c>
      <c r="F81" s="9">
        <v>0</v>
      </c>
      <c r="G81" s="6">
        <f t="shared" si="5"/>
        <v>17</v>
      </c>
    </row>
    <row r="82" spans="2:7" x14ac:dyDescent="0.25">
      <c r="B82" s="5">
        <v>12</v>
      </c>
      <c r="C82" s="5">
        <v>1.6</v>
      </c>
      <c r="D82" s="9" t="s">
        <v>150</v>
      </c>
      <c r="E82" s="9" t="s">
        <v>73</v>
      </c>
      <c r="F82" s="9">
        <v>1</v>
      </c>
      <c r="G82" s="6">
        <f t="shared" si="5"/>
        <v>10.4</v>
      </c>
    </row>
    <row r="83" spans="2:7" x14ac:dyDescent="0.25">
      <c r="B83" s="5">
        <v>80</v>
      </c>
      <c r="C83" s="1">
        <v>0</v>
      </c>
      <c r="D83" s="9" t="s">
        <v>70</v>
      </c>
      <c r="E83" s="9" t="s">
        <v>152</v>
      </c>
      <c r="F83" s="9">
        <v>0</v>
      </c>
      <c r="G83" s="6">
        <f t="shared" si="5"/>
        <v>80</v>
      </c>
    </row>
    <row r="84" spans="2:7" x14ac:dyDescent="0.25">
      <c r="B84" s="5">
        <v>48</v>
      </c>
      <c r="C84" s="1">
        <f>SUM(4*1.6)</f>
        <v>6.4</v>
      </c>
      <c r="D84" s="9" t="s">
        <v>167</v>
      </c>
      <c r="E84" s="9" t="s">
        <v>168</v>
      </c>
      <c r="F84" s="9">
        <v>4</v>
      </c>
      <c r="G84" s="6">
        <f t="shared" si="5"/>
        <v>41.6</v>
      </c>
    </row>
    <row r="85" spans="2:7" x14ac:dyDescent="0.25">
      <c r="B85" s="5">
        <v>12</v>
      </c>
      <c r="C85" s="1">
        <v>1.6</v>
      </c>
      <c r="D85" s="9" t="s">
        <v>169</v>
      </c>
      <c r="E85" s="9" t="s">
        <v>26</v>
      </c>
      <c r="F85" s="9">
        <v>1</v>
      </c>
      <c r="G85" s="6">
        <f t="shared" si="5"/>
        <v>10.4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7">
        <v>0</v>
      </c>
      <c r="C87" s="8">
        <v>0</v>
      </c>
      <c r="D87" s="9" t="s">
        <v>25</v>
      </c>
      <c r="E87" s="9" t="s">
        <v>25</v>
      </c>
      <c r="F87" s="9" t="s">
        <v>25</v>
      </c>
      <c r="G87" s="10">
        <f t="shared" si="5"/>
        <v>0</v>
      </c>
    </row>
    <row r="88" spans="2:7" x14ac:dyDescent="0.25">
      <c r="B88" s="7">
        <v>0</v>
      </c>
      <c r="C88" s="8">
        <v>0</v>
      </c>
      <c r="D88" s="9"/>
      <c r="E88" s="9"/>
      <c r="F88" s="9"/>
      <c r="G88" s="10">
        <f t="shared" si="5"/>
        <v>0</v>
      </c>
    </row>
    <row r="89" spans="2:7" x14ac:dyDescent="0.25">
      <c r="B89" s="34" t="s">
        <v>6</v>
      </c>
      <c r="C89" s="34"/>
      <c r="D89" s="4"/>
      <c r="E89" s="4"/>
      <c r="F89" s="4"/>
      <c r="G89" s="2"/>
    </row>
    <row r="90" spans="2:7" x14ac:dyDescent="0.25">
      <c r="B90" s="12" t="s">
        <v>0</v>
      </c>
      <c r="C90" s="12">
        <f>SUM(Tabela4713[Valor Bruto])</f>
        <v>1127</v>
      </c>
      <c r="D90" s="4"/>
      <c r="E90" s="4"/>
      <c r="F90" s="4"/>
      <c r="G90" s="2"/>
    </row>
    <row r="91" spans="2:7" x14ac:dyDescent="0.25">
      <c r="B91" s="13" t="s">
        <v>7</v>
      </c>
      <c r="C91" s="13">
        <f>SUM(Tabela4713[Valor despesa])</f>
        <v>171.4</v>
      </c>
      <c r="D91" s="4"/>
      <c r="E91" s="4"/>
      <c r="F91" s="4"/>
      <c r="G91" s="2"/>
    </row>
    <row r="92" spans="2:7" x14ac:dyDescent="0.25">
      <c r="B92" s="12" t="s">
        <v>8</v>
      </c>
      <c r="C92" s="12">
        <f>SUM(C90-C91)</f>
        <v>955.6</v>
      </c>
      <c r="D92" s="4"/>
      <c r="E92" s="4"/>
      <c r="F92" s="4"/>
      <c r="G92" s="2"/>
    </row>
    <row r="93" spans="2:7" x14ac:dyDescent="0.25">
      <c r="D93" s="4"/>
      <c r="E93" s="4"/>
      <c r="F93" s="4"/>
      <c r="G93" s="2"/>
    </row>
    <row r="94" spans="2:7" x14ac:dyDescent="0.25"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ht="15.75" x14ac:dyDescent="0.25">
      <c r="B96" s="31" t="s">
        <v>151</v>
      </c>
      <c r="C96" s="32"/>
      <c r="D96" s="32"/>
      <c r="E96" s="32"/>
      <c r="F96" s="32"/>
      <c r="G96" s="33"/>
    </row>
    <row r="97" spans="2:7" ht="15.75" x14ac:dyDescent="0.25">
      <c r="B97" s="14" t="s">
        <v>0</v>
      </c>
      <c r="C97" s="15" t="s">
        <v>1</v>
      </c>
      <c r="D97" s="15" t="s">
        <v>2</v>
      </c>
      <c r="E97" s="15" t="s">
        <v>5</v>
      </c>
      <c r="F97" s="15" t="s">
        <v>3</v>
      </c>
      <c r="G97" s="16" t="s">
        <v>4</v>
      </c>
    </row>
    <row r="98" spans="2:7" x14ac:dyDescent="0.25">
      <c r="B98" s="5">
        <v>12</v>
      </c>
      <c r="C98" s="5">
        <v>1.6</v>
      </c>
      <c r="D98" s="9" t="s">
        <v>72</v>
      </c>
      <c r="E98" s="9" t="s">
        <v>26</v>
      </c>
      <c r="F98" s="9">
        <v>1</v>
      </c>
      <c r="G98" s="6">
        <f t="shared" ref="G98:G106" si="6">SUM(B98-C98)</f>
        <v>10.4</v>
      </c>
    </row>
    <row r="99" spans="2:7" x14ac:dyDescent="0.25">
      <c r="B99" s="5">
        <v>140</v>
      </c>
      <c r="C99" s="5">
        <v>0</v>
      </c>
      <c r="D99" s="9" t="s">
        <v>70</v>
      </c>
      <c r="E99" s="9" t="s">
        <v>153</v>
      </c>
      <c r="F99" s="9">
        <v>0</v>
      </c>
      <c r="G99" s="6">
        <f t="shared" si="6"/>
        <v>140</v>
      </c>
    </row>
    <row r="100" spans="2:7" x14ac:dyDescent="0.25">
      <c r="B100" s="5">
        <v>12</v>
      </c>
      <c r="C100" s="5">
        <v>1.6</v>
      </c>
      <c r="D100" s="9" t="s">
        <v>154</v>
      </c>
      <c r="E100" s="9" t="s">
        <v>26</v>
      </c>
      <c r="F100" s="9">
        <v>1</v>
      </c>
      <c r="G100" s="6">
        <f t="shared" si="6"/>
        <v>10.4</v>
      </c>
    </row>
    <row r="101" spans="2:7" x14ac:dyDescent="0.25">
      <c r="B101" s="5">
        <v>24</v>
      </c>
      <c r="C101" s="5">
        <v>3.2</v>
      </c>
      <c r="D101" s="9" t="s">
        <v>155</v>
      </c>
      <c r="E101" s="9" t="s">
        <v>69</v>
      </c>
      <c r="F101" s="9">
        <v>2</v>
      </c>
      <c r="G101" s="6">
        <f t="shared" si="6"/>
        <v>20.8</v>
      </c>
    </row>
    <row r="102" spans="2:7" x14ac:dyDescent="0.25">
      <c r="B102" s="5">
        <v>300</v>
      </c>
      <c r="C102" s="5">
        <v>150</v>
      </c>
      <c r="D102" s="9" t="s">
        <v>157</v>
      </c>
      <c r="E102" s="9" t="s">
        <v>156</v>
      </c>
      <c r="F102" s="9">
        <v>0</v>
      </c>
      <c r="G102" s="6">
        <f t="shared" si="6"/>
        <v>150</v>
      </c>
    </row>
    <row r="103" spans="2:7" x14ac:dyDescent="0.25">
      <c r="B103" s="5">
        <v>12</v>
      </c>
      <c r="C103" s="5">
        <v>1.6</v>
      </c>
      <c r="D103" s="9" t="s">
        <v>158</v>
      </c>
      <c r="E103" s="9" t="s">
        <v>73</v>
      </c>
      <c r="F103" s="9">
        <v>1</v>
      </c>
      <c r="G103" s="6">
        <f t="shared" si="6"/>
        <v>10.4</v>
      </c>
    </row>
    <row r="104" spans="2:7" x14ac:dyDescent="0.25">
      <c r="B104" s="5">
        <v>12</v>
      </c>
      <c r="C104" s="5">
        <v>1.6</v>
      </c>
      <c r="D104" s="9" t="s">
        <v>72</v>
      </c>
      <c r="E104" s="9" t="s">
        <v>27</v>
      </c>
      <c r="F104" s="9">
        <v>1</v>
      </c>
      <c r="G104" s="6">
        <f t="shared" si="6"/>
        <v>10.4</v>
      </c>
    </row>
    <row r="105" spans="2:7" x14ac:dyDescent="0.25">
      <c r="B105" s="5">
        <v>24</v>
      </c>
      <c r="C105" s="5">
        <v>3.2</v>
      </c>
      <c r="D105" s="9" t="s">
        <v>159</v>
      </c>
      <c r="E105" s="9" t="s">
        <v>27</v>
      </c>
      <c r="F105" s="9">
        <v>2</v>
      </c>
      <c r="G105" s="6">
        <f t="shared" si="6"/>
        <v>20.8</v>
      </c>
    </row>
    <row r="106" spans="2:7" x14ac:dyDescent="0.25">
      <c r="B106" s="5">
        <v>80</v>
      </c>
      <c r="C106" s="1"/>
      <c r="D106" s="9" t="s">
        <v>70</v>
      </c>
      <c r="E106" s="9" t="s">
        <v>160</v>
      </c>
      <c r="F106" s="9">
        <v>0</v>
      </c>
      <c r="G106" s="6">
        <f t="shared" si="6"/>
        <v>80</v>
      </c>
    </row>
    <row r="107" spans="2:7" x14ac:dyDescent="0.25">
      <c r="B107" s="5">
        <v>80</v>
      </c>
      <c r="C107" s="5">
        <v>0</v>
      </c>
      <c r="D107" s="9" t="s">
        <v>70</v>
      </c>
      <c r="E107" s="9" t="s">
        <v>25</v>
      </c>
      <c r="F107" s="9">
        <v>0</v>
      </c>
      <c r="G107" s="6">
        <f t="shared" ref="G107:G121" si="7">SUM(B107-C107)</f>
        <v>80</v>
      </c>
    </row>
    <row r="108" spans="2:7" x14ac:dyDescent="0.25">
      <c r="B108" s="5">
        <v>30</v>
      </c>
      <c r="C108" s="5">
        <v>5</v>
      </c>
      <c r="D108" s="9" t="s">
        <v>61</v>
      </c>
      <c r="E108" s="9" t="s">
        <v>161</v>
      </c>
      <c r="F108" s="9">
        <v>1</v>
      </c>
      <c r="G108" s="6">
        <f t="shared" si="7"/>
        <v>25</v>
      </c>
    </row>
    <row r="109" spans="2:7" x14ac:dyDescent="0.25">
      <c r="B109" s="5">
        <v>24</v>
      </c>
      <c r="C109" s="5">
        <v>3.2</v>
      </c>
      <c r="D109" s="9" t="s">
        <v>162</v>
      </c>
      <c r="E109" s="9" t="s">
        <v>27</v>
      </c>
      <c r="F109" s="9">
        <v>2</v>
      </c>
      <c r="G109" s="6">
        <f t="shared" si="7"/>
        <v>20.8</v>
      </c>
    </row>
    <row r="110" spans="2:7" x14ac:dyDescent="0.25">
      <c r="B110" s="5">
        <v>12</v>
      </c>
      <c r="C110" s="5">
        <v>1.6</v>
      </c>
      <c r="D110" s="9" t="s">
        <v>163</v>
      </c>
      <c r="E110" s="9" t="s">
        <v>73</v>
      </c>
      <c r="F110" s="9">
        <v>1</v>
      </c>
      <c r="G110" s="6">
        <f t="shared" si="7"/>
        <v>10.4</v>
      </c>
    </row>
    <row r="111" spans="2:7" x14ac:dyDescent="0.25">
      <c r="B111" s="5">
        <v>150</v>
      </c>
      <c r="C111" s="5">
        <v>50</v>
      </c>
      <c r="D111" s="9" t="s">
        <v>165</v>
      </c>
      <c r="E111" s="9" t="s">
        <v>164</v>
      </c>
      <c r="F111" s="9">
        <v>0</v>
      </c>
      <c r="G111" s="6">
        <f t="shared" si="7"/>
        <v>100</v>
      </c>
    </row>
    <row r="112" spans="2:7" x14ac:dyDescent="0.25">
      <c r="B112" s="5">
        <v>100</v>
      </c>
      <c r="C112" s="5">
        <v>3.2</v>
      </c>
      <c r="D112" s="9" t="s">
        <v>70</v>
      </c>
      <c r="E112" s="9" t="s">
        <v>166</v>
      </c>
      <c r="F112" s="9">
        <v>0</v>
      </c>
      <c r="G112" s="6">
        <f t="shared" si="7"/>
        <v>96.8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7">
        <v>0</v>
      </c>
      <c r="C120" s="8">
        <v>0</v>
      </c>
      <c r="D120" s="9" t="s">
        <v>25</v>
      </c>
      <c r="E120" s="9" t="s">
        <v>25</v>
      </c>
      <c r="F120" s="9" t="s">
        <v>25</v>
      </c>
      <c r="G120" s="10">
        <f t="shared" si="7"/>
        <v>0</v>
      </c>
    </row>
    <row r="121" spans="2:7" x14ac:dyDescent="0.25">
      <c r="B121" s="7">
        <v>0</v>
      </c>
      <c r="C121" s="8">
        <v>0</v>
      </c>
      <c r="D121" s="9"/>
      <c r="E121" s="9"/>
      <c r="F121" s="9"/>
      <c r="G121" s="10">
        <f t="shared" si="7"/>
        <v>0</v>
      </c>
    </row>
    <row r="122" spans="2:7" x14ac:dyDescent="0.25">
      <c r="D122" s="4"/>
      <c r="E122" s="4"/>
      <c r="F122" s="4"/>
      <c r="G122" s="2"/>
    </row>
    <row r="123" spans="2:7" x14ac:dyDescent="0.25">
      <c r="B123" s="34" t="s">
        <v>6</v>
      </c>
      <c r="C123" s="34"/>
      <c r="D123" s="4"/>
      <c r="E123" s="4"/>
      <c r="F123" s="4"/>
      <c r="G123" s="2"/>
    </row>
    <row r="124" spans="2:7" x14ac:dyDescent="0.25">
      <c r="B124" s="12" t="s">
        <v>0</v>
      </c>
      <c r="C124" s="12">
        <f>SUM(B98:B122)</f>
        <v>1012</v>
      </c>
      <c r="D124" s="4"/>
      <c r="E124" s="4"/>
      <c r="F124" s="4"/>
      <c r="G124" s="2"/>
    </row>
    <row r="125" spans="2:7" x14ac:dyDescent="0.25">
      <c r="B125" s="13" t="s">
        <v>7</v>
      </c>
      <c r="C125" s="13">
        <f>SUM(Tabela4814[Valor despesa])</f>
        <v>225.79999999999995</v>
      </c>
      <c r="D125" s="4"/>
      <c r="E125" s="4"/>
      <c r="F125" s="4"/>
      <c r="G125" s="2"/>
    </row>
    <row r="126" spans="2:7" x14ac:dyDescent="0.25">
      <c r="B126" s="12" t="s">
        <v>8</v>
      </c>
      <c r="C126" s="12">
        <f>SUM(C124-C125)</f>
        <v>786.2</v>
      </c>
      <c r="D126" s="4"/>
      <c r="E126" s="4"/>
      <c r="F126" s="4"/>
      <c r="G126" s="2"/>
    </row>
    <row r="127" spans="2:7" x14ac:dyDescent="0.25">
      <c r="D127" s="4"/>
      <c r="E127" s="4"/>
      <c r="F127" s="4"/>
      <c r="G127" s="2"/>
    </row>
    <row r="128" spans="2:7" ht="15.75" x14ac:dyDescent="0.25">
      <c r="B128" s="31" t="s">
        <v>170</v>
      </c>
      <c r="C128" s="32"/>
      <c r="D128" s="32"/>
      <c r="E128" s="32"/>
      <c r="F128" s="32"/>
      <c r="G128" s="33"/>
    </row>
    <row r="129" spans="2:7" ht="15.75" x14ac:dyDescent="0.25">
      <c r="B129" s="14" t="s">
        <v>0</v>
      </c>
      <c r="C129" s="15" t="s">
        <v>1</v>
      </c>
      <c r="D129" s="15" t="s">
        <v>2</v>
      </c>
      <c r="E129" s="15" t="s">
        <v>5</v>
      </c>
      <c r="F129" s="15" t="s">
        <v>3</v>
      </c>
      <c r="G129" s="16" t="s">
        <v>4</v>
      </c>
    </row>
    <row r="130" spans="2:7" x14ac:dyDescent="0.25">
      <c r="B130" s="5">
        <v>90</v>
      </c>
      <c r="C130" s="5">
        <v>0</v>
      </c>
      <c r="D130" s="9" t="s">
        <v>70</v>
      </c>
      <c r="E130" s="9" t="s">
        <v>99</v>
      </c>
      <c r="F130" s="9">
        <v>0</v>
      </c>
      <c r="G130" s="6">
        <f t="shared" ref="G130:G138" si="8">SUM(B130-C130)</f>
        <v>90</v>
      </c>
    </row>
    <row r="131" spans="2:7" x14ac:dyDescent="0.25">
      <c r="B131" s="5">
        <v>176</v>
      </c>
      <c r="C131" s="5">
        <f>SUM(5.6+8*1.6+12)</f>
        <v>30.4</v>
      </c>
      <c r="D131" s="9" t="s">
        <v>171</v>
      </c>
      <c r="E131" s="9" t="s">
        <v>172</v>
      </c>
      <c r="F131" s="9">
        <v>10</v>
      </c>
      <c r="G131" s="6">
        <f t="shared" si="8"/>
        <v>145.6</v>
      </c>
    </row>
    <row r="132" spans="2:7" x14ac:dyDescent="0.25">
      <c r="B132" s="5">
        <v>25</v>
      </c>
      <c r="C132" s="5">
        <f>SUM(3.2+0.55)</f>
        <v>3.75</v>
      </c>
      <c r="D132" s="9" t="s">
        <v>174</v>
      </c>
      <c r="E132" s="9" t="s">
        <v>173</v>
      </c>
      <c r="F132" s="9">
        <v>2</v>
      </c>
      <c r="G132" s="6">
        <f t="shared" si="8"/>
        <v>21.25</v>
      </c>
    </row>
    <row r="133" spans="2:7" x14ac:dyDescent="0.25">
      <c r="B133" s="5">
        <v>12</v>
      </c>
      <c r="C133" s="5">
        <v>1.6</v>
      </c>
      <c r="D133" s="9" t="s">
        <v>116</v>
      </c>
      <c r="E133" s="9" t="s">
        <v>26</v>
      </c>
      <c r="F133" s="9">
        <v>1</v>
      </c>
      <c r="G133" s="6">
        <f t="shared" si="8"/>
        <v>10.4</v>
      </c>
    </row>
    <row r="134" spans="2:7" x14ac:dyDescent="0.25">
      <c r="B134" s="5">
        <v>12</v>
      </c>
      <c r="C134" s="5">
        <v>1.6</v>
      </c>
      <c r="D134" s="9" t="s">
        <v>72</v>
      </c>
      <c r="E134" s="9" t="s">
        <v>26</v>
      </c>
      <c r="F134" s="9">
        <v>1</v>
      </c>
      <c r="G134" s="6">
        <f t="shared" si="8"/>
        <v>10.4</v>
      </c>
    </row>
    <row r="135" spans="2:7" x14ac:dyDescent="0.25">
      <c r="B135" s="5">
        <v>48</v>
      </c>
      <c r="C135" s="5">
        <v>6.4</v>
      </c>
      <c r="D135" s="9" t="s">
        <v>175</v>
      </c>
      <c r="E135" s="9" t="s">
        <v>69</v>
      </c>
      <c r="F135" s="9">
        <v>4</v>
      </c>
      <c r="G135" s="6">
        <f t="shared" si="8"/>
        <v>41.6</v>
      </c>
    </row>
    <row r="136" spans="2:7" x14ac:dyDescent="0.25">
      <c r="B136" s="5">
        <v>13</v>
      </c>
      <c r="C136" s="5">
        <v>2.15</v>
      </c>
      <c r="D136" s="9" t="s">
        <v>54</v>
      </c>
      <c r="E136" s="9" t="s">
        <v>176</v>
      </c>
      <c r="F136" s="9">
        <v>1</v>
      </c>
      <c r="G136" s="6">
        <f t="shared" si="8"/>
        <v>10.85</v>
      </c>
    </row>
    <row r="137" spans="2:7" x14ac:dyDescent="0.25">
      <c r="B137" s="5">
        <v>95</v>
      </c>
      <c r="C137" s="5">
        <v>20</v>
      </c>
      <c r="D137" s="9" t="s">
        <v>70</v>
      </c>
      <c r="E137" s="9" t="s">
        <v>177</v>
      </c>
      <c r="F137" s="9">
        <v>0</v>
      </c>
      <c r="G137" s="6">
        <f t="shared" si="8"/>
        <v>75</v>
      </c>
    </row>
    <row r="138" spans="2:7" x14ac:dyDescent="0.25">
      <c r="B138" s="5">
        <v>24</v>
      </c>
      <c r="C138" s="1">
        <v>3.2</v>
      </c>
      <c r="D138" s="9" t="s">
        <v>116</v>
      </c>
      <c r="E138" s="9" t="s">
        <v>26</v>
      </c>
      <c r="F138" s="9">
        <v>1</v>
      </c>
      <c r="G138" s="6">
        <f t="shared" si="8"/>
        <v>20.8</v>
      </c>
    </row>
    <row r="139" spans="2:7" x14ac:dyDescent="0.25">
      <c r="B139" s="5">
        <v>12</v>
      </c>
      <c r="C139" s="5">
        <v>1.6</v>
      </c>
      <c r="D139" s="9" t="s">
        <v>178</v>
      </c>
      <c r="E139" s="9" t="s">
        <v>26</v>
      </c>
      <c r="F139" s="9">
        <v>1</v>
      </c>
      <c r="G139" s="6">
        <f t="shared" ref="G139:G153" si="9">SUM(B139-C139)</f>
        <v>10.4</v>
      </c>
    </row>
    <row r="140" spans="2:7" x14ac:dyDescent="0.25">
      <c r="B140" s="5">
        <v>36</v>
      </c>
      <c r="C140" s="5">
        <v>4.8</v>
      </c>
      <c r="D140" s="9" t="s">
        <v>179</v>
      </c>
      <c r="E140" s="9" t="s">
        <v>26</v>
      </c>
      <c r="F140" s="9">
        <v>3</v>
      </c>
      <c r="G140" s="6">
        <f t="shared" si="9"/>
        <v>31.2</v>
      </c>
    </row>
    <row r="141" spans="2:7" x14ac:dyDescent="0.25">
      <c r="B141" s="5">
        <v>12</v>
      </c>
      <c r="C141" s="5">
        <v>1.6</v>
      </c>
      <c r="D141" s="9" t="s">
        <v>110</v>
      </c>
      <c r="E141" s="9" t="s">
        <v>26</v>
      </c>
      <c r="F141" s="9">
        <v>1</v>
      </c>
      <c r="G141" s="6">
        <f t="shared" si="9"/>
        <v>10.4</v>
      </c>
    </row>
    <row r="142" spans="2:7" x14ac:dyDescent="0.25">
      <c r="B142" s="5">
        <v>25</v>
      </c>
      <c r="C142" s="5">
        <v>5</v>
      </c>
      <c r="D142" s="9" t="s">
        <v>181</v>
      </c>
      <c r="E142" s="9" t="s">
        <v>182</v>
      </c>
      <c r="F142" s="9">
        <v>0</v>
      </c>
      <c r="G142" s="6">
        <f t="shared" si="9"/>
        <v>20</v>
      </c>
    </row>
    <row r="143" spans="2:7" x14ac:dyDescent="0.25">
      <c r="B143" s="5">
        <v>250</v>
      </c>
      <c r="C143" s="5">
        <v>95</v>
      </c>
      <c r="D143" s="9" t="s">
        <v>70</v>
      </c>
      <c r="E143" s="9" t="s">
        <v>191</v>
      </c>
      <c r="F143" s="9">
        <v>0</v>
      </c>
      <c r="G143" s="6">
        <f t="shared" si="9"/>
        <v>155</v>
      </c>
    </row>
    <row r="144" spans="2:7" x14ac:dyDescent="0.25">
      <c r="B144" s="5">
        <v>12</v>
      </c>
      <c r="C144" s="5">
        <v>1.6</v>
      </c>
      <c r="D144" s="9" t="s">
        <v>183</v>
      </c>
      <c r="E144" s="9" t="s">
        <v>63</v>
      </c>
      <c r="F144" s="9">
        <v>1</v>
      </c>
      <c r="G144" s="6">
        <f t="shared" si="9"/>
        <v>10.4</v>
      </c>
    </row>
    <row r="145" spans="2:7" x14ac:dyDescent="0.25">
      <c r="B145" s="5"/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7">
        <v>0</v>
      </c>
      <c r="C152" s="8">
        <v>0</v>
      </c>
      <c r="D152" s="9" t="s">
        <v>25</v>
      </c>
      <c r="E152" s="9" t="s">
        <v>25</v>
      </c>
      <c r="F152" s="9" t="s">
        <v>25</v>
      </c>
      <c r="G152" s="10">
        <f t="shared" si="9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9"/>
        <v>0</v>
      </c>
    </row>
    <row r="154" spans="2:7" x14ac:dyDescent="0.25">
      <c r="B154" s="34" t="s">
        <v>6</v>
      </c>
      <c r="C154" s="34"/>
      <c r="D154" s="4"/>
      <c r="E154" s="4"/>
      <c r="F154" s="4"/>
      <c r="G154" s="2"/>
    </row>
    <row r="155" spans="2:7" x14ac:dyDescent="0.25">
      <c r="B155" s="12" t="s">
        <v>0</v>
      </c>
      <c r="C155" s="12">
        <f>SUM(Tabela4915[Valor Bruto])</f>
        <v>842</v>
      </c>
      <c r="D155" s="4"/>
      <c r="E155" s="4"/>
      <c r="F155" s="4"/>
      <c r="G155" s="2"/>
    </row>
    <row r="156" spans="2:7" x14ac:dyDescent="0.25">
      <c r="B156" s="13" t="s">
        <v>7</v>
      </c>
      <c r="C156" s="13">
        <f>SUM(Tabela4915[Valor despesa])</f>
        <v>178.7</v>
      </c>
      <c r="D156" s="4"/>
      <c r="E156" s="4"/>
      <c r="F156" s="4"/>
      <c r="G156" s="2"/>
    </row>
    <row r="157" spans="2:7" x14ac:dyDescent="0.25">
      <c r="B157" s="12" t="s">
        <v>8</v>
      </c>
      <c r="C157" s="12">
        <f>SUM(C155-C156)</f>
        <v>663.3</v>
      </c>
      <c r="D157" s="4"/>
      <c r="E157" s="4"/>
      <c r="F157" s="4"/>
      <c r="G157" s="2"/>
    </row>
    <row r="158" spans="2:7" x14ac:dyDescent="0.25">
      <c r="D158" s="4"/>
      <c r="E158" s="4"/>
      <c r="F158" s="4"/>
      <c r="G158" s="2"/>
    </row>
    <row r="159" spans="2:7" ht="15.75" x14ac:dyDescent="0.25">
      <c r="B159" s="31" t="s">
        <v>180</v>
      </c>
      <c r="C159" s="32"/>
      <c r="D159" s="32"/>
      <c r="E159" s="32"/>
      <c r="F159" s="32"/>
      <c r="G159" s="33"/>
    </row>
    <row r="160" spans="2:7" ht="15.75" x14ac:dyDescent="0.25">
      <c r="B160" s="14" t="s">
        <v>0</v>
      </c>
      <c r="C160" s="15" t="s">
        <v>1</v>
      </c>
      <c r="D160" s="15" t="s">
        <v>2</v>
      </c>
      <c r="E160" s="15" t="s">
        <v>5</v>
      </c>
      <c r="F160" s="15" t="s">
        <v>3</v>
      </c>
      <c r="G160" s="16" t="s">
        <v>4</v>
      </c>
    </row>
    <row r="161" spans="2:7" x14ac:dyDescent="0.25">
      <c r="B161" s="5">
        <v>130</v>
      </c>
      <c r="C161" s="5">
        <v>63</v>
      </c>
      <c r="D161" s="9" t="s">
        <v>186</v>
      </c>
      <c r="E161" s="9" t="s">
        <v>256</v>
      </c>
      <c r="F161" s="9" t="s">
        <v>25</v>
      </c>
      <c r="G161" s="6">
        <f t="shared" ref="G161:G169" si="10">SUM(B161-C161)</f>
        <v>67</v>
      </c>
    </row>
    <row r="162" spans="2:7" x14ac:dyDescent="0.25">
      <c r="B162" s="5">
        <v>12</v>
      </c>
      <c r="C162" s="5">
        <v>1.6</v>
      </c>
      <c r="D162" s="9" t="s">
        <v>54</v>
      </c>
      <c r="E162" s="9" t="s">
        <v>27</v>
      </c>
      <c r="F162" s="9">
        <v>1</v>
      </c>
      <c r="G162" s="6">
        <f t="shared" si="10"/>
        <v>10.4</v>
      </c>
    </row>
    <row r="163" spans="2:7" x14ac:dyDescent="0.25">
      <c r="B163" s="5">
        <v>38</v>
      </c>
      <c r="C163" s="5">
        <v>3.2</v>
      </c>
      <c r="D163" s="9" t="s">
        <v>184</v>
      </c>
      <c r="E163" s="9" t="s">
        <v>185</v>
      </c>
      <c r="F163" s="9">
        <v>2</v>
      </c>
      <c r="G163" s="6">
        <f t="shared" si="10"/>
        <v>34.799999999999997</v>
      </c>
    </row>
    <row r="164" spans="2:7" x14ac:dyDescent="0.25">
      <c r="B164" s="5">
        <v>24</v>
      </c>
      <c r="C164" s="5">
        <v>1.6</v>
      </c>
      <c r="D164" s="9" t="s">
        <v>187</v>
      </c>
      <c r="E164" s="9" t="s">
        <v>69</v>
      </c>
      <c r="F164" s="9">
        <v>2</v>
      </c>
      <c r="G164" s="6">
        <f t="shared" si="10"/>
        <v>22.4</v>
      </c>
    </row>
    <row r="165" spans="2:7" x14ac:dyDescent="0.25">
      <c r="B165" s="5">
        <v>12</v>
      </c>
      <c r="C165" s="5">
        <v>1.6</v>
      </c>
      <c r="D165" s="9" t="s">
        <v>72</v>
      </c>
      <c r="E165" s="9" t="s">
        <v>69</v>
      </c>
      <c r="F165" s="9">
        <v>1</v>
      </c>
      <c r="G165" s="6">
        <f t="shared" si="10"/>
        <v>10.4</v>
      </c>
    </row>
    <row r="166" spans="2:7" x14ac:dyDescent="0.25">
      <c r="B166" s="5">
        <v>12</v>
      </c>
      <c r="C166" s="5">
        <v>1.6</v>
      </c>
      <c r="D166" s="9" t="s">
        <v>188</v>
      </c>
      <c r="E166" s="9" t="s">
        <v>73</v>
      </c>
      <c r="F166" s="9">
        <v>1</v>
      </c>
      <c r="G166" s="6">
        <f t="shared" si="10"/>
        <v>10.4</v>
      </c>
    </row>
    <row r="167" spans="2:7" x14ac:dyDescent="0.25">
      <c r="B167" s="5">
        <v>20</v>
      </c>
      <c r="C167" s="5">
        <v>0</v>
      </c>
      <c r="D167" s="9" t="s">
        <v>189</v>
      </c>
      <c r="E167" s="9" t="s">
        <v>190</v>
      </c>
      <c r="F167" s="9">
        <v>1</v>
      </c>
      <c r="G167" s="6">
        <f t="shared" si="10"/>
        <v>20</v>
      </c>
    </row>
    <row r="168" spans="2:7" x14ac:dyDescent="0.25">
      <c r="B168" s="5">
        <v>36</v>
      </c>
      <c r="C168" s="5">
        <v>4.8</v>
      </c>
      <c r="D168" s="9" t="s">
        <v>90</v>
      </c>
      <c r="E168" s="9" t="s">
        <v>73</v>
      </c>
      <c r="F168" s="9">
        <v>3</v>
      </c>
      <c r="G168" s="6">
        <f t="shared" si="10"/>
        <v>31.2</v>
      </c>
    </row>
    <row r="169" spans="2:7" x14ac:dyDescent="0.25">
      <c r="B169" s="5">
        <v>0</v>
      </c>
      <c r="C169" s="1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ref="G170:G184" si="11">SUM(B170-C170)</f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1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1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1"/>
        <v>0</v>
      </c>
    </row>
    <row r="183" spans="2:7" x14ac:dyDescent="0.25">
      <c r="B183" s="7">
        <v>0</v>
      </c>
      <c r="C183" s="8">
        <v>0</v>
      </c>
      <c r="D183" s="9" t="s">
        <v>25</v>
      </c>
      <c r="E183" s="9" t="s">
        <v>25</v>
      </c>
      <c r="F183" s="9" t="s">
        <v>25</v>
      </c>
      <c r="G183" s="10">
        <f t="shared" si="11"/>
        <v>0</v>
      </c>
    </row>
    <row r="184" spans="2:7" x14ac:dyDescent="0.25">
      <c r="B184" s="7">
        <v>0</v>
      </c>
      <c r="C184" s="8">
        <v>0</v>
      </c>
      <c r="D184" s="9"/>
      <c r="E184" s="9"/>
      <c r="F184" s="9"/>
      <c r="G184" s="10">
        <f t="shared" si="11"/>
        <v>0</v>
      </c>
    </row>
    <row r="185" spans="2:7" x14ac:dyDescent="0.25">
      <c r="B185" s="34" t="s">
        <v>6</v>
      </c>
      <c r="C185" s="34"/>
      <c r="D185" s="4"/>
      <c r="E185" s="4"/>
      <c r="F185" s="4"/>
      <c r="G185" s="2"/>
    </row>
    <row r="186" spans="2:7" x14ac:dyDescent="0.25">
      <c r="B186" s="12" t="s">
        <v>0</v>
      </c>
      <c r="C186" s="12">
        <f>SUM(Tabela41016[Valor Bruto])</f>
        <v>284</v>
      </c>
      <c r="D186" s="4"/>
      <c r="E186" s="4"/>
      <c r="F186" s="4"/>
      <c r="G186" s="2"/>
    </row>
    <row r="187" spans="2:7" x14ac:dyDescent="0.25">
      <c r="B187" s="13" t="s">
        <v>7</v>
      </c>
      <c r="C187" s="13">
        <f>SUM(Tabela41016[Valor despesa])</f>
        <v>77.399999999999977</v>
      </c>
      <c r="D187" s="4"/>
      <c r="E187" s="4"/>
      <c r="F187" s="4"/>
      <c r="G187" s="2"/>
    </row>
    <row r="188" spans="2:7" x14ac:dyDescent="0.25">
      <c r="B188" s="12" t="s">
        <v>8</v>
      </c>
      <c r="C188" s="12">
        <f>SUM(C186-C187)</f>
        <v>206.60000000000002</v>
      </c>
      <c r="D188" s="4"/>
      <c r="E188" s="4"/>
      <c r="F188" s="4"/>
      <c r="G188" s="2"/>
    </row>
  </sheetData>
  <mergeCells count="13">
    <mergeCell ref="B185:C185"/>
    <mergeCell ref="B89:C89"/>
    <mergeCell ref="B96:G96"/>
    <mergeCell ref="B123:C123"/>
    <mergeCell ref="B128:G128"/>
    <mergeCell ref="B154:C154"/>
    <mergeCell ref="B159:G159"/>
    <mergeCell ref="B65:G65"/>
    <mergeCell ref="B2:G2"/>
    <mergeCell ref="I2:K2"/>
    <mergeCell ref="B29:C29"/>
    <mergeCell ref="B34:G34"/>
    <mergeCell ref="B60:C60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7"/>
  <sheetViews>
    <sheetView topLeftCell="A2" workbookViewId="0">
      <selection activeCell="B18" sqref="B18"/>
    </sheetView>
  </sheetViews>
  <sheetFormatPr defaultRowHeight="15" x14ac:dyDescent="0.25"/>
  <cols>
    <col min="1" max="1" width="1.140625" customWidth="1"/>
    <col min="2" max="2" width="16.85546875" bestFit="1" customWidth="1"/>
    <col min="3" max="3" width="19.140625" bestFit="1" customWidth="1"/>
    <col min="4" max="4" width="37.42578125" bestFit="1" customWidth="1"/>
    <col min="5" max="5" width="42.5703125" bestFit="1" customWidth="1"/>
    <col min="6" max="6" width="17.140625" bestFit="1" customWidth="1"/>
    <col min="7" max="7" width="17" customWidth="1"/>
    <col min="8" max="8" width="2.2851562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1" t="s">
        <v>192</v>
      </c>
      <c r="C2" s="32"/>
      <c r="D2" s="32"/>
      <c r="E2" s="32"/>
      <c r="F2" s="32"/>
      <c r="G2" s="33"/>
      <c r="I2" s="30" t="s">
        <v>10</v>
      </c>
      <c r="J2" s="30"/>
      <c r="K2" s="30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90</v>
      </c>
      <c r="C4" s="5">
        <v>0</v>
      </c>
      <c r="D4" s="9" t="s">
        <v>70</v>
      </c>
      <c r="E4" s="9" t="s">
        <v>99</v>
      </c>
      <c r="F4" s="9">
        <v>0</v>
      </c>
      <c r="G4" s="6">
        <f t="shared" ref="G4:G12" si="0">SUM(B4-C4)</f>
        <v>90</v>
      </c>
      <c r="I4" s="11">
        <f>SUM(C30,C61,C92,C123,C154,C185)</f>
        <v>2664</v>
      </c>
      <c r="J4" s="11">
        <f>SUM(C93,C124,C155,C186,C62,C31)</f>
        <v>568.29999999999995</v>
      </c>
      <c r="K4" s="22">
        <f>SUM(C32,C63,C94,C125,C156,C187)</f>
        <v>2095.7000000000003</v>
      </c>
    </row>
    <row r="5" spans="2:11" x14ac:dyDescent="0.25">
      <c r="B5" s="5">
        <v>12</v>
      </c>
      <c r="C5" s="5">
        <v>1.6</v>
      </c>
      <c r="D5" s="9" t="s">
        <v>193</v>
      </c>
      <c r="E5" s="9" t="s">
        <v>26</v>
      </c>
      <c r="F5" s="9">
        <v>1</v>
      </c>
      <c r="G5" s="6">
        <f t="shared" si="0"/>
        <v>10.4</v>
      </c>
    </row>
    <row r="6" spans="2:11" x14ac:dyDescent="0.25">
      <c r="B6" s="5">
        <v>12</v>
      </c>
      <c r="C6" s="5">
        <v>1.6</v>
      </c>
      <c r="D6" s="9" t="s">
        <v>90</v>
      </c>
      <c r="E6" s="9" t="s">
        <v>27</v>
      </c>
      <c r="F6" s="9">
        <v>1</v>
      </c>
      <c r="G6" s="6">
        <f t="shared" si="0"/>
        <v>10.4</v>
      </c>
    </row>
    <row r="7" spans="2:11" x14ac:dyDescent="0.25">
      <c r="B7" s="5">
        <v>30</v>
      </c>
      <c r="C7" s="5">
        <v>5</v>
      </c>
      <c r="D7" s="9" t="s">
        <v>194</v>
      </c>
      <c r="E7" s="9" t="s">
        <v>195</v>
      </c>
      <c r="F7" s="9">
        <v>1</v>
      </c>
      <c r="G7" s="6">
        <f t="shared" si="0"/>
        <v>25</v>
      </c>
    </row>
    <row r="8" spans="2:11" x14ac:dyDescent="0.25">
      <c r="B8" s="5">
        <v>24</v>
      </c>
      <c r="C8" s="5">
        <v>3.2</v>
      </c>
      <c r="D8" s="9" t="s">
        <v>196</v>
      </c>
      <c r="E8" s="9" t="s">
        <v>73</v>
      </c>
      <c r="F8" s="9">
        <v>2</v>
      </c>
      <c r="G8" s="6">
        <f t="shared" si="0"/>
        <v>20.8</v>
      </c>
    </row>
    <row r="9" spans="2:11" x14ac:dyDescent="0.25">
      <c r="B9" s="5">
        <v>36</v>
      </c>
      <c r="C9" s="5">
        <v>4.8</v>
      </c>
      <c r="D9" s="9" t="s">
        <v>197</v>
      </c>
      <c r="E9" s="9" t="s">
        <v>27</v>
      </c>
      <c r="F9" s="9">
        <v>3</v>
      </c>
      <c r="G9" s="6">
        <f t="shared" si="0"/>
        <v>31.2</v>
      </c>
    </row>
    <row r="10" spans="2:11" x14ac:dyDescent="0.25">
      <c r="B10" s="5">
        <v>24</v>
      </c>
      <c r="C10" s="5">
        <v>3.2</v>
      </c>
      <c r="D10" s="9" t="s">
        <v>85</v>
      </c>
      <c r="E10" s="9" t="s">
        <v>26</v>
      </c>
      <c r="F10" s="9">
        <v>2</v>
      </c>
      <c r="G10" s="6">
        <f t="shared" si="0"/>
        <v>20.8</v>
      </c>
    </row>
    <row r="11" spans="2:11" x14ac:dyDescent="0.25">
      <c r="B11" s="5">
        <v>130</v>
      </c>
      <c r="C11" s="5">
        <v>30</v>
      </c>
      <c r="D11" s="9" t="s">
        <v>198</v>
      </c>
      <c r="E11" s="9" t="s">
        <v>199</v>
      </c>
      <c r="F11" s="9">
        <v>0</v>
      </c>
      <c r="G11" s="6">
        <f t="shared" si="0"/>
        <v>100</v>
      </c>
    </row>
    <row r="12" spans="2:11" x14ac:dyDescent="0.25">
      <c r="B12" s="5">
        <v>24</v>
      </c>
      <c r="C12" s="1">
        <v>3.2</v>
      </c>
      <c r="D12" s="9" t="s">
        <v>85</v>
      </c>
      <c r="E12" s="9" t="s">
        <v>53</v>
      </c>
      <c r="F12" s="9">
        <v>2</v>
      </c>
      <c r="G12" s="6">
        <f t="shared" si="0"/>
        <v>20.8</v>
      </c>
    </row>
    <row r="13" spans="2:11" x14ac:dyDescent="0.25">
      <c r="B13" s="5">
        <v>26</v>
      </c>
      <c r="C13" s="5">
        <f>SUM(1.8+1.6)</f>
        <v>3.4000000000000004</v>
      </c>
      <c r="D13" s="9" t="s">
        <v>200</v>
      </c>
      <c r="E13" s="9" t="s">
        <v>27</v>
      </c>
      <c r="F13" s="9">
        <v>2</v>
      </c>
      <c r="G13" s="6">
        <f t="shared" ref="G13:G27" si="1">SUM(B13-C13)</f>
        <v>22.6</v>
      </c>
    </row>
    <row r="14" spans="2:11" x14ac:dyDescent="0.25">
      <c r="B14" s="5">
        <v>24</v>
      </c>
      <c r="C14" s="5">
        <v>3.2</v>
      </c>
      <c r="D14" s="9" t="s">
        <v>201</v>
      </c>
      <c r="E14" s="9" t="s">
        <v>26</v>
      </c>
      <c r="F14" s="9">
        <v>2</v>
      </c>
      <c r="G14" s="6">
        <f t="shared" si="1"/>
        <v>20.8</v>
      </c>
    </row>
    <row r="15" spans="2:11" x14ac:dyDescent="0.25">
      <c r="B15" s="5">
        <v>20</v>
      </c>
      <c r="C15" s="5">
        <v>5.6</v>
      </c>
      <c r="D15" s="9">
        <v>2032</v>
      </c>
      <c r="E15" s="9" t="s">
        <v>74</v>
      </c>
      <c r="F15" s="9">
        <v>0</v>
      </c>
      <c r="G15" s="6">
        <f t="shared" si="1"/>
        <v>14.4</v>
      </c>
    </row>
    <row r="16" spans="2:11" x14ac:dyDescent="0.25">
      <c r="B16" s="5">
        <v>12</v>
      </c>
      <c r="C16" s="5">
        <v>1.6</v>
      </c>
      <c r="D16" s="9" t="s">
        <v>110</v>
      </c>
      <c r="E16" s="9" t="s">
        <v>27</v>
      </c>
      <c r="F16" s="9">
        <v>1</v>
      </c>
      <c r="G16" s="6">
        <f t="shared" si="1"/>
        <v>10.4</v>
      </c>
    </row>
    <row r="17" spans="2:7" x14ac:dyDescent="0.25">
      <c r="B17" s="5">
        <v>250</v>
      </c>
      <c r="C17" s="5">
        <v>90</v>
      </c>
      <c r="D17" s="9" t="s">
        <v>70</v>
      </c>
      <c r="E17" s="9" t="s">
        <v>255</v>
      </c>
      <c r="F17" s="9">
        <v>0</v>
      </c>
      <c r="G17" s="6">
        <f t="shared" si="1"/>
        <v>160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4" t="s">
        <v>6</v>
      </c>
      <c r="C29" s="34"/>
      <c r="D29" s="4"/>
      <c r="E29" s="4"/>
      <c r="F29" s="4"/>
      <c r="G29" s="2"/>
    </row>
    <row r="30" spans="2:7" x14ac:dyDescent="0.25">
      <c r="B30" s="12" t="s">
        <v>0</v>
      </c>
      <c r="C30" s="12">
        <f>SUM(Tabela417[Valor Bruto])</f>
        <v>714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SUM(Tabela417[Valor despesa])</f>
        <v>156.39999999999998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557.6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1" t="s">
        <v>202</v>
      </c>
      <c r="C34" s="32"/>
      <c r="D34" s="32"/>
      <c r="E34" s="32"/>
      <c r="F34" s="32"/>
      <c r="G34" s="33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0</v>
      </c>
      <c r="C36" s="5">
        <v>0</v>
      </c>
      <c r="D36" s="9" t="s">
        <v>25</v>
      </c>
      <c r="E36" s="9" t="s">
        <v>25</v>
      </c>
      <c r="F36" s="9" t="s">
        <v>25</v>
      </c>
      <c r="G36" s="6">
        <f t="shared" ref="G36:G44" si="2">SUM(B36-C36)</f>
        <v>0</v>
      </c>
    </row>
    <row r="37" spans="2:7" x14ac:dyDescent="0.25">
      <c r="B37" s="5">
        <v>0</v>
      </c>
      <c r="C37" s="5">
        <v>0</v>
      </c>
      <c r="D37" s="9" t="s">
        <v>25</v>
      </c>
      <c r="E37" s="9" t="s">
        <v>25</v>
      </c>
      <c r="F37" s="9" t="s">
        <v>25</v>
      </c>
      <c r="G37" s="6">
        <f t="shared" si="2"/>
        <v>0</v>
      </c>
    </row>
    <row r="38" spans="2:7" x14ac:dyDescent="0.25">
      <c r="B38" s="5">
        <v>0</v>
      </c>
      <c r="C38" s="5">
        <v>0</v>
      </c>
      <c r="D38" s="9" t="s">
        <v>25</v>
      </c>
      <c r="E38" s="9" t="s">
        <v>25</v>
      </c>
      <c r="F38" s="9" t="s">
        <v>25</v>
      </c>
      <c r="G38" s="6">
        <f t="shared" si="2"/>
        <v>0</v>
      </c>
    </row>
    <row r="39" spans="2:7" x14ac:dyDescent="0.25">
      <c r="B39" s="5">
        <v>0</v>
      </c>
      <c r="C39" s="5">
        <v>0</v>
      </c>
      <c r="D39" s="9" t="s">
        <v>25</v>
      </c>
      <c r="E39" s="9" t="s">
        <v>25</v>
      </c>
      <c r="F39" s="9" t="s">
        <v>25</v>
      </c>
      <c r="G39" s="6">
        <f t="shared" si="2"/>
        <v>0</v>
      </c>
    </row>
    <row r="40" spans="2:7" x14ac:dyDescent="0.25">
      <c r="B40" s="5">
        <v>0</v>
      </c>
      <c r="C40" s="5">
        <v>0</v>
      </c>
      <c r="D40" s="9" t="s">
        <v>25</v>
      </c>
      <c r="E40" s="9" t="s">
        <v>25</v>
      </c>
      <c r="F40" s="9" t="s">
        <v>25</v>
      </c>
      <c r="G40" s="6">
        <f t="shared" si="2"/>
        <v>0</v>
      </c>
    </row>
    <row r="41" spans="2:7" x14ac:dyDescent="0.25">
      <c r="B41" s="5">
        <v>0</v>
      </c>
      <c r="C41" s="5">
        <v>0</v>
      </c>
      <c r="D41" s="9" t="s">
        <v>25</v>
      </c>
      <c r="E41" s="9" t="s">
        <v>25</v>
      </c>
      <c r="F41" s="9" t="s">
        <v>25</v>
      </c>
      <c r="G41" s="6">
        <f t="shared" si="2"/>
        <v>0</v>
      </c>
    </row>
    <row r="42" spans="2:7" x14ac:dyDescent="0.25">
      <c r="B42" s="5">
        <v>0</v>
      </c>
      <c r="C42" s="5">
        <v>0</v>
      </c>
      <c r="D42" s="9" t="s">
        <v>25</v>
      </c>
      <c r="E42" s="9" t="s">
        <v>25</v>
      </c>
      <c r="F42" s="9" t="s">
        <v>25</v>
      </c>
      <c r="G42" s="6">
        <f t="shared" si="2"/>
        <v>0</v>
      </c>
    </row>
    <row r="43" spans="2:7" x14ac:dyDescent="0.25">
      <c r="B43" s="5">
        <v>0</v>
      </c>
      <c r="C43" s="5">
        <v>0</v>
      </c>
      <c r="D43" s="9" t="s">
        <v>25</v>
      </c>
      <c r="E43" s="9" t="s">
        <v>25</v>
      </c>
      <c r="F43" s="9" t="s">
        <v>25</v>
      </c>
      <c r="G43" s="6">
        <f t="shared" si="2"/>
        <v>0</v>
      </c>
    </row>
    <row r="44" spans="2:7" x14ac:dyDescent="0.25">
      <c r="B44" s="5">
        <v>0</v>
      </c>
      <c r="C44" s="1">
        <v>0</v>
      </c>
      <c r="D44" s="9" t="s">
        <v>25</v>
      </c>
      <c r="E44" s="9" t="s">
        <v>25</v>
      </c>
      <c r="F44" s="9" t="s">
        <v>25</v>
      </c>
      <c r="G44" s="6">
        <f t="shared" si="2"/>
        <v>0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ref="G45:G59" si="3">SUM(B45-C45)</f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3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3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4" t="s">
        <v>6</v>
      </c>
      <c r="C60" s="34"/>
      <c r="D60" s="4"/>
      <c r="E60" s="4"/>
      <c r="F60" s="4"/>
      <c r="G60" s="2"/>
    </row>
    <row r="61" spans="2:7" x14ac:dyDescent="0.25">
      <c r="B61" s="12" t="s">
        <v>0</v>
      </c>
      <c r="C61" s="12">
        <f>SUM(Tabela4618[Valor Bruto])</f>
        <v>0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SUM(Tabela4618[Valor despesa])</f>
        <v>0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0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1" t="s">
        <v>203</v>
      </c>
      <c r="C65" s="32"/>
      <c r="D65" s="32"/>
      <c r="E65" s="32"/>
      <c r="F65" s="32"/>
      <c r="G65" s="33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60</v>
      </c>
      <c r="C67" s="5">
        <v>3</v>
      </c>
      <c r="D67" s="9" t="s">
        <v>38</v>
      </c>
      <c r="E67" s="9" t="s">
        <v>204</v>
      </c>
      <c r="F67" s="9">
        <v>1</v>
      </c>
      <c r="G67" s="6">
        <f t="shared" ref="G67:G75" si="4">SUM(B67-C67)</f>
        <v>57</v>
      </c>
    </row>
    <row r="68" spans="2:7" x14ac:dyDescent="0.25">
      <c r="B68" s="5">
        <v>72</v>
      </c>
      <c r="C68" s="29">
        <v>9.6</v>
      </c>
      <c r="D68" s="9" t="s">
        <v>205</v>
      </c>
      <c r="E68" s="9" t="s">
        <v>69</v>
      </c>
      <c r="F68" s="9">
        <v>6</v>
      </c>
      <c r="G68" s="6">
        <f t="shared" si="4"/>
        <v>62.4</v>
      </c>
    </row>
    <row r="69" spans="2:7" x14ac:dyDescent="0.25">
      <c r="B69" s="5">
        <v>60</v>
      </c>
      <c r="C69" s="5">
        <v>22.4</v>
      </c>
      <c r="D69" s="9" t="s">
        <v>37</v>
      </c>
      <c r="E69" s="9" t="s">
        <v>74</v>
      </c>
      <c r="F69" s="9">
        <v>0</v>
      </c>
      <c r="G69" s="6">
        <f t="shared" si="4"/>
        <v>37.6</v>
      </c>
    </row>
    <row r="70" spans="2:7" x14ac:dyDescent="0.25">
      <c r="B70" s="5">
        <v>24</v>
      </c>
      <c r="C70" s="5">
        <v>3.2</v>
      </c>
      <c r="D70" s="9" t="s">
        <v>96</v>
      </c>
      <c r="E70" s="9" t="s">
        <v>27</v>
      </c>
      <c r="F70" s="9">
        <v>2</v>
      </c>
      <c r="G70" s="6">
        <f t="shared" si="4"/>
        <v>20.8</v>
      </c>
    </row>
    <row r="71" spans="2:7" x14ac:dyDescent="0.25">
      <c r="B71" s="5">
        <v>30</v>
      </c>
      <c r="C71" s="5">
        <v>0</v>
      </c>
      <c r="D71" s="9" t="s">
        <v>25</v>
      </c>
      <c r="E71" s="9" t="s">
        <v>206</v>
      </c>
      <c r="F71" s="9">
        <v>0</v>
      </c>
      <c r="G71" s="6">
        <f t="shared" si="4"/>
        <v>30</v>
      </c>
    </row>
    <row r="72" spans="2:7" x14ac:dyDescent="0.25">
      <c r="B72" s="5">
        <v>110</v>
      </c>
      <c r="C72" s="5">
        <v>5</v>
      </c>
      <c r="D72" s="9" t="s">
        <v>207</v>
      </c>
      <c r="E72" s="9" t="s">
        <v>208</v>
      </c>
      <c r="F72" s="9">
        <v>1</v>
      </c>
      <c r="G72" s="6">
        <f t="shared" si="4"/>
        <v>105</v>
      </c>
    </row>
    <row r="73" spans="2:7" x14ac:dyDescent="0.25">
      <c r="B73" s="5">
        <v>48</v>
      </c>
      <c r="C73" s="5">
        <v>6.4</v>
      </c>
      <c r="D73" s="9" t="s">
        <v>209</v>
      </c>
      <c r="E73" s="9" t="s">
        <v>26</v>
      </c>
      <c r="F73" s="9">
        <v>4</v>
      </c>
      <c r="G73" s="6">
        <f t="shared" si="4"/>
        <v>41.6</v>
      </c>
    </row>
    <row r="74" spans="2:7" x14ac:dyDescent="0.25">
      <c r="B74" s="5">
        <v>80</v>
      </c>
      <c r="C74" s="5">
        <v>12</v>
      </c>
      <c r="D74" s="9" t="s">
        <v>70</v>
      </c>
      <c r="E74" s="9" t="s">
        <v>210</v>
      </c>
      <c r="F74" s="9">
        <v>0</v>
      </c>
      <c r="G74" s="6">
        <f t="shared" si="4"/>
        <v>68</v>
      </c>
    </row>
    <row r="75" spans="2:7" x14ac:dyDescent="0.25">
      <c r="B75" s="5">
        <v>24</v>
      </c>
      <c r="C75" s="1">
        <v>3.2</v>
      </c>
      <c r="D75" s="9" t="s">
        <v>169</v>
      </c>
      <c r="E75" s="9" t="s">
        <v>26</v>
      </c>
      <c r="F75" s="9">
        <v>2</v>
      </c>
      <c r="G75" s="6">
        <f t="shared" si="4"/>
        <v>20.8</v>
      </c>
    </row>
    <row r="76" spans="2:7" x14ac:dyDescent="0.25">
      <c r="B76" s="5">
        <v>24</v>
      </c>
      <c r="C76" s="5">
        <v>3.2</v>
      </c>
      <c r="D76" s="9" t="s">
        <v>211</v>
      </c>
      <c r="E76" s="9" t="s">
        <v>73</v>
      </c>
      <c r="F76" s="9">
        <v>2</v>
      </c>
      <c r="G76" s="6">
        <f t="shared" ref="G76:G90" si="5">SUM(B76-C76)</f>
        <v>20.8</v>
      </c>
    </row>
    <row r="77" spans="2:7" x14ac:dyDescent="0.25">
      <c r="B77" s="5"/>
      <c r="C77" s="5"/>
      <c r="D77" s="9" t="s">
        <v>70</v>
      </c>
      <c r="E77" s="9"/>
      <c r="F77" s="9" t="s">
        <v>25</v>
      </c>
      <c r="G77" s="6">
        <f t="shared" si="5"/>
        <v>0</v>
      </c>
    </row>
    <row r="78" spans="2:7" x14ac:dyDescent="0.25">
      <c r="B78" s="5">
        <v>24</v>
      </c>
      <c r="C78" s="5">
        <v>3.2</v>
      </c>
      <c r="D78" s="9" t="s">
        <v>212</v>
      </c>
      <c r="E78" s="9" t="s">
        <v>26</v>
      </c>
      <c r="F78" s="9">
        <v>2</v>
      </c>
      <c r="G78" s="6">
        <f t="shared" si="5"/>
        <v>20.8</v>
      </c>
    </row>
    <row r="79" spans="2:7" x14ac:dyDescent="0.25">
      <c r="B79" s="5">
        <v>24</v>
      </c>
      <c r="C79" s="5">
        <v>3.2</v>
      </c>
      <c r="D79" s="9" t="s">
        <v>154</v>
      </c>
      <c r="E79" s="9" t="s">
        <v>26</v>
      </c>
      <c r="F79" s="9">
        <v>2</v>
      </c>
      <c r="G79" s="6">
        <f t="shared" si="5"/>
        <v>20.8</v>
      </c>
    </row>
    <row r="80" spans="2:7" x14ac:dyDescent="0.25">
      <c r="B80" s="5">
        <v>24</v>
      </c>
      <c r="C80" s="5">
        <v>3.2</v>
      </c>
      <c r="D80" s="9" t="s">
        <v>213</v>
      </c>
      <c r="E80" s="9" t="s">
        <v>26</v>
      </c>
      <c r="F80" s="9">
        <v>2</v>
      </c>
      <c r="G80" s="6">
        <f t="shared" si="5"/>
        <v>20.8</v>
      </c>
    </row>
    <row r="81" spans="2:7" x14ac:dyDescent="0.25">
      <c r="B81" s="5">
        <v>12</v>
      </c>
      <c r="C81" s="5">
        <v>1.6</v>
      </c>
      <c r="D81" s="9" t="s">
        <v>54</v>
      </c>
      <c r="E81" s="9" t="s">
        <v>26</v>
      </c>
      <c r="F81" s="9">
        <v>1</v>
      </c>
      <c r="G81" s="6">
        <f t="shared" si="5"/>
        <v>10.4</v>
      </c>
    </row>
    <row r="82" spans="2:7" x14ac:dyDescent="0.25">
      <c r="B82" s="5">
        <v>36</v>
      </c>
      <c r="C82" s="5">
        <v>3.2</v>
      </c>
      <c r="D82" s="9" t="s">
        <v>214</v>
      </c>
      <c r="E82" s="9" t="s">
        <v>73</v>
      </c>
      <c r="F82" s="9">
        <v>3</v>
      </c>
      <c r="G82" s="6">
        <f t="shared" si="5"/>
        <v>32.799999999999997</v>
      </c>
    </row>
    <row r="83" spans="2:7" x14ac:dyDescent="0.25">
      <c r="B83" s="5">
        <v>12</v>
      </c>
      <c r="C83" s="5">
        <v>1.6</v>
      </c>
      <c r="D83" s="9" t="s">
        <v>215</v>
      </c>
      <c r="E83" s="9" t="s">
        <v>26</v>
      </c>
      <c r="F83" s="9">
        <v>1</v>
      </c>
      <c r="G83" s="6">
        <f t="shared" si="5"/>
        <v>10.4</v>
      </c>
    </row>
    <row r="84" spans="2:7" x14ac:dyDescent="0.25">
      <c r="B84" s="5">
        <v>216</v>
      </c>
      <c r="C84" s="5">
        <v>32.799999999999997</v>
      </c>
      <c r="D84" s="9" t="s">
        <v>216</v>
      </c>
      <c r="E84" s="9" t="s">
        <v>217</v>
      </c>
      <c r="F84" s="9">
        <v>12</v>
      </c>
      <c r="G84" s="6">
        <f t="shared" si="5"/>
        <v>183.2</v>
      </c>
    </row>
    <row r="85" spans="2:7" x14ac:dyDescent="0.25">
      <c r="B85" s="5">
        <v>30</v>
      </c>
      <c r="C85" s="1">
        <v>3.2</v>
      </c>
      <c r="D85" s="9" t="s">
        <v>90</v>
      </c>
      <c r="E85" s="9" t="s">
        <v>218</v>
      </c>
      <c r="F85" s="9">
        <v>2</v>
      </c>
      <c r="G85" s="6">
        <f t="shared" si="5"/>
        <v>26.8</v>
      </c>
    </row>
    <row r="86" spans="2:7" x14ac:dyDescent="0.25">
      <c r="B86" s="5">
        <v>30</v>
      </c>
      <c r="C86" s="1">
        <v>5.6</v>
      </c>
      <c r="D86" s="9" t="s">
        <v>37</v>
      </c>
      <c r="E86" s="9" t="s">
        <v>219</v>
      </c>
      <c r="F86" s="9">
        <v>0</v>
      </c>
      <c r="G86" s="6">
        <f t="shared" si="5"/>
        <v>24.4</v>
      </c>
    </row>
    <row r="87" spans="2:7" x14ac:dyDescent="0.25">
      <c r="B87" s="5">
        <v>51</v>
      </c>
      <c r="C87" s="1">
        <v>8.5</v>
      </c>
      <c r="D87" s="9" t="s">
        <v>154</v>
      </c>
      <c r="E87" s="9" t="s">
        <v>220</v>
      </c>
      <c r="F87" s="9">
        <v>4</v>
      </c>
      <c r="G87" s="6">
        <f t="shared" si="5"/>
        <v>42.5</v>
      </c>
    </row>
    <row r="88" spans="2:7" x14ac:dyDescent="0.25">
      <c r="B88" s="5">
        <v>20</v>
      </c>
      <c r="C88" s="1">
        <v>5.6</v>
      </c>
      <c r="D88" s="9" t="s">
        <v>37</v>
      </c>
      <c r="E88" s="9" t="s">
        <v>74</v>
      </c>
      <c r="F88" s="9">
        <v>0</v>
      </c>
      <c r="G88" s="6">
        <f t="shared" si="5"/>
        <v>14.4</v>
      </c>
    </row>
    <row r="89" spans="2:7" x14ac:dyDescent="0.25">
      <c r="B89" s="7">
        <v>60</v>
      </c>
      <c r="C89" s="8">
        <v>0</v>
      </c>
      <c r="D89" s="9" t="s">
        <v>25</v>
      </c>
      <c r="E89" s="9" t="s">
        <v>114</v>
      </c>
      <c r="F89" s="9">
        <v>0</v>
      </c>
      <c r="G89" s="10">
        <f t="shared" si="5"/>
        <v>60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5"/>
        <v>0</v>
      </c>
    </row>
    <row r="91" spans="2:7" x14ac:dyDescent="0.25">
      <c r="B91" s="34" t="s">
        <v>6</v>
      </c>
      <c r="C91" s="34"/>
      <c r="D91" s="4"/>
      <c r="E91" s="4"/>
      <c r="F91" s="4"/>
      <c r="G91" s="2"/>
    </row>
    <row r="92" spans="2:7" x14ac:dyDescent="0.25">
      <c r="B92" s="12" t="s">
        <v>0</v>
      </c>
      <c r="C92" s="12">
        <f>SUM(Tabela4719[Valor Bruto])</f>
        <v>1071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SUM(Tabela4719[Valor despesa])</f>
        <v>139.69999999999999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931.3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ht="15.75" x14ac:dyDescent="0.25">
      <c r="B96" s="31" t="s">
        <v>221</v>
      </c>
      <c r="C96" s="32"/>
      <c r="D96" s="32"/>
      <c r="E96" s="32"/>
      <c r="F96" s="32"/>
      <c r="G96" s="33"/>
    </row>
    <row r="97" spans="2:7" ht="15.75" x14ac:dyDescent="0.25">
      <c r="B97" s="14" t="s">
        <v>0</v>
      </c>
      <c r="C97" s="15" t="s">
        <v>1</v>
      </c>
      <c r="D97" s="15" t="s">
        <v>2</v>
      </c>
      <c r="E97" s="15" t="s">
        <v>5</v>
      </c>
      <c r="F97" s="15" t="s">
        <v>3</v>
      </c>
      <c r="G97" s="16" t="s">
        <v>4</v>
      </c>
    </row>
    <row r="98" spans="2:7" x14ac:dyDescent="0.25">
      <c r="B98" s="5">
        <v>30</v>
      </c>
      <c r="C98" s="5">
        <v>5</v>
      </c>
      <c r="D98" s="9" t="s">
        <v>222</v>
      </c>
      <c r="E98" s="9" t="s">
        <v>223</v>
      </c>
      <c r="F98" s="9">
        <v>1</v>
      </c>
      <c r="G98" s="6">
        <f t="shared" ref="G98:G106" si="6">SUM(B98-C98)</f>
        <v>25</v>
      </c>
    </row>
    <row r="99" spans="2:7" x14ac:dyDescent="0.25">
      <c r="B99" s="5">
        <v>60</v>
      </c>
      <c r="C99" s="5">
        <v>30</v>
      </c>
      <c r="D99" s="9" t="s">
        <v>38</v>
      </c>
      <c r="E99" s="9" t="s">
        <v>224</v>
      </c>
      <c r="F99" s="9">
        <v>0</v>
      </c>
      <c r="G99" s="6">
        <f t="shared" si="6"/>
        <v>30</v>
      </c>
    </row>
    <row r="100" spans="2:7" x14ac:dyDescent="0.25">
      <c r="B100" s="5">
        <v>24</v>
      </c>
      <c r="C100" s="5">
        <v>3.2</v>
      </c>
      <c r="D100" s="9" t="s">
        <v>225</v>
      </c>
      <c r="E100" s="9" t="s">
        <v>26</v>
      </c>
      <c r="F100" s="9">
        <v>2</v>
      </c>
      <c r="G100" s="6">
        <f t="shared" si="6"/>
        <v>20.8</v>
      </c>
    </row>
    <row r="101" spans="2:7" x14ac:dyDescent="0.25">
      <c r="B101" s="5">
        <v>60</v>
      </c>
      <c r="C101" s="5">
        <v>30</v>
      </c>
      <c r="D101" s="9" t="s">
        <v>38</v>
      </c>
      <c r="E101" s="9" t="s">
        <v>39</v>
      </c>
      <c r="F101" s="9">
        <v>0</v>
      </c>
      <c r="G101" s="6">
        <f t="shared" si="6"/>
        <v>30</v>
      </c>
    </row>
    <row r="102" spans="2:7" x14ac:dyDescent="0.25">
      <c r="B102" s="5">
        <v>12</v>
      </c>
      <c r="C102" s="5">
        <v>1.6</v>
      </c>
      <c r="D102" s="9" t="s">
        <v>226</v>
      </c>
      <c r="E102" s="9" t="s">
        <v>26</v>
      </c>
      <c r="F102" s="9">
        <v>1</v>
      </c>
      <c r="G102" s="6">
        <f t="shared" si="6"/>
        <v>10.4</v>
      </c>
    </row>
    <row r="103" spans="2:7" x14ac:dyDescent="0.25">
      <c r="B103" s="5">
        <v>50</v>
      </c>
      <c r="C103" s="5">
        <v>10</v>
      </c>
      <c r="D103" s="9" t="s">
        <v>70</v>
      </c>
      <c r="E103" s="9" t="s">
        <v>227</v>
      </c>
      <c r="F103" s="9">
        <v>2</v>
      </c>
      <c r="G103" s="6">
        <f t="shared" si="6"/>
        <v>40</v>
      </c>
    </row>
    <row r="104" spans="2:7" x14ac:dyDescent="0.25">
      <c r="B104" s="5">
        <v>195</v>
      </c>
      <c r="C104" s="5">
        <v>90</v>
      </c>
      <c r="D104" s="9" t="s">
        <v>70</v>
      </c>
      <c r="E104" s="9" t="s">
        <v>228</v>
      </c>
      <c r="F104" s="9" t="s">
        <v>25</v>
      </c>
      <c r="G104" s="6">
        <f t="shared" si="6"/>
        <v>105</v>
      </c>
    </row>
    <row r="105" spans="2:7" x14ac:dyDescent="0.25">
      <c r="B105" s="5">
        <v>80</v>
      </c>
      <c r="C105" s="5">
        <v>0</v>
      </c>
      <c r="D105" s="9" t="s">
        <v>70</v>
      </c>
      <c r="E105" s="9" t="s">
        <v>230</v>
      </c>
      <c r="F105" s="9">
        <v>0</v>
      </c>
      <c r="G105" s="6">
        <f t="shared" si="6"/>
        <v>80</v>
      </c>
    </row>
    <row r="106" spans="2:7" x14ac:dyDescent="0.25">
      <c r="B106" s="5">
        <v>0</v>
      </c>
      <c r="C106" s="1">
        <v>0</v>
      </c>
      <c r="D106" s="9" t="s">
        <v>25</v>
      </c>
      <c r="E106" s="9" t="s">
        <v>25</v>
      </c>
      <c r="F106" s="9" t="s">
        <v>25</v>
      </c>
      <c r="G106" s="6">
        <f t="shared" si="6"/>
        <v>0</v>
      </c>
    </row>
    <row r="107" spans="2:7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ref="G107:G121" si="7">SUM(B107-C107)</f>
        <v>0</v>
      </c>
    </row>
    <row r="108" spans="2:7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7"/>
        <v>0</v>
      </c>
    </row>
    <row r="109" spans="2:7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7"/>
        <v>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7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7">
        <v>0</v>
      </c>
      <c r="C120" s="8">
        <v>0</v>
      </c>
      <c r="D120" s="9" t="s">
        <v>25</v>
      </c>
      <c r="E120" s="9" t="s">
        <v>25</v>
      </c>
      <c r="F120" s="9" t="s">
        <v>25</v>
      </c>
      <c r="G120" s="10">
        <f t="shared" si="7"/>
        <v>0</v>
      </c>
    </row>
    <row r="121" spans="2:7" x14ac:dyDescent="0.25">
      <c r="B121" s="7">
        <v>0</v>
      </c>
      <c r="C121" s="8">
        <v>0</v>
      </c>
      <c r="D121" s="9"/>
      <c r="E121" s="9"/>
      <c r="F121" s="9"/>
      <c r="G121" s="10">
        <f t="shared" si="7"/>
        <v>0</v>
      </c>
    </row>
    <row r="122" spans="2:7" x14ac:dyDescent="0.25">
      <c r="B122" s="34" t="s">
        <v>6</v>
      </c>
      <c r="C122" s="34"/>
      <c r="D122" s="4"/>
      <c r="E122" s="4"/>
      <c r="F122" s="4"/>
      <c r="G122" s="2"/>
    </row>
    <row r="123" spans="2:7" x14ac:dyDescent="0.25">
      <c r="B123" s="12" t="s">
        <v>0</v>
      </c>
      <c r="C123" s="12">
        <f>SUM(Tabela4820[Valor Bruto])</f>
        <v>511</v>
      </c>
      <c r="D123" s="4"/>
      <c r="E123" s="4"/>
      <c r="F123" s="4"/>
      <c r="G123" s="2"/>
    </row>
    <row r="124" spans="2:7" x14ac:dyDescent="0.25">
      <c r="B124" s="13" t="s">
        <v>7</v>
      </c>
      <c r="C124" s="12">
        <f>SUM(Tabela4820[Valor despesa])</f>
        <v>169.8</v>
      </c>
      <c r="D124" s="4"/>
      <c r="E124" s="4"/>
      <c r="F124" s="4"/>
      <c r="G124" s="2"/>
    </row>
    <row r="125" spans="2:7" x14ac:dyDescent="0.25">
      <c r="B125" s="12" t="s">
        <v>8</v>
      </c>
      <c r="C125" s="12">
        <f>SUM(C123-C124)</f>
        <v>341.2</v>
      </c>
      <c r="D125" s="4"/>
      <c r="E125" s="4"/>
      <c r="F125" s="4"/>
      <c r="G125" s="2"/>
    </row>
    <row r="126" spans="2:7" x14ac:dyDescent="0.25">
      <c r="D126" s="4"/>
      <c r="E126" s="4"/>
      <c r="F126" s="4"/>
      <c r="G126" s="2"/>
    </row>
    <row r="127" spans="2:7" ht="15.75" x14ac:dyDescent="0.25">
      <c r="B127" s="31" t="s">
        <v>229</v>
      </c>
      <c r="C127" s="32"/>
      <c r="D127" s="32"/>
      <c r="E127" s="32"/>
      <c r="F127" s="32"/>
      <c r="G127" s="33"/>
    </row>
    <row r="128" spans="2:7" ht="15.75" x14ac:dyDescent="0.25">
      <c r="B128" s="14" t="s">
        <v>0</v>
      </c>
      <c r="C128" s="15" t="s">
        <v>1</v>
      </c>
      <c r="D128" s="15" t="s">
        <v>2</v>
      </c>
      <c r="E128" s="15" t="s">
        <v>5</v>
      </c>
      <c r="F128" s="15" t="s">
        <v>3</v>
      </c>
      <c r="G128" s="16" t="s">
        <v>4</v>
      </c>
    </row>
    <row r="129" spans="2:7" x14ac:dyDescent="0.25">
      <c r="B129" s="5">
        <v>20</v>
      </c>
      <c r="C129" s="5">
        <v>5</v>
      </c>
      <c r="D129" s="9" t="s">
        <v>231</v>
      </c>
      <c r="E129" s="9" t="s">
        <v>232</v>
      </c>
      <c r="F129" s="9">
        <v>1</v>
      </c>
      <c r="G129" s="6">
        <f t="shared" ref="G129:G137" si="8">SUM(B129-C129)</f>
        <v>15</v>
      </c>
    </row>
    <row r="130" spans="2:7" x14ac:dyDescent="0.25">
      <c r="B130" s="5">
        <v>12</v>
      </c>
      <c r="C130" s="5">
        <v>1.6</v>
      </c>
      <c r="D130" s="9" t="s">
        <v>233</v>
      </c>
      <c r="E130" s="9" t="s">
        <v>234</v>
      </c>
      <c r="F130" s="9">
        <v>1</v>
      </c>
      <c r="G130" s="6">
        <f t="shared" si="8"/>
        <v>10.4</v>
      </c>
    </row>
    <row r="131" spans="2:7" x14ac:dyDescent="0.25">
      <c r="B131" s="5">
        <v>84</v>
      </c>
      <c r="C131" s="5">
        <f>SUM(3.2+30)</f>
        <v>33.200000000000003</v>
      </c>
      <c r="D131" s="9" t="s">
        <v>236</v>
      </c>
      <c r="E131" s="9" t="s">
        <v>235</v>
      </c>
      <c r="F131" s="9">
        <v>2</v>
      </c>
      <c r="G131" s="6">
        <f t="shared" si="8"/>
        <v>50.8</v>
      </c>
    </row>
    <row r="132" spans="2:7" x14ac:dyDescent="0.25">
      <c r="B132" s="5">
        <v>30</v>
      </c>
      <c r="C132" s="5">
        <v>5</v>
      </c>
      <c r="D132" s="9" t="s">
        <v>107</v>
      </c>
      <c r="E132" s="9" t="s">
        <v>237</v>
      </c>
      <c r="F132" s="9">
        <v>1</v>
      </c>
      <c r="G132" s="6">
        <f t="shared" si="8"/>
        <v>25</v>
      </c>
    </row>
    <row r="133" spans="2:7" x14ac:dyDescent="0.25">
      <c r="B133" s="5">
        <v>12</v>
      </c>
      <c r="C133" s="5">
        <v>1.6</v>
      </c>
      <c r="D133" s="9" t="s">
        <v>35</v>
      </c>
      <c r="E133" s="9" t="s">
        <v>238</v>
      </c>
      <c r="F133" s="9">
        <v>1</v>
      </c>
      <c r="G133" s="6">
        <f t="shared" si="8"/>
        <v>10.4</v>
      </c>
    </row>
    <row r="134" spans="2:7" x14ac:dyDescent="0.25">
      <c r="B134" s="5">
        <v>12</v>
      </c>
      <c r="C134" s="5">
        <v>1.6</v>
      </c>
      <c r="D134" s="9" t="s">
        <v>102</v>
      </c>
      <c r="E134" s="9" t="s">
        <v>239</v>
      </c>
      <c r="F134" s="9">
        <v>1</v>
      </c>
      <c r="G134" s="6">
        <f t="shared" si="8"/>
        <v>10.4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8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8"/>
        <v>0</v>
      </c>
    </row>
    <row r="137" spans="2:7" x14ac:dyDescent="0.25">
      <c r="B137" s="5">
        <v>0</v>
      </c>
      <c r="C137" s="1">
        <v>0</v>
      </c>
      <c r="D137" s="9" t="s">
        <v>25</v>
      </c>
      <c r="E137" s="9" t="s">
        <v>25</v>
      </c>
      <c r="F137" s="9" t="s">
        <v>25</v>
      </c>
      <c r="G137" s="6">
        <f t="shared" si="8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ref="G138:G152" si="9">SUM(B138-C138)</f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9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9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9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1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7">
        <v>0</v>
      </c>
      <c r="C151" s="8">
        <v>0</v>
      </c>
      <c r="D151" s="9" t="s">
        <v>25</v>
      </c>
      <c r="E151" s="9" t="s">
        <v>25</v>
      </c>
      <c r="F151" s="9" t="s">
        <v>25</v>
      </c>
      <c r="G151" s="10">
        <f t="shared" si="9"/>
        <v>0</v>
      </c>
    </row>
    <row r="152" spans="2:7" x14ac:dyDescent="0.25">
      <c r="B152" s="7">
        <v>0</v>
      </c>
      <c r="C152" s="8">
        <v>0</v>
      </c>
      <c r="D152" s="9"/>
      <c r="E152" s="9"/>
      <c r="F152" s="9"/>
      <c r="G152" s="10">
        <f t="shared" si="9"/>
        <v>0</v>
      </c>
    </row>
    <row r="153" spans="2:7" x14ac:dyDescent="0.25">
      <c r="B153" s="34" t="s">
        <v>6</v>
      </c>
      <c r="C153" s="34"/>
      <c r="D153" s="4"/>
      <c r="E153" s="4"/>
      <c r="F153" s="4"/>
      <c r="G153" s="2"/>
    </row>
    <row r="154" spans="2:7" x14ac:dyDescent="0.25">
      <c r="B154" s="12" t="s">
        <v>0</v>
      </c>
      <c r="C154" s="12">
        <f>SUM(Tabela4921[Valor Bruto])</f>
        <v>170</v>
      </c>
      <c r="D154" s="4"/>
      <c r="E154" s="4"/>
      <c r="F154" s="4"/>
      <c r="G154" s="2"/>
    </row>
    <row r="155" spans="2:7" x14ac:dyDescent="0.25">
      <c r="B155" s="13" t="s">
        <v>7</v>
      </c>
      <c r="C155" s="13">
        <f>SUM(Tabela4921[Valor despesa])</f>
        <v>48.000000000000007</v>
      </c>
      <c r="D155" s="4"/>
      <c r="E155" s="4"/>
      <c r="F155" s="4"/>
      <c r="G155" s="2"/>
    </row>
    <row r="156" spans="2:7" x14ac:dyDescent="0.25">
      <c r="B156" s="12" t="s">
        <v>8</v>
      </c>
      <c r="C156" s="12">
        <f>SUM(C154-C155)</f>
        <v>122</v>
      </c>
      <c r="D156" s="4"/>
      <c r="E156" s="4"/>
      <c r="F156" s="4"/>
      <c r="G156" s="2"/>
    </row>
    <row r="157" spans="2:7" x14ac:dyDescent="0.25">
      <c r="D157" s="4"/>
      <c r="E157" s="4"/>
      <c r="F157" s="4"/>
      <c r="G157" s="2"/>
    </row>
    <row r="158" spans="2:7" ht="15.75" x14ac:dyDescent="0.25">
      <c r="B158" s="31" t="s">
        <v>240</v>
      </c>
      <c r="C158" s="32"/>
      <c r="D158" s="32"/>
      <c r="E158" s="32"/>
      <c r="F158" s="32"/>
      <c r="G158" s="33"/>
    </row>
    <row r="159" spans="2:7" ht="15.75" x14ac:dyDescent="0.25">
      <c r="B159" s="14" t="s">
        <v>0</v>
      </c>
      <c r="C159" s="15" t="s">
        <v>1</v>
      </c>
      <c r="D159" s="15" t="s">
        <v>2</v>
      </c>
      <c r="E159" s="15" t="s">
        <v>5</v>
      </c>
      <c r="F159" s="15" t="s">
        <v>3</v>
      </c>
      <c r="G159" s="16" t="s">
        <v>4</v>
      </c>
    </row>
    <row r="160" spans="2:7" x14ac:dyDescent="0.25">
      <c r="B160" s="5">
        <v>72</v>
      </c>
      <c r="C160" s="5">
        <f>SUM(35+1.6)</f>
        <v>36.6</v>
      </c>
      <c r="D160" s="9" t="s">
        <v>241</v>
      </c>
      <c r="E160" s="9" t="s">
        <v>242</v>
      </c>
      <c r="F160" s="9">
        <v>1</v>
      </c>
      <c r="G160" s="6">
        <f t="shared" ref="G160:G168" si="10">SUM(B160-C160)</f>
        <v>35.4</v>
      </c>
    </row>
    <row r="161" spans="2:7" x14ac:dyDescent="0.25">
      <c r="B161" s="5">
        <v>24</v>
      </c>
      <c r="C161" s="5">
        <v>3.2</v>
      </c>
      <c r="D161" s="9" t="s">
        <v>243</v>
      </c>
      <c r="E161" s="9" t="s">
        <v>53</v>
      </c>
      <c r="F161" s="9">
        <v>2</v>
      </c>
      <c r="G161" s="6">
        <f t="shared" si="10"/>
        <v>20.8</v>
      </c>
    </row>
    <row r="162" spans="2:7" x14ac:dyDescent="0.25">
      <c r="B162" s="5">
        <v>24</v>
      </c>
      <c r="C162" s="5">
        <v>3.2</v>
      </c>
      <c r="D162" s="9" t="s">
        <v>244</v>
      </c>
      <c r="E162" s="9" t="s">
        <v>53</v>
      </c>
      <c r="F162" s="9">
        <v>2</v>
      </c>
      <c r="G162" s="6">
        <f t="shared" si="10"/>
        <v>20.8</v>
      </c>
    </row>
    <row r="163" spans="2:7" x14ac:dyDescent="0.25">
      <c r="B163" s="5">
        <v>36</v>
      </c>
      <c r="C163" s="5">
        <f>SUM(3*1.6)</f>
        <v>4.8000000000000007</v>
      </c>
      <c r="D163" s="9" t="s">
        <v>245</v>
      </c>
      <c r="E163" s="9" t="s">
        <v>64</v>
      </c>
      <c r="F163" s="9">
        <v>3</v>
      </c>
      <c r="G163" s="6">
        <f t="shared" si="10"/>
        <v>31.2</v>
      </c>
    </row>
    <row r="164" spans="2:7" x14ac:dyDescent="0.25">
      <c r="B164" s="5">
        <v>30</v>
      </c>
      <c r="C164" s="5">
        <v>5</v>
      </c>
      <c r="D164" s="9" t="s">
        <v>246</v>
      </c>
      <c r="E164" s="9" t="s">
        <v>247</v>
      </c>
      <c r="F164" s="9">
        <v>1</v>
      </c>
      <c r="G164" s="6">
        <f t="shared" si="10"/>
        <v>25</v>
      </c>
    </row>
    <row r="165" spans="2:7" x14ac:dyDescent="0.25">
      <c r="B165" s="5">
        <v>12</v>
      </c>
      <c r="C165" s="5">
        <v>1.6</v>
      </c>
      <c r="D165" s="9" t="s">
        <v>116</v>
      </c>
      <c r="E165" s="9" t="s">
        <v>26</v>
      </c>
      <c r="F165" s="9">
        <v>1</v>
      </c>
      <c r="G165" s="6">
        <f t="shared" si="10"/>
        <v>10.4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1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ref="G169:G183" si="11">SUM(B169-C169)</f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1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1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1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1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7">
        <v>0</v>
      </c>
      <c r="C182" s="8">
        <v>0</v>
      </c>
      <c r="D182" s="9" t="s">
        <v>25</v>
      </c>
      <c r="E182" s="9" t="s">
        <v>25</v>
      </c>
      <c r="F182" s="9" t="s">
        <v>25</v>
      </c>
      <c r="G182" s="10">
        <f t="shared" si="11"/>
        <v>0</v>
      </c>
    </row>
    <row r="183" spans="2:7" x14ac:dyDescent="0.25">
      <c r="B183" s="7">
        <v>0</v>
      </c>
      <c r="C183" s="8">
        <v>0</v>
      </c>
      <c r="D183" s="9"/>
      <c r="E183" s="9"/>
      <c r="F183" s="9"/>
      <c r="G183" s="10">
        <f t="shared" si="11"/>
        <v>0</v>
      </c>
    </row>
    <row r="184" spans="2:7" x14ac:dyDescent="0.25">
      <c r="B184" s="34" t="s">
        <v>6</v>
      </c>
      <c r="C184" s="34"/>
      <c r="D184" s="4"/>
      <c r="E184" s="4"/>
      <c r="F184" s="4"/>
      <c r="G184" s="2"/>
    </row>
    <row r="185" spans="2:7" x14ac:dyDescent="0.25">
      <c r="B185" s="12" t="s">
        <v>0</v>
      </c>
      <c r="C185" s="12">
        <f>SUM(Tabela41022[Valor Bruto])</f>
        <v>198</v>
      </c>
      <c r="D185" s="4"/>
      <c r="E185" s="4"/>
      <c r="F185" s="4"/>
      <c r="G185" s="2"/>
    </row>
    <row r="186" spans="2:7" x14ac:dyDescent="0.25">
      <c r="B186" s="13" t="s">
        <v>7</v>
      </c>
      <c r="C186" s="13">
        <f>SUM(Tabela41022[Valor despesa])</f>
        <v>54.400000000000013</v>
      </c>
      <c r="D186" s="4"/>
      <c r="E186" s="4"/>
      <c r="F186" s="4"/>
      <c r="G186" s="2"/>
    </row>
    <row r="187" spans="2:7" x14ac:dyDescent="0.25">
      <c r="B187" s="12" t="s">
        <v>8</v>
      </c>
      <c r="C187" s="12">
        <f>SUM(C185-C186)</f>
        <v>143.6</v>
      </c>
      <c r="D187" s="4"/>
      <c r="E187" s="4"/>
      <c r="F187" s="4"/>
      <c r="G187" s="2"/>
    </row>
  </sheetData>
  <mergeCells count="13">
    <mergeCell ref="B184:C184"/>
    <mergeCell ref="B91:C91"/>
    <mergeCell ref="B96:G96"/>
    <mergeCell ref="B122:C122"/>
    <mergeCell ref="B127:G127"/>
    <mergeCell ref="B153:C153"/>
    <mergeCell ref="B158:G158"/>
    <mergeCell ref="B65:G65"/>
    <mergeCell ref="B2:G2"/>
    <mergeCell ref="I2:K2"/>
    <mergeCell ref="B29:C29"/>
    <mergeCell ref="B34:G34"/>
    <mergeCell ref="B60:C60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90"/>
  <sheetViews>
    <sheetView topLeftCell="A63" zoomScaleNormal="100" workbookViewId="0">
      <selection activeCell="B79" sqref="B79"/>
    </sheetView>
  </sheetViews>
  <sheetFormatPr defaultRowHeight="15" x14ac:dyDescent="0.25"/>
  <cols>
    <col min="1" max="1" width="2.7109375" customWidth="1"/>
    <col min="2" max="2" width="18.85546875" customWidth="1"/>
    <col min="3" max="3" width="18.7109375" customWidth="1"/>
    <col min="4" max="4" width="33.42578125" bestFit="1" customWidth="1"/>
    <col min="5" max="5" width="41.28515625" bestFit="1" customWidth="1"/>
    <col min="6" max="6" width="17.140625" bestFit="1" customWidth="1"/>
    <col min="7" max="7" width="17.85546875" customWidth="1"/>
    <col min="8" max="8" width="3.5703125" customWidth="1"/>
    <col min="9" max="9" width="13.140625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1" t="s">
        <v>248</v>
      </c>
      <c r="C2" s="32"/>
      <c r="D2" s="32"/>
      <c r="E2" s="32"/>
      <c r="F2" s="32"/>
      <c r="G2" s="33"/>
      <c r="I2" s="30" t="s">
        <v>10</v>
      </c>
      <c r="J2" s="30"/>
      <c r="K2" s="30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128</v>
      </c>
      <c r="C4" s="5">
        <v>3.2</v>
      </c>
      <c r="D4" s="9" t="s">
        <v>70</v>
      </c>
      <c r="E4" s="9" t="s">
        <v>252</v>
      </c>
      <c r="F4" s="9">
        <v>0</v>
      </c>
      <c r="G4" s="6">
        <f t="shared" ref="G4:G12" si="0">SUM(B4-C4)</f>
        <v>124.8</v>
      </c>
      <c r="I4" s="11">
        <f>SUM(C31,C62,C93,C126,C157,C188)</f>
        <v>3552</v>
      </c>
      <c r="J4" s="11">
        <f>SUM(C94,C127,C158,C189,C63,C32)</f>
        <v>837.4</v>
      </c>
      <c r="K4" s="22">
        <f>SUM(C33,C64,C95,C128,C159,C190)</f>
        <v>2714.6</v>
      </c>
    </row>
    <row r="5" spans="2:11" x14ac:dyDescent="0.25">
      <c r="B5" s="5">
        <v>72</v>
      </c>
      <c r="C5" s="5">
        <v>9.6</v>
      </c>
      <c r="D5" s="9" t="s">
        <v>249</v>
      </c>
      <c r="E5" s="9" t="s">
        <v>69</v>
      </c>
      <c r="F5" s="9">
        <v>6</v>
      </c>
      <c r="G5" s="6">
        <f t="shared" si="0"/>
        <v>62.4</v>
      </c>
    </row>
    <row r="6" spans="2:11" x14ac:dyDescent="0.25">
      <c r="B6" s="5">
        <v>20</v>
      </c>
      <c r="C6" s="5">
        <v>5.6</v>
      </c>
      <c r="D6" s="9">
        <v>2032</v>
      </c>
      <c r="E6" s="9" t="s">
        <v>42</v>
      </c>
      <c r="F6" s="9">
        <v>0</v>
      </c>
      <c r="G6" s="6">
        <f t="shared" si="0"/>
        <v>14.4</v>
      </c>
    </row>
    <row r="7" spans="2:11" x14ac:dyDescent="0.25">
      <c r="B7" s="5">
        <v>32</v>
      </c>
      <c r="C7" s="5">
        <v>7.2</v>
      </c>
      <c r="D7" s="9" t="s">
        <v>250</v>
      </c>
      <c r="E7" s="9" t="s">
        <v>251</v>
      </c>
      <c r="F7" s="9">
        <v>1</v>
      </c>
      <c r="G7" s="6">
        <f t="shared" si="0"/>
        <v>24.8</v>
      </c>
    </row>
    <row r="8" spans="2:11" x14ac:dyDescent="0.25">
      <c r="B8" s="5">
        <v>200</v>
      </c>
      <c r="C8" s="5">
        <f>SUM(35+6)</f>
        <v>41</v>
      </c>
      <c r="D8" s="9" t="s">
        <v>253</v>
      </c>
      <c r="E8" s="9" t="s">
        <v>254</v>
      </c>
      <c r="F8" s="9">
        <v>0</v>
      </c>
      <c r="G8" s="6">
        <f t="shared" si="0"/>
        <v>159</v>
      </c>
    </row>
    <row r="9" spans="2:11" x14ac:dyDescent="0.25">
      <c r="B9" s="5">
        <f>SUM(8*12)</f>
        <v>96</v>
      </c>
      <c r="C9" s="5">
        <f>SUM(8*1.6)</f>
        <v>12.8</v>
      </c>
      <c r="D9" s="9" t="s">
        <v>257</v>
      </c>
      <c r="E9" s="9" t="s">
        <v>27</v>
      </c>
      <c r="F9" s="9">
        <v>8</v>
      </c>
      <c r="G9" s="6">
        <f t="shared" si="0"/>
        <v>83.2</v>
      </c>
    </row>
    <row r="10" spans="2:11" x14ac:dyDescent="0.25">
      <c r="B10" s="5">
        <v>45</v>
      </c>
      <c r="C10" s="5">
        <v>12</v>
      </c>
      <c r="D10" s="9" t="s">
        <v>258</v>
      </c>
      <c r="E10" s="9" t="s">
        <v>224</v>
      </c>
      <c r="F10" s="9">
        <v>0</v>
      </c>
      <c r="G10" s="6">
        <f t="shared" si="0"/>
        <v>33</v>
      </c>
    </row>
    <row r="11" spans="2:11" x14ac:dyDescent="0.25">
      <c r="B11" s="5">
        <v>20</v>
      </c>
      <c r="C11" s="5">
        <v>5.6</v>
      </c>
      <c r="D11" s="9" t="s">
        <v>259</v>
      </c>
      <c r="E11" s="9" t="s">
        <v>42</v>
      </c>
      <c r="F11" s="9">
        <v>0</v>
      </c>
      <c r="G11" s="6">
        <f t="shared" si="0"/>
        <v>14.4</v>
      </c>
    </row>
    <row r="12" spans="2:11" x14ac:dyDescent="0.25">
      <c r="B12" s="5"/>
      <c r="C12" s="1"/>
      <c r="D12" s="9"/>
      <c r="E12" s="9"/>
      <c r="F12" s="9"/>
      <c r="G12" s="6">
        <f t="shared" si="0"/>
        <v>0</v>
      </c>
    </row>
    <row r="13" spans="2:11" x14ac:dyDescent="0.25">
      <c r="B13" s="5">
        <v>0</v>
      </c>
      <c r="C13" s="5">
        <v>0</v>
      </c>
      <c r="D13" s="9" t="s">
        <v>25</v>
      </c>
      <c r="E13" s="9" t="s">
        <v>25</v>
      </c>
      <c r="F13" s="9" t="s">
        <v>25</v>
      </c>
      <c r="G13" s="6">
        <f t="shared" ref="G13:G27" si="1">SUM(B13-C13)</f>
        <v>0</v>
      </c>
    </row>
    <row r="14" spans="2:11" x14ac:dyDescent="0.25">
      <c r="B14" s="5">
        <v>0</v>
      </c>
      <c r="C14" s="5">
        <v>0</v>
      </c>
      <c r="D14" s="9" t="s">
        <v>25</v>
      </c>
      <c r="E14" s="9" t="s">
        <v>25</v>
      </c>
      <c r="F14" s="9" t="s">
        <v>25</v>
      </c>
      <c r="G14" s="6">
        <f t="shared" si="1"/>
        <v>0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1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1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1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B28" s="25">
        <v>0</v>
      </c>
      <c r="C28" s="24">
        <v>0</v>
      </c>
      <c r="D28" s="3" t="s">
        <v>25</v>
      </c>
      <c r="E28" s="3" t="s">
        <v>25</v>
      </c>
      <c r="F28" s="3" t="s">
        <v>25</v>
      </c>
      <c r="G28" s="26">
        <f>SUM(B28-C28)</f>
        <v>0</v>
      </c>
    </row>
    <row r="29" spans="2:7" x14ac:dyDescent="0.25">
      <c r="D29" s="4"/>
      <c r="E29" s="4"/>
      <c r="F29" s="4"/>
      <c r="G29" s="2"/>
    </row>
    <row r="30" spans="2:7" x14ac:dyDescent="0.25">
      <c r="B30" s="34" t="s">
        <v>6</v>
      </c>
      <c r="C30" s="34"/>
      <c r="D30" s="4"/>
      <c r="E30" s="4"/>
      <c r="F30" s="4"/>
      <c r="G30" s="2"/>
    </row>
    <row r="31" spans="2:7" x14ac:dyDescent="0.25">
      <c r="B31" s="12" t="s">
        <v>0</v>
      </c>
      <c r="C31" s="24">
        <f>SUM(B4:B28)</f>
        <v>613</v>
      </c>
      <c r="D31" s="4"/>
      <c r="E31" s="4"/>
      <c r="F31" s="4"/>
      <c r="G31" s="2"/>
    </row>
    <row r="32" spans="2:7" x14ac:dyDescent="0.25">
      <c r="B32" s="13" t="s">
        <v>7</v>
      </c>
      <c r="C32" s="24">
        <f>SUM(C4:C28)</f>
        <v>96.999999999999986</v>
      </c>
      <c r="D32" s="4"/>
      <c r="E32" s="4"/>
      <c r="F32" s="4"/>
      <c r="G32" s="2"/>
    </row>
    <row r="33" spans="2:7" x14ac:dyDescent="0.25">
      <c r="B33" s="12" t="s">
        <v>8</v>
      </c>
      <c r="C33" s="12">
        <f>SUM(C31-C32)</f>
        <v>516</v>
      </c>
      <c r="D33" s="4"/>
      <c r="E33" s="4"/>
      <c r="F33" s="4"/>
      <c r="G33" s="2"/>
    </row>
    <row r="34" spans="2:7" x14ac:dyDescent="0.25">
      <c r="D34" s="4"/>
      <c r="E34" s="4"/>
      <c r="F34" s="4"/>
      <c r="G34" s="2"/>
    </row>
    <row r="35" spans="2:7" ht="15.75" x14ac:dyDescent="0.25">
      <c r="B35" s="31" t="s">
        <v>260</v>
      </c>
      <c r="C35" s="32"/>
      <c r="D35" s="32"/>
      <c r="E35" s="32"/>
      <c r="F35" s="32"/>
      <c r="G35" s="33"/>
    </row>
    <row r="36" spans="2:7" ht="15.75" x14ac:dyDescent="0.25">
      <c r="B36" s="14" t="s">
        <v>0</v>
      </c>
      <c r="C36" s="15" t="s">
        <v>1</v>
      </c>
      <c r="D36" s="15" t="s">
        <v>2</v>
      </c>
      <c r="E36" s="15" t="s">
        <v>5</v>
      </c>
      <c r="F36" s="15" t="s">
        <v>3</v>
      </c>
      <c r="G36" s="16" t="s">
        <v>4</v>
      </c>
    </row>
    <row r="37" spans="2:7" x14ac:dyDescent="0.25">
      <c r="B37" s="5">
        <v>12</v>
      </c>
      <c r="C37" s="5">
        <v>1.6</v>
      </c>
      <c r="D37" s="9" t="s">
        <v>102</v>
      </c>
      <c r="E37" s="9" t="s">
        <v>63</v>
      </c>
      <c r="F37" s="9">
        <v>1</v>
      </c>
      <c r="G37" s="6">
        <f t="shared" ref="G37:G45" si="2">SUM(B37-C37)</f>
        <v>10.4</v>
      </c>
    </row>
    <row r="38" spans="2:7" x14ac:dyDescent="0.25">
      <c r="B38" s="5">
        <v>24</v>
      </c>
      <c r="C38" s="5">
        <v>3.2</v>
      </c>
      <c r="D38" s="9" t="s">
        <v>261</v>
      </c>
      <c r="E38" s="9" t="s">
        <v>63</v>
      </c>
      <c r="F38" s="9">
        <v>2</v>
      </c>
      <c r="G38" s="6">
        <f t="shared" si="2"/>
        <v>20.8</v>
      </c>
    </row>
    <row r="39" spans="2:7" x14ac:dyDescent="0.25">
      <c r="B39" s="5">
        <v>24</v>
      </c>
      <c r="C39" s="5">
        <v>3.2</v>
      </c>
      <c r="D39" s="9" t="s">
        <v>262</v>
      </c>
      <c r="E39" s="9" t="s">
        <v>63</v>
      </c>
      <c r="F39" s="9">
        <v>2</v>
      </c>
      <c r="G39" s="6">
        <f t="shared" si="2"/>
        <v>20.8</v>
      </c>
    </row>
    <row r="40" spans="2:7" x14ac:dyDescent="0.25">
      <c r="B40" s="5">
        <v>245</v>
      </c>
      <c r="C40" s="5">
        <v>97</v>
      </c>
      <c r="D40" s="9" t="s">
        <v>263</v>
      </c>
      <c r="E40" s="9" t="s">
        <v>264</v>
      </c>
      <c r="F40" s="9">
        <v>2</v>
      </c>
      <c r="G40" s="6">
        <f t="shared" si="2"/>
        <v>148</v>
      </c>
    </row>
    <row r="41" spans="2:7" x14ac:dyDescent="0.25">
      <c r="B41" s="5">
        <v>12</v>
      </c>
      <c r="C41" s="5">
        <v>1.6</v>
      </c>
      <c r="D41" s="9" t="s">
        <v>265</v>
      </c>
      <c r="E41" s="9" t="s">
        <v>63</v>
      </c>
      <c r="F41" s="9">
        <v>1</v>
      </c>
      <c r="G41" s="6">
        <f t="shared" si="2"/>
        <v>10.4</v>
      </c>
    </row>
    <row r="42" spans="2:7" x14ac:dyDescent="0.25">
      <c r="B42" s="5">
        <v>142</v>
      </c>
      <c r="C42" s="5">
        <v>51.6</v>
      </c>
      <c r="D42" s="9" t="s">
        <v>70</v>
      </c>
      <c r="E42" s="9" t="s">
        <v>270</v>
      </c>
      <c r="F42" s="9">
        <v>1</v>
      </c>
      <c r="G42" s="6">
        <f t="shared" si="2"/>
        <v>90.4</v>
      </c>
    </row>
    <row r="43" spans="2:7" x14ac:dyDescent="0.25">
      <c r="B43" s="5">
        <v>150</v>
      </c>
      <c r="C43" s="5">
        <v>30</v>
      </c>
      <c r="D43" s="9" t="s">
        <v>267</v>
      </c>
      <c r="E43" s="9" t="s">
        <v>266</v>
      </c>
      <c r="F43" s="9">
        <v>0</v>
      </c>
      <c r="G43" s="6">
        <f t="shared" si="2"/>
        <v>120</v>
      </c>
    </row>
    <row r="44" spans="2:7" x14ac:dyDescent="0.25">
      <c r="B44" s="5">
        <v>66</v>
      </c>
      <c r="C44" s="5">
        <v>9.8000000000000007</v>
      </c>
      <c r="D44" s="9" t="s">
        <v>268</v>
      </c>
      <c r="E44" s="9" t="s">
        <v>269</v>
      </c>
      <c r="F44" s="9">
        <v>4</v>
      </c>
      <c r="G44" s="6">
        <f t="shared" si="2"/>
        <v>56.2</v>
      </c>
    </row>
    <row r="45" spans="2:7" x14ac:dyDescent="0.25">
      <c r="B45" s="5">
        <v>20</v>
      </c>
      <c r="C45" s="1">
        <v>5.6</v>
      </c>
      <c r="D45" s="9">
        <v>2032</v>
      </c>
      <c r="E45" s="9" t="s">
        <v>127</v>
      </c>
      <c r="F45" s="9">
        <v>1</v>
      </c>
      <c r="G45" s="6">
        <f t="shared" si="2"/>
        <v>14.4</v>
      </c>
    </row>
    <row r="46" spans="2:7" x14ac:dyDescent="0.25">
      <c r="B46" s="5"/>
      <c r="C46" s="5"/>
      <c r="D46" s="9"/>
      <c r="E46" s="9"/>
      <c r="F46" s="9"/>
      <c r="G46" s="6">
        <f t="shared" ref="G46:G60" si="3">SUM(B46-C46)</f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3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5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5">
        <v>0</v>
      </c>
      <c r="C58" s="1">
        <v>0</v>
      </c>
      <c r="D58" s="9" t="s">
        <v>25</v>
      </c>
      <c r="E58" s="9" t="s">
        <v>25</v>
      </c>
      <c r="F58" s="9" t="s">
        <v>25</v>
      </c>
      <c r="G58" s="6">
        <f t="shared" si="3"/>
        <v>0</v>
      </c>
    </row>
    <row r="59" spans="2:7" x14ac:dyDescent="0.25">
      <c r="B59" s="7">
        <v>0</v>
      </c>
      <c r="C59" s="8">
        <v>0</v>
      </c>
      <c r="D59" s="9" t="s">
        <v>25</v>
      </c>
      <c r="E59" s="9" t="s">
        <v>25</v>
      </c>
      <c r="F59" s="9" t="s">
        <v>25</v>
      </c>
      <c r="G59" s="10">
        <f t="shared" si="3"/>
        <v>0</v>
      </c>
    </row>
    <row r="60" spans="2:7" x14ac:dyDescent="0.25">
      <c r="B60" s="7">
        <v>0</v>
      </c>
      <c r="C60" s="8">
        <v>0</v>
      </c>
      <c r="D60" s="9"/>
      <c r="E60" s="9"/>
      <c r="F60" s="9"/>
      <c r="G60" s="10">
        <f t="shared" si="3"/>
        <v>0</v>
      </c>
    </row>
    <row r="61" spans="2:7" x14ac:dyDescent="0.25">
      <c r="B61" s="34" t="s">
        <v>6</v>
      </c>
      <c r="C61" s="34"/>
      <c r="D61" s="4"/>
      <c r="E61" s="4"/>
      <c r="F61" s="4"/>
      <c r="G61" s="2"/>
    </row>
    <row r="62" spans="2:7" x14ac:dyDescent="0.25">
      <c r="B62" s="12" t="s">
        <v>0</v>
      </c>
      <c r="C62" s="24">
        <f>SUM(B36:B60)</f>
        <v>695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SUM(C36:C60)</f>
        <v>203.6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491.4</v>
      </c>
      <c r="D64" s="4"/>
      <c r="E64" s="4"/>
      <c r="F64" s="4"/>
      <c r="G64" s="2"/>
    </row>
    <row r="65" spans="2:7" x14ac:dyDescent="0.25">
      <c r="D65" s="4"/>
      <c r="E65" s="4"/>
      <c r="F65" s="4"/>
      <c r="G65" s="2"/>
    </row>
    <row r="66" spans="2:7" ht="15.75" x14ac:dyDescent="0.25">
      <c r="B66" s="31">
        <v>44888</v>
      </c>
      <c r="C66" s="32"/>
      <c r="D66" s="32"/>
      <c r="E66" s="32"/>
      <c r="F66" s="32"/>
      <c r="G66" s="33"/>
    </row>
    <row r="67" spans="2:7" ht="15.75" x14ac:dyDescent="0.25">
      <c r="B67" s="14" t="s">
        <v>0</v>
      </c>
      <c r="C67" s="15" t="s">
        <v>24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38</v>
      </c>
      <c r="C68" s="5">
        <v>3.2</v>
      </c>
      <c r="D68" s="9" t="s">
        <v>54</v>
      </c>
      <c r="E68" s="9" t="s">
        <v>271</v>
      </c>
      <c r="F68" s="9">
        <v>2</v>
      </c>
      <c r="G68" s="6">
        <f t="shared" ref="G68:G76" si="4">SUM(B68-C68)</f>
        <v>34.799999999999997</v>
      </c>
    </row>
    <row r="69" spans="2:7" x14ac:dyDescent="0.25">
      <c r="B69" s="5">
        <v>60</v>
      </c>
      <c r="C69" s="5">
        <v>30</v>
      </c>
      <c r="D69" s="9" t="s">
        <v>38</v>
      </c>
      <c r="E69" s="9" t="s">
        <v>273</v>
      </c>
      <c r="F69" s="9">
        <v>0</v>
      </c>
      <c r="G69" s="6">
        <f t="shared" si="4"/>
        <v>30</v>
      </c>
    </row>
    <row r="70" spans="2:7" x14ac:dyDescent="0.25">
      <c r="B70" s="5">
        <v>144</v>
      </c>
      <c r="C70" s="5">
        <v>21.2</v>
      </c>
      <c r="D70" s="9" t="s">
        <v>275</v>
      </c>
      <c r="E70" s="9" t="s">
        <v>313</v>
      </c>
      <c r="F70" s="9">
        <v>9</v>
      </c>
      <c r="G70" s="6">
        <f t="shared" si="4"/>
        <v>122.8</v>
      </c>
    </row>
    <row r="71" spans="2:7" x14ac:dyDescent="0.25">
      <c r="B71" s="5">
        <v>90</v>
      </c>
      <c r="C71" s="5">
        <v>18</v>
      </c>
      <c r="D71" s="9" t="s">
        <v>277</v>
      </c>
      <c r="E71" s="9" t="s">
        <v>276</v>
      </c>
      <c r="F71" s="9">
        <v>3</v>
      </c>
      <c r="G71" s="6">
        <f t="shared" si="4"/>
        <v>72</v>
      </c>
    </row>
    <row r="72" spans="2:7" x14ac:dyDescent="0.25">
      <c r="B72" s="5">
        <v>110</v>
      </c>
      <c r="C72" s="5">
        <v>0</v>
      </c>
      <c r="D72" s="9" t="s">
        <v>70</v>
      </c>
      <c r="E72" s="9" t="s">
        <v>274</v>
      </c>
      <c r="F72" s="9">
        <v>0</v>
      </c>
      <c r="G72" s="6">
        <f t="shared" si="4"/>
        <v>110</v>
      </c>
    </row>
    <row r="73" spans="2:7" x14ac:dyDescent="0.25">
      <c r="B73" s="5">
        <v>12</v>
      </c>
      <c r="C73" s="5">
        <v>1.6</v>
      </c>
      <c r="D73" s="9" t="s">
        <v>272</v>
      </c>
      <c r="E73" s="9" t="s">
        <v>73</v>
      </c>
      <c r="F73" s="9">
        <v>1</v>
      </c>
      <c r="G73" s="6">
        <f t="shared" si="4"/>
        <v>10.4</v>
      </c>
    </row>
    <row r="74" spans="2:7" x14ac:dyDescent="0.25">
      <c r="B74" s="5">
        <v>48</v>
      </c>
      <c r="C74" s="5">
        <v>6.4</v>
      </c>
      <c r="D74" s="9" t="s">
        <v>85</v>
      </c>
      <c r="E74" s="9" t="s">
        <v>27</v>
      </c>
      <c r="F74" s="9">
        <v>4</v>
      </c>
      <c r="G74" s="6">
        <f t="shared" si="4"/>
        <v>41.6</v>
      </c>
    </row>
    <row r="75" spans="2:7" x14ac:dyDescent="0.25">
      <c r="B75" s="5">
        <v>12</v>
      </c>
      <c r="C75" s="5">
        <v>1.6</v>
      </c>
      <c r="D75" s="9" t="s">
        <v>90</v>
      </c>
      <c r="E75" s="9" t="s">
        <v>168</v>
      </c>
      <c r="F75" s="9">
        <v>1</v>
      </c>
      <c r="G75" s="6">
        <f t="shared" si="4"/>
        <v>10.4</v>
      </c>
    </row>
    <row r="76" spans="2:7" x14ac:dyDescent="0.25">
      <c r="B76" s="5">
        <v>24</v>
      </c>
      <c r="C76" s="1">
        <v>1.6</v>
      </c>
      <c r="D76" s="9" t="s">
        <v>278</v>
      </c>
      <c r="E76" s="9" t="s">
        <v>26</v>
      </c>
      <c r="F76" s="9">
        <v>2</v>
      </c>
      <c r="G76" s="6">
        <f t="shared" si="4"/>
        <v>22.4</v>
      </c>
    </row>
    <row r="77" spans="2:7" x14ac:dyDescent="0.25">
      <c r="B77" s="5">
        <v>190</v>
      </c>
      <c r="C77" s="5">
        <v>50</v>
      </c>
      <c r="D77" s="9" t="s">
        <v>280</v>
      </c>
      <c r="E77" s="9" t="s">
        <v>279</v>
      </c>
      <c r="F77" s="9">
        <v>0</v>
      </c>
      <c r="G77" s="6">
        <f t="shared" ref="G77:G91" si="5">SUM(B77-C77)</f>
        <v>140</v>
      </c>
    </row>
    <row r="78" spans="2:7" x14ac:dyDescent="0.25">
      <c r="B78" s="5">
        <v>24</v>
      </c>
      <c r="C78" s="5">
        <v>3.2</v>
      </c>
      <c r="D78" s="9" t="s">
        <v>281</v>
      </c>
      <c r="E78" s="9" t="s">
        <v>63</v>
      </c>
      <c r="F78" s="9">
        <v>2</v>
      </c>
      <c r="G78" s="6">
        <f t="shared" si="5"/>
        <v>20.8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5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5"/>
        <v>0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5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5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5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5"/>
        <v>0</v>
      </c>
    </row>
    <row r="85" spans="2:7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5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5"/>
        <v>0</v>
      </c>
    </row>
    <row r="89" spans="2:7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5"/>
        <v>0</v>
      </c>
    </row>
    <row r="90" spans="2:7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5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5"/>
        <v>0</v>
      </c>
    </row>
    <row r="92" spans="2:7" x14ac:dyDescent="0.25">
      <c r="B92" s="34" t="s">
        <v>6</v>
      </c>
      <c r="C92" s="34"/>
      <c r="D92" s="4"/>
      <c r="E92" s="4"/>
      <c r="F92" s="4"/>
      <c r="G92" s="2"/>
    </row>
    <row r="93" spans="2:7" x14ac:dyDescent="0.25">
      <c r="B93" s="12" t="s">
        <v>0</v>
      </c>
      <c r="C93" s="24">
        <f>SUM(B67:B91)</f>
        <v>752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SUM(C67:C91)</f>
        <v>136.79999999999998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615.20000000000005</v>
      </c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x14ac:dyDescent="0.25">
      <c r="D98" s="4"/>
      <c r="E98" s="4"/>
      <c r="F98" s="4"/>
      <c r="G98" s="2"/>
    </row>
    <row r="99" spans="2:7" ht="15.75" x14ac:dyDescent="0.25">
      <c r="B99" s="31" t="s">
        <v>282</v>
      </c>
      <c r="C99" s="32"/>
      <c r="D99" s="32"/>
      <c r="E99" s="32"/>
      <c r="F99" s="32"/>
      <c r="G99" s="33"/>
    </row>
    <row r="100" spans="2:7" ht="15.75" x14ac:dyDescent="0.25">
      <c r="B100" s="14" t="s">
        <v>0</v>
      </c>
      <c r="C100" s="15" t="s">
        <v>1</v>
      </c>
      <c r="D100" s="15" t="s">
        <v>2</v>
      </c>
      <c r="E100" s="15" t="s">
        <v>5</v>
      </c>
      <c r="F100" s="15" t="s">
        <v>3</v>
      </c>
      <c r="G100" s="16" t="s">
        <v>4</v>
      </c>
    </row>
    <row r="101" spans="2:7" x14ac:dyDescent="0.25">
      <c r="B101" s="5">
        <v>36</v>
      </c>
      <c r="C101" s="5">
        <f>SUM(3*1.6)</f>
        <v>4.8000000000000007</v>
      </c>
      <c r="D101" s="9" t="s">
        <v>35</v>
      </c>
      <c r="E101" s="9" t="s">
        <v>283</v>
      </c>
      <c r="F101" s="9">
        <v>3</v>
      </c>
      <c r="G101" s="6">
        <f t="shared" ref="G101:G109" si="6">SUM(B101-C101)</f>
        <v>31.2</v>
      </c>
    </row>
    <row r="102" spans="2:7" x14ac:dyDescent="0.25">
      <c r="B102" s="5">
        <v>60</v>
      </c>
      <c r="C102" s="5">
        <v>12</v>
      </c>
      <c r="D102" s="9" t="s">
        <v>284</v>
      </c>
      <c r="E102" s="9" t="s">
        <v>285</v>
      </c>
      <c r="F102" s="9">
        <v>2</v>
      </c>
      <c r="G102" s="6">
        <f t="shared" si="6"/>
        <v>48</v>
      </c>
    </row>
    <row r="103" spans="2:7" x14ac:dyDescent="0.25">
      <c r="B103" s="5">
        <v>25</v>
      </c>
      <c r="C103" s="5">
        <v>6</v>
      </c>
      <c r="D103" s="9" t="s">
        <v>286</v>
      </c>
      <c r="E103" s="9" t="s">
        <v>287</v>
      </c>
      <c r="F103" s="9">
        <v>1</v>
      </c>
      <c r="G103" s="6">
        <f t="shared" si="6"/>
        <v>19</v>
      </c>
    </row>
    <row r="104" spans="2:7" x14ac:dyDescent="0.25">
      <c r="B104" s="5">
        <v>48</v>
      </c>
      <c r="C104" s="5">
        <v>6.2</v>
      </c>
      <c r="D104" s="9" t="s">
        <v>35</v>
      </c>
      <c r="E104" s="9" t="s">
        <v>285</v>
      </c>
      <c r="F104" s="9">
        <v>4</v>
      </c>
      <c r="G104" s="6">
        <f t="shared" si="6"/>
        <v>41.8</v>
      </c>
    </row>
    <row r="105" spans="2:7" x14ac:dyDescent="0.25">
      <c r="B105" s="5">
        <v>24</v>
      </c>
      <c r="C105" s="5">
        <v>3.2</v>
      </c>
      <c r="D105" s="9" t="s">
        <v>120</v>
      </c>
      <c r="E105" s="9" t="s">
        <v>27</v>
      </c>
      <c r="F105" s="9">
        <v>2</v>
      </c>
      <c r="G105" s="6">
        <f t="shared" si="6"/>
        <v>20.8</v>
      </c>
    </row>
    <row r="106" spans="2:7" x14ac:dyDescent="0.25">
      <c r="B106" s="5">
        <v>80</v>
      </c>
      <c r="C106" s="5">
        <v>0</v>
      </c>
      <c r="D106" s="9" t="s">
        <v>70</v>
      </c>
      <c r="E106" s="9" t="s">
        <v>288</v>
      </c>
      <c r="F106" s="9">
        <v>0</v>
      </c>
      <c r="G106" s="6">
        <f t="shared" si="6"/>
        <v>80</v>
      </c>
    </row>
    <row r="107" spans="2:7" x14ac:dyDescent="0.25">
      <c r="B107" s="5">
        <v>24</v>
      </c>
      <c r="C107" s="5">
        <v>3.2</v>
      </c>
      <c r="D107" s="9" t="s">
        <v>289</v>
      </c>
      <c r="E107" s="9" t="s">
        <v>26</v>
      </c>
      <c r="F107" s="9">
        <v>2</v>
      </c>
      <c r="G107" s="6">
        <f t="shared" si="6"/>
        <v>20.8</v>
      </c>
    </row>
    <row r="108" spans="2:7" x14ac:dyDescent="0.25">
      <c r="B108" s="5">
        <v>24</v>
      </c>
      <c r="C108" s="5">
        <v>3.2</v>
      </c>
      <c r="D108" s="9" t="s">
        <v>290</v>
      </c>
      <c r="E108" s="9" t="s">
        <v>26</v>
      </c>
      <c r="F108" s="9">
        <v>2</v>
      </c>
      <c r="G108" s="6">
        <f t="shared" si="6"/>
        <v>20.8</v>
      </c>
    </row>
    <row r="109" spans="2:7" x14ac:dyDescent="0.25">
      <c r="B109" s="5">
        <v>285</v>
      </c>
      <c r="C109" s="1">
        <v>185</v>
      </c>
      <c r="D109" s="9" t="s">
        <v>70</v>
      </c>
      <c r="E109" s="9" t="s">
        <v>291</v>
      </c>
      <c r="F109" s="9">
        <v>0</v>
      </c>
      <c r="G109" s="6">
        <f t="shared" si="6"/>
        <v>100</v>
      </c>
    </row>
    <row r="110" spans="2:7" x14ac:dyDescent="0.25">
      <c r="B110" s="5">
        <v>12</v>
      </c>
      <c r="C110" s="5">
        <v>1.6</v>
      </c>
      <c r="D110" s="9" t="s">
        <v>154</v>
      </c>
      <c r="E110" s="9" t="s">
        <v>27</v>
      </c>
      <c r="F110" s="9">
        <v>1</v>
      </c>
      <c r="G110" s="6">
        <f t="shared" ref="G110:G124" si="7">SUM(B110-C110)</f>
        <v>10.4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5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7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7"/>
        <v>0</v>
      </c>
    </row>
    <row r="122" spans="2:7" x14ac:dyDescent="0.25">
      <c r="B122" s="5">
        <v>0</v>
      </c>
      <c r="C122" s="1">
        <v>0</v>
      </c>
      <c r="D122" s="9" t="s">
        <v>25</v>
      </c>
      <c r="E122" s="9" t="s">
        <v>25</v>
      </c>
      <c r="F122" s="9" t="s">
        <v>25</v>
      </c>
      <c r="G122" s="6">
        <f t="shared" si="7"/>
        <v>0</v>
      </c>
    </row>
    <row r="123" spans="2:7" x14ac:dyDescent="0.25">
      <c r="B123" s="7">
        <v>0</v>
      </c>
      <c r="C123" s="8">
        <v>0</v>
      </c>
      <c r="D123" s="9" t="s">
        <v>25</v>
      </c>
      <c r="E123" s="9" t="s">
        <v>25</v>
      </c>
      <c r="F123" s="9" t="s">
        <v>25</v>
      </c>
      <c r="G123" s="10">
        <f t="shared" si="7"/>
        <v>0</v>
      </c>
    </row>
    <row r="124" spans="2:7" x14ac:dyDescent="0.25">
      <c r="B124" s="7">
        <v>0</v>
      </c>
      <c r="C124" s="8">
        <v>0</v>
      </c>
      <c r="D124" s="9"/>
      <c r="E124" s="9"/>
      <c r="F124" s="9"/>
      <c r="G124" s="10">
        <f t="shared" si="7"/>
        <v>0</v>
      </c>
    </row>
    <row r="125" spans="2:7" x14ac:dyDescent="0.25">
      <c r="B125" s="34" t="s">
        <v>6</v>
      </c>
      <c r="C125" s="34"/>
      <c r="D125" s="4"/>
      <c r="E125" s="4"/>
      <c r="F125" s="4"/>
      <c r="G125" s="2"/>
    </row>
    <row r="126" spans="2:7" x14ac:dyDescent="0.25">
      <c r="B126" s="12" t="s">
        <v>0</v>
      </c>
      <c r="C126" s="24">
        <f>SUM(B100:B124)</f>
        <v>618</v>
      </c>
      <c r="D126" s="4"/>
      <c r="E126" s="4"/>
      <c r="F126" s="4"/>
      <c r="G126" s="2"/>
    </row>
    <row r="127" spans="2:7" x14ac:dyDescent="0.25">
      <c r="B127" s="13" t="s">
        <v>7</v>
      </c>
      <c r="C127" s="24">
        <f>SUM(C100:C124)</f>
        <v>225.20000000000002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392.79999999999995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31" t="s">
        <v>292</v>
      </c>
      <c r="C130" s="32"/>
      <c r="D130" s="32"/>
      <c r="E130" s="32"/>
      <c r="F130" s="32"/>
      <c r="G130" s="33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295</v>
      </c>
      <c r="G131" s="16" t="s">
        <v>4</v>
      </c>
    </row>
    <row r="132" spans="2:7" x14ac:dyDescent="0.25">
      <c r="B132" s="5">
        <v>44</v>
      </c>
      <c r="C132" s="5">
        <f>SUM(5.6+3.2)</f>
        <v>8.8000000000000007</v>
      </c>
      <c r="D132" s="9" t="s">
        <v>293</v>
      </c>
      <c r="E132" s="9" t="s">
        <v>294</v>
      </c>
      <c r="F132" s="9">
        <v>2</v>
      </c>
      <c r="G132" s="6">
        <f t="shared" ref="G132:G140" si="8">SUM(B132-C132)</f>
        <v>35.200000000000003</v>
      </c>
    </row>
    <row r="133" spans="2:7" x14ac:dyDescent="0.25">
      <c r="B133" s="5">
        <v>390</v>
      </c>
      <c r="C133" s="5">
        <v>90</v>
      </c>
      <c r="D133" s="9" t="s">
        <v>296</v>
      </c>
      <c r="E133" s="9" t="s">
        <v>297</v>
      </c>
      <c r="F133" s="9">
        <v>0</v>
      </c>
      <c r="G133" s="6">
        <f t="shared" si="8"/>
        <v>300</v>
      </c>
    </row>
    <row r="134" spans="2:7" x14ac:dyDescent="0.25">
      <c r="B134" s="5">
        <v>12</v>
      </c>
      <c r="C134" s="5">
        <v>1.6</v>
      </c>
      <c r="D134" s="9" t="s">
        <v>298</v>
      </c>
      <c r="E134" s="9" t="s">
        <v>69</v>
      </c>
      <c r="F134" s="9">
        <v>1</v>
      </c>
      <c r="G134" s="6">
        <f t="shared" si="8"/>
        <v>10.4</v>
      </c>
    </row>
    <row r="135" spans="2:7" x14ac:dyDescent="0.25">
      <c r="B135" s="5">
        <v>24</v>
      </c>
      <c r="C135" s="5">
        <v>3.2</v>
      </c>
      <c r="D135" s="9" t="s">
        <v>85</v>
      </c>
      <c r="E135" s="9" t="s">
        <v>26</v>
      </c>
      <c r="F135" s="9">
        <v>2</v>
      </c>
      <c r="G135" s="6">
        <f t="shared" si="8"/>
        <v>20.8</v>
      </c>
    </row>
    <row r="136" spans="2:7" x14ac:dyDescent="0.25">
      <c r="B136" s="5">
        <v>24</v>
      </c>
      <c r="C136" s="5">
        <v>3.2</v>
      </c>
      <c r="D136" s="9" t="s">
        <v>54</v>
      </c>
      <c r="E136" s="9" t="s">
        <v>26</v>
      </c>
      <c r="F136" s="9">
        <v>2</v>
      </c>
      <c r="G136" s="6">
        <f t="shared" si="8"/>
        <v>20.8</v>
      </c>
    </row>
    <row r="137" spans="2:7" x14ac:dyDescent="0.25">
      <c r="B137" s="5">
        <v>36</v>
      </c>
      <c r="C137" s="5">
        <v>4.8</v>
      </c>
      <c r="D137" s="9" t="s">
        <v>299</v>
      </c>
      <c r="E137" s="9" t="s">
        <v>26</v>
      </c>
      <c r="F137" s="9">
        <v>3</v>
      </c>
      <c r="G137" s="6">
        <f t="shared" si="8"/>
        <v>31.2</v>
      </c>
    </row>
    <row r="138" spans="2:7" x14ac:dyDescent="0.25">
      <c r="B138" s="5">
        <v>210</v>
      </c>
      <c r="C138" s="5">
        <v>60</v>
      </c>
      <c r="D138" s="9" t="s">
        <v>300</v>
      </c>
      <c r="E138" s="9" t="s">
        <v>301</v>
      </c>
      <c r="F138" s="9">
        <v>0</v>
      </c>
      <c r="G138" s="6">
        <f t="shared" si="8"/>
        <v>150</v>
      </c>
    </row>
    <row r="139" spans="2:7" x14ac:dyDescent="0.25">
      <c r="B139" s="5">
        <v>24</v>
      </c>
      <c r="C139" s="5">
        <v>3.2</v>
      </c>
      <c r="D139" s="9" t="s">
        <v>302</v>
      </c>
      <c r="E139" s="9" t="s">
        <v>26</v>
      </c>
      <c r="F139" s="9">
        <v>2</v>
      </c>
      <c r="G139" s="6">
        <f t="shared" si="8"/>
        <v>20.8</v>
      </c>
    </row>
    <row r="140" spans="2:7" x14ac:dyDescent="0.25">
      <c r="B140" s="5">
        <v>0</v>
      </c>
      <c r="C140" s="1">
        <v>0</v>
      </c>
      <c r="D140" s="9" t="s">
        <v>25</v>
      </c>
      <c r="E140" s="9" t="s">
        <v>25</v>
      </c>
      <c r="F140" s="9" t="s">
        <v>25</v>
      </c>
      <c r="G140" s="6">
        <f t="shared" si="8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ref="G141:G155" si="9">SUM(B141-C141)</f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9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9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9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9"/>
        <v>0</v>
      </c>
    </row>
    <row r="156" spans="2:7" x14ac:dyDescent="0.25">
      <c r="B156" s="34" t="s">
        <v>6</v>
      </c>
      <c r="C156" s="34"/>
      <c r="D156" s="4"/>
      <c r="E156" s="4"/>
      <c r="F156" s="4"/>
      <c r="G156" s="2"/>
    </row>
    <row r="157" spans="2:7" x14ac:dyDescent="0.25">
      <c r="B157" s="12" t="s">
        <v>0</v>
      </c>
      <c r="C157" s="24">
        <f>SUM(B131:B155)</f>
        <v>764</v>
      </c>
      <c r="D157" s="4"/>
      <c r="E157" s="4"/>
      <c r="F157" s="4"/>
      <c r="G157" s="2"/>
    </row>
    <row r="158" spans="2:7" x14ac:dyDescent="0.25">
      <c r="B158" s="13" t="s">
        <v>7</v>
      </c>
      <c r="C158" s="24">
        <f>SUM(C131:C155)</f>
        <v>174.79999999999998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589.20000000000005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31" t="s">
        <v>303</v>
      </c>
      <c r="C161" s="32"/>
      <c r="D161" s="32"/>
      <c r="E161" s="32"/>
      <c r="F161" s="32"/>
      <c r="G161" s="33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80</v>
      </c>
      <c r="C163" s="5">
        <v>0</v>
      </c>
      <c r="D163" s="9" t="s">
        <v>70</v>
      </c>
      <c r="E163" s="9" t="s">
        <v>304</v>
      </c>
      <c r="F163" s="9">
        <v>0</v>
      </c>
      <c r="G163" s="6">
        <f t="shared" ref="G163:G186" si="10">SUM(B163-C163)</f>
        <v>80</v>
      </c>
    </row>
    <row r="164" spans="2:7" x14ac:dyDescent="0.25">
      <c r="B164" s="5">
        <v>30</v>
      </c>
      <c r="C164" s="5">
        <v>0</v>
      </c>
      <c r="D164" s="9" t="s">
        <v>70</v>
      </c>
      <c r="E164" s="9" t="s">
        <v>305</v>
      </c>
      <c r="F164" s="9">
        <v>0</v>
      </c>
      <c r="G164" s="6">
        <f t="shared" si="10"/>
        <v>30</v>
      </c>
    </row>
    <row r="165" spans="2:7" x14ac:dyDescent="0.25">
      <c r="B165" s="5"/>
      <c r="C165" s="5">
        <v>0</v>
      </c>
      <c r="D165" s="9" t="s">
        <v>25</v>
      </c>
      <c r="E165" s="9" t="s">
        <v>25</v>
      </c>
      <c r="F165" s="9" t="s">
        <v>25</v>
      </c>
      <c r="G165" s="6">
        <f t="shared" si="10"/>
        <v>0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5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0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0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0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0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0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0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0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0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0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10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10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0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0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10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10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10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10"/>
        <v>0</v>
      </c>
    </row>
    <row r="187" spans="2:7" x14ac:dyDescent="0.25">
      <c r="B187" s="34" t="s">
        <v>6</v>
      </c>
      <c r="C187" s="34"/>
      <c r="D187" s="4"/>
      <c r="E187" s="4"/>
      <c r="F187" s="4"/>
      <c r="G187" s="2"/>
    </row>
    <row r="188" spans="2:7" x14ac:dyDescent="0.25">
      <c r="B188" s="12" t="s">
        <v>0</v>
      </c>
      <c r="C188" s="24">
        <f>SUM(B162:B186)</f>
        <v>110</v>
      </c>
      <c r="D188" s="4"/>
      <c r="E188" s="4"/>
      <c r="F188" s="4"/>
      <c r="G188" s="2"/>
    </row>
    <row r="189" spans="2:7" x14ac:dyDescent="0.25">
      <c r="B189" s="13" t="s">
        <v>7</v>
      </c>
      <c r="C189" s="24">
        <f>SUM(C162:C186)</f>
        <v>0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110</v>
      </c>
      <c r="D190" s="4"/>
      <c r="E190" s="4"/>
      <c r="F190" s="4"/>
      <c r="G190" s="2"/>
    </row>
  </sheetData>
  <mergeCells count="13">
    <mergeCell ref="B187:C187"/>
    <mergeCell ref="B92:C92"/>
    <mergeCell ref="B99:G99"/>
    <mergeCell ref="B125:C125"/>
    <mergeCell ref="B130:G130"/>
    <mergeCell ref="B156:C156"/>
    <mergeCell ref="B161:G161"/>
    <mergeCell ref="B66:G66"/>
    <mergeCell ref="B2:G2"/>
    <mergeCell ref="I2:K2"/>
    <mergeCell ref="B30:C30"/>
    <mergeCell ref="B35:G35"/>
    <mergeCell ref="B61:C61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84"/>
  <sheetViews>
    <sheetView tabSelected="1" topLeftCell="A33" workbookViewId="0">
      <selection activeCell="E47" sqref="E47"/>
    </sheetView>
  </sheetViews>
  <sheetFormatPr defaultRowHeight="15" x14ac:dyDescent="0.25"/>
  <cols>
    <col min="1" max="1" width="1.5703125" customWidth="1"/>
    <col min="2" max="2" width="15.140625" customWidth="1"/>
    <col min="3" max="3" width="13.7109375" customWidth="1"/>
    <col min="4" max="4" width="33.28515625" bestFit="1" customWidth="1"/>
    <col min="5" max="5" width="34.7109375" bestFit="1" customWidth="1"/>
    <col min="6" max="6" width="15.42578125" customWidth="1"/>
    <col min="7" max="7" width="23.42578125" customWidth="1"/>
    <col min="8" max="8" width="2.28515625" customWidth="1"/>
    <col min="9" max="9" width="14.28515625" customWidth="1"/>
    <col min="10" max="11" width="15.5703125" customWidth="1"/>
  </cols>
  <sheetData>
    <row r="2" spans="2:11" ht="15.75" x14ac:dyDescent="0.25">
      <c r="B2" s="31" t="s">
        <v>306</v>
      </c>
      <c r="C2" s="35"/>
      <c r="D2" s="35"/>
      <c r="E2" s="35"/>
      <c r="F2" s="35"/>
      <c r="G2" s="36"/>
      <c r="I2" s="30" t="s">
        <v>10</v>
      </c>
      <c r="J2" s="30"/>
      <c r="K2" s="30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160</v>
      </c>
      <c r="C4" s="5">
        <v>60</v>
      </c>
      <c r="D4" s="9" t="s">
        <v>81</v>
      </c>
      <c r="E4" s="9" t="s">
        <v>307</v>
      </c>
      <c r="F4" s="9">
        <v>0</v>
      </c>
      <c r="G4" s="6">
        <f t="shared" ref="G4:G12" si="0">SUM(B4-C4)</f>
        <v>100</v>
      </c>
      <c r="I4" s="11">
        <f>SUM(C30,C62,C93,C124,C155,C182)</f>
        <v>1209</v>
      </c>
      <c r="J4" s="11">
        <f>SUM(C94,C63,C31,C125,C156,C183)</f>
        <v>253.99999999999997</v>
      </c>
      <c r="K4" s="22">
        <f>SUM(C32,C64,C95,C126,C157,C184)</f>
        <v>955</v>
      </c>
    </row>
    <row r="5" spans="2:11" x14ac:dyDescent="0.25">
      <c r="B5" s="5">
        <v>130</v>
      </c>
      <c r="C5" s="5">
        <v>0</v>
      </c>
      <c r="D5" s="9" t="s">
        <v>308</v>
      </c>
      <c r="E5" s="9" t="s">
        <v>309</v>
      </c>
      <c r="F5" s="9">
        <v>0</v>
      </c>
      <c r="G5" s="6">
        <f t="shared" si="0"/>
        <v>130</v>
      </c>
      <c r="K5" t="s">
        <v>28</v>
      </c>
    </row>
    <row r="6" spans="2:11" x14ac:dyDescent="0.25">
      <c r="B6" s="5">
        <v>20</v>
      </c>
      <c r="C6" s="5">
        <v>5.6</v>
      </c>
      <c r="D6" s="9">
        <v>2032</v>
      </c>
      <c r="E6" s="9" t="s">
        <v>42</v>
      </c>
      <c r="F6" s="9">
        <v>0</v>
      </c>
      <c r="G6" s="6">
        <f t="shared" si="0"/>
        <v>14.4</v>
      </c>
    </row>
    <row r="7" spans="2:11" x14ac:dyDescent="0.25">
      <c r="B7" s="5">
        <v>12</v>
      </c>
      <c r="C7" s="5">
        <v>1.6</v>
      </c>
      <c r="D7" s="9" t="s">
        <v>169</v>
      </c>
      <c r="E7" s="9" t="s">
        <v>26</v>
      </c>
      <c r="F7" s="9">
        <v>1</v>
      </c>
      <c r="G7" s="6">
        <f t="shared" si="0"/>
        <v>10.4</v>
      </c>
    </row>
    <row r="8" spans="2:11" x14ac:dyDescent="0.25">
      <c r="B8" s="5">
        <v>12</v>
      </c>
      <c r="C8" s="5">
        <v>1.6</v>
      </c>
      <c r="D8" s="9" t="s">
        <v>169</v>
      </c>
      <c r="E8" s="9" t="s">
        <v>27</v>
      </c>
      <c r="F8" s="9">
        <v>1</v>
      </c>
      <c r="G8" s="6">
        <f t="shared" si="0"/>
        <v>10.4</v>
      </c>
    </row>
    <row r="9" spans="2:11" x14ac:dyDescent="0.25">
      <c r="B9" s="5">
        <v>20</v>
      </c>
      <c r="C9" s="5">
        <v>5.6</v>
      </c>
      <c r="D9" s="9">
        <v>2032</v>
      </c>
      <c r="E9" s="9" t="s">
        <v>310</v>
      </c>
      <c r="F9" s="9">
        <v>0</v>
      </c>
      <c r="G9" s="6">
        <f t="shared" si="0"/>
        <v>14.4</v>
      </c>
    </row>
    <row r="10" spans="2:11" x14ac:dyDescent="0.25">
      <c r="B10" s="5">
        <v>60</v>
      </c>
      <c r="C10" s="5">
        <v>30</v>
      </c>
      <c r="D10" s="9" t="s">
        <v>311</v>
      </c>
      <c r="E10" s="9" t="s">
        <v>312</v>
      </c>
      <c r="F10" s="9">
        <v>0</v>
      </c>
      <c r="G10" s="6">
        <f t="shared" si="0"/>
        <v>30</v>
      </c>
    </row>
    <row r="11" spans="2:11" x14ac:dyDescent="0.25">
      <c r="B11" s="5">
        <v>36</v>
      </c>
      <c r="C11" s="5">
        <v>4.8</v>
      </c>
      <c r="D11" s="9" t="s">
        <v>314</v>
      </c>
      <c r="E11" s="9" t="s">
        <v>27</v>
      </c>
      <c r="F11" s="9">
        <v>3</v>
      </c>
      <c r="G11" s="6">
        <f t="shared" si="0"/>
        <v>31.2</v>
      </c>
    </row>
    <row r="12" spans="2:11" x14ac:dyDescent="0.25">
      <c r="B12" s="5">
        <v>12</v>
      </c>
      <c r="C12" s="1">
        <v>1.6</v>
      </c>
      <c r="D12" s="9" t="s">
        <v>315</v>
      </c>
      <c r="E12" s="9" t="s">
        <v>26</v>
      </c>
      <c r="F12" s="9">
        <v>1</v>
      </c>
      <c r="G12" s="6">
        <f t="shared" si="0"/>
        <v>10.4</v>
      </c>
    </row>
    <row r="13" spans="2:11" x14ac:dyDescent="0.25">
      <c r="B13" s="5">
        <v>36</v>
      </c>
      <c r="C13" s="5">
        <v>4.8</v>
      </c>
      <c r="D13" s="9" t="s">
        <v>316</v>
      </c>
      <c r="E13" s="9" t="s">
        <v>73</v>
      </c>
      <c r="F13" s="9">
        <v>3</v>
      </c>
      <c r="G13" s="6">
        <f t="shared" ref="G13:G27" si="1">SUM(B13-C13)</f>
        <v>31.2</v>
      </c>
    </row>
    <row r="14" spans="2:11" x14ac:dyDescent="0.25">
      <c r="B14" s="5">
        <v>12</v>
      </c>
      <c r="C14" s="5">
        <v>1.6</v>
      </c>
      <c r="D14" s="9" t="s">
        <v>154</v>
      </c>
      <c r="E14" s="9" t="s">
        <v>73</v>
      </c>
      <c r="F14" s="9">
        <v>1</v>
      </c>
      <c r="G14" s="6">
        <f t="shared" si="1"/>
        <v>10.4</v>
      </c>
    </row>
    <row r="15" spans="2:11" x14ac:dyDescent="0.25">
      <c r="B15" s="5">
        <v>60</v>
      </c>
      <c r="C15" s="5">
        <v>10</v>
      </c>
      <c r="D15" s="9" t="s">
        <v>61</v>
      </c>
      <c r="E15" s="9" t="s">
        <v>317</v>
      </c>
      <c r="F15" s="9">
        <v>2</v>
      </c>
      <c r="G15" s="6">
        <f t="shared" si="1"/>
        <v>50</v>
      </c>
    </row>
    <row r="16" spans="2:11" x14ac:dyDescent="0.25">
      <c r="B16" s="5">
        <v>36</v>
      </c>
      <c r="C16" s="5">
        <v>4.8</v>
      </c>
      <c r="D16" s="9" t="s">
        <v>141</v>
      </c>
      <c r="E16" s="9" t="s">
        <v>73</v>
      </c>
      <c r="F16" s="9">
        <v>3</v>
      </c>
      <c r="G16" s="6">
        <f t="shared" si="1"/>
        <v>31.2</v>
      </c>
    </row>
    <row r="17" spans="2:7" x14ac:dyDescent="0.25">
      <c r="B17" s="5">
        <v>92</v>
      </c>
      <c r="C17" s="5">
        <v>37.200000000000003</v>
      </c>
      <c r="D17" s="9" t="s">
        <v>318</v>
      </c>
      <c r="E17" s="9" t="s">
        <v>319</v>
      </c>
      <c r="F17" s="9">
        <v>2</v>
      </c>
      <c r="G17" s="6">
        <f t="shared" si="1"/>
        <v>54.8</v>
      </c>
    </row>
    <row r="18" spans="2:7" x14ac:dyDescent="0.25">
      <c r="B18" s="5">
        <f>SUM(25+12)</f>
        <v>37</v>
      </c>
      <c r="C18" s="5">
        <f>SUM(6+1.6)</f>
        <v>7.6</v>
      </c>
      <c r="D18" s="9" t="s">
        <v>320</v>
      </c>
      <c r="E18" s="9" t="s">
        <v>321</v>
      </c>
      <c r="F18" s="9">
        <v>1</v>
      </c>
      <c r="G18" s="6">
        <f t="shared" si="1"/>
        <v>29.4</v>
      </c>
    </row>
    <row r="19" spans="2:7" x14ac:dyDescent="0.25">
      <c r="B19" s="5">
        <v>20</v>
      </c>
      <c r="C19" s="5">
        <v>5.6</v>
      </c>
      <c r="D19" s="9" t="s">
        <v>29</v>
      </c>
      <c r="E19" s="9" t="s">
        <v>42</v>
      </c>
      <c r="F19" s="9">
        <v>0</v>
      </c>
      <c r="G19" s="6">
        <f t="shared" si="1"/>
        <v>14.4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B28" s="25">
        <v>0</v>
      </c>
      <c r="C28" s="24">
        <v>0</v>
      </c>
      <c r="D28" s="3" t="s">
        <v>25</v>
      </c>
      <c r="E28" s="3" t="s">
        <v>25</v>
      </c>
      <c r="F28" s="3" t="s">
        <v>25</v>
      </c>
      <c r="G28" s="26">
        <f>SUM(B28-C28)</f>
        <v>0</v>
      </c>
    </row>
    <row r="29" spans="2:7" x14ac:dyDescent="0.25">
      <c r="B29" s="37" t="s">
        <v>6</v>
      </c>
      <c r="C29" s="38"/>
      <c r="D29" s="4"/>
      <c r="E29" s="4"/>
      <c r="F29" s="4"/>
      <c r="G29" s="2"/>
    </row>
    <row r="30" spans="2:7" x14ac:dyDescent="0.25">
      <c r="B30" s="12" t="s">
        <v>0</v>
      </c>
      <c r="C30" s="24">
        <f>SUM(B4:B28)</f>
        <v>755</v>
      </c>
      <c r="D30" s="4"/>
      <c r="E30" s="4"/>
      <c r="F30" s="4"/>
      <c r="G30" s="2"/>
    </row>
    <row r="31" spans="2:7" x14ac:dyDescent="0.25">
      <c r="B31" s="13" t="s">
        <v>7</v>
      </c>
      <c r="C31" s="24">
        <f>SUM(C4:C28)</f>
        <v>182.39999999999998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572.6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1" t="s">
        <v>322</v>
      </c>
      <c r="C34" s="32"/>
      <c r="D34" s="32"/>
      <c r="E34" s="32"/>
      <c r="F34" s="32"/>
      <c r="G34" s="33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130</v>
      </c>
      <c r="C36" s="5">
        <v>0</v>
      </c>
      <c r="D36" s="9" t="s">
        <v>70</v>
      </c>
      <c r="E36" s="9" t="s">
        <v>323</v>
      </c>
      <c r="F36" s="9">
        <v>0</v>
      </c>
      <c r="G36" s="6">
        <f t="shared" ref="G36:G59" si="2">SUM(B36-C36)</f>
        <v>130</v>
      </c>
    </row>
    <row r="37" spans="2:7" x14ac:dyDescent="0.25">
      <c r="B37" s="5">
        <v>72</v>
      </c>
      <c r="C37" s="5">
        <v>9.6</v>
      </c>
      <c r="D37" s="9" t="s">
        <v>324</v>
      </c>
      <c r="E37" s="9" t="s">
        <v>69</v>
      </c>
      <c r="F37" s="9">
        <v>6</v>
      </c>
      <c r="G37" s="6">
        <f t="shared" si="2"/>
        <v>62.4</v>
      </c>
    </row>
    <row r="38" spans="2:7" x14ac:dyDescent="0.25">
      <c r="B38" s="5">
        <v>108</v>
      </c>
      <c r="C38" s="5">
        <v>12</v>
      </c>
      <c r="D38" s="9" t="s">
        <v>70</v>
      </c>
      <c r="E38" s="9" t="s">
        <v>325</v>
      </c>
      <c r="F38" s="9">
        <v>0</v>
      </c>
      <c r="G38" s="6">
        <f t="shared" si="2"/>
        <v>96</v>
      </c>
    </row>
    <row r="39" spans="2:7" x14ac:dyDescent="0.25">
      <c r="B39" s="5">
        <v>80</v>
      </c>
      <c r="C39" s="5">
        <v>35.6</v>
      </c>
      <c r="D39" s="9" t="s">
        <v>326</v>
      </c>
      <c r="E39" s="9" t="s">
        <v>327</v>
      </c>
      <c r="F39" s="9">
        <v>0</v>
      </c>
      <c r="G39" s="6">
        <f t="shared" si="2"/>
        <v>44.4</v>
      </c>
    </row>
    <row r="40" spans="2:7" x14ac:dyDescent="0.25">
      <c r="B40" s="5">
        <v>20</v>
      </c>
      <c r="C40" s="5">
        <v>5.6</v>
      </c>
      <c r="D40" s="9" t="s">
        <v>37</v>
      </c>
      <c r="E40" s="9" t="s">
        <v>328</v>
      </c>
      <c r="F40" s="9">
        <v>0</v>
      </c>
      <c r="G40" s="6">
        <f t="shared" si="2"/>
        <v>14.4</v>
      </c>
    </row>
    <row r="41" spans="2:7" x14ac:dyDescent="0.25">
      <c r="B41" s="5">
        <v>24</v>
      </c>
      <c r="C41" s="5">
        <v>3.2</v>
      </c>
      <c r="D41" s="9" t="s">
        <v>329</v>
      </c>
      <c r="E41" s="9" t="s">
        <v>26</v>
      </c>
      <c r="F41" s="9">
        <v>2</v>
      </c>
      <c r="G41" s="6">
        <f t="shared" si="2"/>
        <v>20.8</v>
      </c>
    </row>
    <row r="42" spans="2:7" x14ac:dyDescent="0.25">
      <c r="B42" s="5">
        <v>20</v>
      </c>
      <c r="C42" s="5">
        <v>5.6</v>
      </c>
      <c r="D42" s="9" t="s">
        <v>37</v>
      </c>
      <c r="E42" s="9" t="s">
        <v>74</v>
      </c>
      <c r="F42" s="9">
        <v>0</v>
      </c>
      <c r="G42" s="6">
        <f t="shared" si="2"/>
        <v>14.4</v>
      </c>
    </row>
    <row r="43" spans="2:7" x14ac:dyDescent="0.25">
      <c r="B43" s="5"/>
      <c r="C43" s="5">
        <v>0</v>
      </c>
      <c r="D43" s="9" t="s">
        <v>25</v>
      </c>
      <c r="E43" s="9" t="s">
        <v>25</v>
      </c>
      <c r="F43" s="9" t="s">
        <v>25</v>
      </c>
      <c r="G43" s="6">
        <f t="shared" si="2"/>
        <v>0</v>
      </c>
    </row>
    <row r="44" spans="2:7" x14ac:dyDescent="0.25">
      <c r="B44" s="5">
        <v>0</v>
      </c>
      <c r="C44" s="5">
        <v>0</v>
      </c>
      <c r="D44" s="9" t="s">
        <v>25</v>
      </c>
      <c r="E44" s="9" t="s">
        <v>25</v>
      </c>
      <c r="F44" s="9" t="s">
        <v>25</v>
      </c>
      <c r="G44" s="6">
        <f t="shared" si="2"/>
        <v>0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si="2"/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2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2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2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2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2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2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2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2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2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2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2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2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2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2"/>
        <v>0</v>
      </c>
    </row>
    <row r="60" spans="2:7" x14ac:dyDescent="0.25">
      <c r="B60" s="25">
        <v>0</v>
      </c>
      <c r="C60" s="24">
        <v>0</v>
      </c>
      <c r="D60" s="3" t="s">
        <v>25</v>
      </c>
      <c r="E60" s="3" t="s">
        <v>25</v>
      </c>
      <c r="F60" s="3" t="s">
        <v>25</v>
      </c>
      <c r="G60" s="26">
        <f>SUM(B60-C60)</f>
        <v>0</v>
      </c>
    </row>
    <row r="61" spans="2:7" x14ac:dyDescent="0.25">
      <c r="B61" s="34" t="s">
        <v>6</v>
      </c>
      <c r="C61" s="34"/>
      <c r="D61" s="4"/>
      <c r="E61" s="4"/>
      <c r="F61" s="4"/>
      <c r="G61" s="2"/>
    </row>
    <row r="62" spans="2:7" x14ac:dyDescent="0.25">
      <c r="B62" s="12" t="s">
        <v>0</v>
      </c>
      <c r="C62" s="24">
        <f>SUM(B35:B60)</f>
        <v>454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SUM(C35:C60)</f>
        <v>71.599999999999994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382.4</v>
      </c>
      <c r="D64" s="4"/>
      <c r="E64" s="4"/>
      <c r="F64" s="4"/>
      <c r="G64" s="2"/>
    </row>
    <row r="66" spans="2:7" ht="15.75" x14ac:dyDescent="0.25">
      <c r="B66" s="31" t="s">
        <v>30</v>
      </c>
      <c r="C66" s="32"/>
      <c r="D66" s="32"/>
      <c r="E66" s="32"/>
      <c r="F66" s="32"/>
      <c r="G66" s="33"/>
    </row>
    <row r="67" spans="2:7" ht="15.75" x14ac:dyDescent="0.25">
      <c r="B67" s="14" t="s">
        <v>0</v>
      </c>
      <c r="C67" s="15" t="s">
        <v>1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0</v>
      </c>
      <c r="C68" s="5">
        <v>0</v>
      </c>
      <c r="D68" s="9" t="s">
        <v>25</v>
      </c>
      <c r="E68" s="9" t="s">
        <v>25</v>
      </c>
      <c r="F68" s="9" t="s">
        <v>25</v>
      </c>
      <c r="G68" s="6">
        <f t="shared" ref="G68:G91" si="3">SUM(B68-C68)</f>
        <v>0</v>
      </c>
    </row>
    <row r="69" spans="2:7" x14ac:dyDescent="0.25">
      <c r="B69" s="5">
        <v>0</v>
      </c>
      <c r="C69" s="5">
        <v>0</v>
      </c>
      <c r="D69" s="9" t="s">
        <v>25</v>
      </c>
      <c r="E69" s="9" t="s">
        <v>25</v>
      </c>
      <c r="F69" s="9" t="s">
        <v>25</v>
      </c>
      <c r="G69" s="6">
        <f t="shared" si="3"/>
        <v>0</v>
      </c>
    </row>
    <row r="70" spans="2:7" x14ac:dyDescent="0.25">
      <c r="B70" s="5">
        <v>0</v>
      </c>
      <c r="C70" s="5">
        <v>0</v>
      </c>
      <c r="D70" s="9" t="s">
        <v>25</v>
      </c>
      <c r="E70" s="9" t="s">
        <v>25</v>
      </c>
      <c r="F70" s="9" t="s">
        <v>25</v>
      </c>
      <c r="G70" s="6">
        <f t="shared" si="3"/>
        <v>0</v>
      </c>
    </row>
    <row r="71" spans="2:7" x14ac:dyDescent="0.25">
      <c r="B71" s="5">
        <v>0</v>
      </c>
      <c r="C71" s="5">
        <v>0</v>
      </c>
      <c r="D71" s="9" t="s">
        <v>25</v>
      </c>
      <c r="E71" s="9" t="s">
        <v>25</v>
      </c>
      <c r="F71" s="9" t="s">
        <v>25</v>
      </c>
      <c r="G71" s="6">
        <f t="shared" si="3"/>
        <v>0</v>
      </c>
    </row>
    <row r="72" spans="2:7" x14ac:dyDescent="0.25">
      <c r="B72" s="5">
        <v>0</v>
      </c>
      <c r="C72" s="5">
        <v>0</v>
      </c>
      <c r="D72" s="9" t="s">
        <v>25</v>
      </c>
      <c r="E72" s="9" t="s">
        <v>25</v>
      </c>
      <c r="F72" s="9" t="s">
        <v>25</v>
      </c>
      <c r="G72" s="6">
        <f t="shared" si="3"/>
        <v>0</v>
      </c>
    </row>
    <row r="73" spans="2:7" x14ac:dyDescent="0.25">
      <c r="B73" s="5">
        <v>0</v>
      </c>
      <c r="C73" s="5">
        <v>0</v>
      </c>
      <c r="D73" s="9" t="s">
        <v>25</v>
      </c>
      <c r="E73" s="9" t="s">
        <v>25</v>
      </c>
      <c r="F73" s="9" t="s">
        <v>25</v>
      </c>
      <c r="G73" s="6">
        <f t="shared" si="3"/>
        <v>0</v>
      </c>
    </row>
    <row r="74" spans="2:7" x14ac:dyDescent="0.25">
      <c r="B74" s="5">
        <v>0</v>
      </c>
      <c r="C74" s="5">
        <v>0</v>
      </c>
      <c r="D74" s="9" t="s">
        <v>25</v>
      </c>
      <c r="E74" s="9" t="s">
        <v>25</v>
      </c>
      <c r="F74" s="9" t="s">
        <v>25</v>
      </c>
      <c r="G74" s="6">
        <f t="shared" si="3"/>
        <v>0</v>
      </c>
    </row>
    <row r="75" spans="2:7" x14ac:dyDescent="0.25">
      <c r="B75" s="5">
        <v>0</v>
      </c>
      <c r="C75" s="5">
        <v>0</v>
      </c>
      <c r="D75" s="9" t="s">
        <v>25</v>
      </c>
      <c r="E75" s="9" t="s">
        <v>25</v>
      </c>
      <c r="F75" s="9" t="s">
        <v>25</v>
      </c>
      <c r="G75" s="6">
        <f t="shared" si="3"/>
        <v>0</v>
      </c>
    </row>
    <row r="76" spans="2:7" x14ac:dyDescent="0.25">
      <c r="B76" s="5">
        <v>0</v>
      </c>
      <c r="C76" s="5">
        <v>0</v>
      </c>
      <c r="D76" s="9" t="s">
        <v>25</v>
      </c>
      <c r="E76" s="9" t="s">
        <v>25</v>
      </c>
      <c r="F76" s="9" t="s">
        <v>25</v>
      </c>
      <c r="G76" s="6">
        <f t="shared" si="3"/>
        <v>0</v>
      </c>
    </row>
    <row r="77" spans="2:7" x14ac:dyDescent="0.25">
      <c r="B77" s="5">
        <v>0</v>
      </c>
      <c r="C77" s="5">
        <v>0</v>
      </c>
      <c r="D77" s="9" t="s">
        <v>25</v>
      </c>
      <c r="E77" s="9" t="s">
        <v>25</v>
      </c>
      <c r="F77" s="9" t="s">
        <v>25</v>
      </c>
      <c r="G77" s="6">
        <f t="shared" si="3"/>
        <v>0</v>
      </c>
    </row>
    <row r="78" spans="2:7" x14ac:dyDescent="0.25">
      <c r="B78" s="5">
        <v>0</v>
      </c>
      <c r="C78" s="5">
        <v>0</v>
      </c>
      <c r="D78" s="9" t="s">
        <v>25</v>
      </c>
      <c r="E78" s="9" t="s">
        <v>25</v>
      </c>
      <c r="F78" s="9" t="s">
        <v>25</v>
      </c>
      <c r="G78" s="6">
        <f t="shared" si="3"/>
        <v>0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3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3"/>
        <v>0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3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3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3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3"/>
        <v>0</v>
      </c>
    </row>
    <row r="85" spans="2:7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3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3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3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3"/>
        <v>0</v>
      </c>
    </row>
    <row r="89" spans="2:7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3"/>
        <v>0</v>
      </c>
    </row>
    <row r="90" spans="2:7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3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3"/>
        <v>0</v>
      </c>
    </row>
    <row r="92" spans="2:7" x14ac:dyDescent="0.25">
      <c r="B92" s="34" t="s">
        <v>6</v>
      </c>
      <c r="C92" s="34"/>
      <c r="D92" s="4"/>
      <c r="E92" s="4"/>
      <c r="F92" s="4"/>
      <c r="G92" s="2"/>
    </row>
    <row r="93" spans="2:7" x14ac:dyDescent="0.25">
      <c r="B93" s="12" t="s">
        <v>0</v>
      </c>
      <c r="C93" s="24">
        <f>SUM(B68:B91)</f>
        <v>0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SUM(C68:C91)</f>
        <v>0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0</v>
      </c>
      <c r="D95" s="4"/>
      <c r="E95" s="4"/>
      <c r="F95" s="4"/>
      <c r="G95" s="2"/>
    </row>
    <row r="97" spans="2:7" ht="15.75" customHeight="1" x14ac:dyDescent="0.25">
      <c r="B97" s="31" t="s">
        <v>31</v>
      </c>
      <c r="C97" s="32"/>
      <c r="D97" s="32"/>
      <c r="E97" s="32"/>
      <c r="F97" s="32"/>
      <c r="G97" s="33"/>
    </row>
    <row r="98" spans="2:7" ht="15.75" customHeight="1" x14ac:dyDescent="0.25">
      <c r="B98" s="14" t="s">
        <v>0</v>
      </c>
      <c r="C98" s="15" t="s">
        <v>1</v>
      </c>
      <c r="D98" s="15" t="s">
        <v>2</v>
      </c>
      <c r="E98" s="15" t="s">
        <v>5</v>
      </c>
      <c r="F98" s="15" t="s">
        <v>3</v>
      </c>
      <c r="G98" s="16" t="s">
        <v>4</v>
      </c>
    </row>
    <row r="99" spans="2:7" ht="15" customHeight="1" x14ac:dyDescent="0.25">
      <c r="B99" s="5">
        <v>0</v>
      </c>
      <c r="C99" s="5">
        <v>0</v>
      </c>
      <c r="D99" s="9" t="s">
        <v>25</v>
      </c>
      <c r="E99" s="9" t="s">
        <v>25</v>
      </c>
      <c r="F99" s="9" t="s">
        <v>25</v>
      </c>
      <c r="G99" s="6">
        <f t="shared" ref="G99:G122" si="4">SUM(B99-C99)</f>
        <v>0</v>
      </c>
    </row>
    <row r="100" spans="2:7" ht="15" customHeight="1" x14ac:dyDescent="0.25">
      <c r="B100" s="5">
        <v>0</v>
      </c>
      <c r="C100" s="5">
        <v>0</v>
      </c>
      <c r="D100" s="9" t="s">
        <v>25</v>
      </c>
      <c r="E100" s="9" t="s">
        <v>25</v>
      </c>
      <c r="F100" s="9" t="s">
        <v>25</v>
      </c>
      <c r="G100" s="6">
        <f t="shared" si="4"/>
        <v>0</v>
      </c>
    </row>
    <row r="101" spans="2:7" ht="15" customHeight="1" x14ac:dyDescent="0.25">
      <c r="B101" s="5">
        <v>0</v>
      </c>
      <c r="C101" s="5">
        <v>0</v>
      </c>
      <c r="D101" s="9" t="s">
        <v>25</v>
      </c>
      <c r="E101" s="9" t="s">
        <v>25</v>
      </c>
      <c r="F101" s="9" t="s">
        <v>25</v>
      </c>
      <c r="G101" s="6">
        <f t="shared" si="4"/>
        <v>0</v>
      </c>
    </row>
    <row r="102" spans="2:7" ht="15" customHeight="1" x14ac:dyDescent="0.25">
      <c r="B102" s="5">
        <v>0</v>
      </c>
      <c r="C102" s="5">
        <v>0</v>
      </c>
      <c r="D102" s="9" t="s">
        <v>25</v>
      </c>
      <c r="E102" s="9" t="s">
        <v>25</v>
      </c>
      <c r="F102" s="9" t="s">
        <v>25</v>
      </c>
      <c r="G102" s="6">
        <f t="shared" si="4"/>
        <v>0</v>
      </c>
    </row>
    <row r="103" spans="2:7" ht="15" customHeight="1" x14ac:dyDescent="0.25">
      <c r="B103" s="5">
        <v>0</v>
      </c>
      <c r="C103" s="5">
        <v>0</v>
      </c>
      <c r="D103" s="9" t="s">
        <v>25</v>
      </c>
      <c r="E103" s="9" t="s">
        <v>25</v>
      </c>
      <c r="F103" s="9" t="s">
        <v>25</v>
      </c>
      <c r="G103" s="6">
        <f t="shared" si="4"/>
        <v>0</v>
      </c>
    </row>
    <row r="104" spans="2:7" ht="15" customHeight="1" x14ac:dyDescent="0.25">
      <c r="B104" s="5">
        <v>0</v>
      </c>
      <c r="C104" s="5">
        <v>0</v>
      </c>
      <c r="D104" s="9" t="s">
        <v>25</v>
      </c>
      <c r="E104" s="9" t="s">
        <v>25</v>
      </c>
      <c r="F104" s="9" t="s">
        <v>25</v>
      </c>
      <c r="G104" s="6">
        <f t="shared" si="4"/>
        <v>0</v>
      </c>
    </row>
    <row r="105" spans="2:7" ht="15" customHeight="1" x14ac:dyDescent="0.25">
      <c r="B105" s="5">
        <v>0</v>
      </c>
      <c r="C105" s="5">
        <v>0</v>
      </c>
      <c r="D105" s="9" t="s">
        <v>25</v>
      </c>
      <c r="E105" s="9" t="s">
        <v>25</v>
      </c>
      <c r="F105" s="9" t="s">
        <v>25</v>
      </c>
      <c r="G105" s="6">
        <f t="shared" si="4"/>
        <v>0</v>
      </c>
    </row>
    <row r="106" spans="2:7" ht="15" customHeight="1" x14ac:dyDescent="0.25">
      <c r="B106" s="5">
        <v>0</v>
      </c>
      <c r="C106" s="5">
        <v>0</v>
      </c>
      <c r="D106" s="9" t="s">
        <v>25</v>
      </c>
      <c r="E106" s="9" t="s">
        <v>25</v>
      </c>
      <c r="F106" s="9" t="s">
        <v>25</v>
      </c>
      <c r="G106" s="6">
        <f t="shared" si="4"/>
        <v>0</v>
      </c>
    </row>
    <row r="107" spans="2:7" ht="15" customHeight="1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4"/>
        <v>0</v>
      </c>
    </row>
    <row r="108" spans="2:7" ht="15" customHeight="1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4"/>
        <v>0</v>
      </c>
    </row>
    <row r="109" spans="2:7" ht="15" customHeight="1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4"/>
        <v>0</v>
      </c>
    </row>
    <row r="110" spans="2:7" ht="15" customHeight="1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4"/>
        <v>0</v>
      </c>
    </row>
    <row r="111" spans="2:7" ht="15" customHeight="1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4"/>
        <v>0</v>
      </c>
    </row>
    <row r="112" spans="2:7" ht="15" customHeight="1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4"/>
        <v>0</v>
      </c>
    </row>
    <row r="113" spans="2:7" ht="15" customHeight="1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4"/>
        <v>0</v>
      </c>
    </row>
    <row r="114" spans="2:7" ht="15" customHeight="1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4"/>
        <v>0</v>
      </c>
    </row>
    <row r="115" spans="2:7" ht="15" customHeight="1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4"/>
        <v>0</v>
      </c>
    </row>
    <row r="116" spans="2:7" ht="15" customHeight="1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4"/>
        <v>0</v>
      </c>
    </row>
    <row r="117" spans="2:7" ht="15" customHeight="1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4"/>
        <v>0</v>
      </c>
    </row>
    <row r="118" spans="2:7" ht="15" customHeight="1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4"/>
        <v>0</v>
      </c>
    </row>
    <row r="119" spans="2:7" ht="15" customHeight="1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4"/>
        <v>0</v>
      </c>
    </row>
    <row r="120" spans="2:7" ht="15" customHeight="1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4"/>
        <v>0</v>
      </c>
    </row>
    <row r="121" spans="2:7" ht="15" customHeight="1" x14ac:dyDescent="0.25">
      <c r="B121" s="7">
        <v>0</v>
      </c>
      <c r="C121" s="8">
        <v>0</v>
      </c>
      <c r="D121" s="9" t="s">
        <v>25</v>
      </c>
      <c r="E121" s="9" t="s">
        <v>25</v>
      </c>
      <c r="F121" s="9" t="s">
        <v>25</v>
      </c>
      <c r="G121" s="10">
        <f t="shared" si="4"/>
        <v>0</v>
      </c>
    </row>
    <row r="122" spans="2:7" ht="15" customHeight="1" x14ac:dyDescent="0.25">
      <c r="B122" s="7">
        <v>0</v>
      </c>
      <c r="C122" s="8">
        <v>0</v>
      </c>
      <c r="D122" s="9"/>
      <c r="E122" s="9"/>
      <c r="F122" s="9"/>
      <c r="G122" s="10">
        <f t="shared" si="4"/>
        <v>0</v>
      </c>
    </row>
    <row r="123" spans="2:7" ht="15" customHeight="1" x14ac:dyDescent="0.25">
      <c r="B123" s="34" t="s">
        <v>6</v>
      </c>
      <c r="C123" s="34"/>
      <c r="D123" s="4"/>
      <c r="E123" s="4"/>
      <c r="F123" s="4"/>
      <c r="G123" s="2"/>
    </row>
    <row r="124" spans="2:7" ht="15" customHeight="1" x14ac:dyDescent="0.25">
      <c r="B124" s="12" t="s">
        <v>0</v>
      </c>
      <c r="C124" s="12">
        <f>SUM(B99:B108)</f>
        <v>0</v>
      </c>
      <c r="D124" s="4"/>
      <c r="E124" s="4"/>
      <c r="F124" s="4"/>
      <c r="G124" s="2"/>
    </row>
    <row r="125" spans="2:7" ht="15" customHeight="1" x14ac:dyDescent="0.25">
      <c r="B125" s="13" t="s">
        <v>7</v>
      </c>
      <c r="C125" s="24">
        <f>SUM(C99:C122)</f>
        <v>0</v>
      </c>
      <c r="D125" s="4"/>
      <c r="E125" s="4"/>
      <c r="F125" s="4"/>
      <c r="G125" s="2"/>
    </row>
    <row r="126" spans="2:7" ht="15" customHeight="1" x14ac:dyDescent="0.25">
      <c r="B126" s="12" t="s">
        <v>8</v>
      </c>
      <c r="C126" s="12">
        <f>SUM(C124-C125)</f>
        <v>0</v>
      </c>
    </row>
    <row r="127" spans="2:7" ht="15" customHeight="1" x14ac:dyDescent="0.25"/>
    <row r="128" spans="2:7" ht="15.75" x14ac:dyDescent="0.25">
      <c r="B128" s="31" t="s">
        <v>32</v>
      </c>
      <c r="C128" s="35"/>
      <c r="D128" s="35"/>
      <c r="E128" s="35"/>
      <c r="F128" s="35"/>
      <c r="G128" s="36"/>
    </row>
    <row r="129" spans="2:7" ht="15.75" x14ac:dyDescent="0.25">
      <c r="B129" s="14" t="s">
        <v>0</v>
      </c>
      <c r="C129" s="15" t="s">
        <v>1</v>
      </c>
      <c r="D129" s="15" t="s">
        <v>2</v>
      </c>
      <c r="E129" s="15" t="s">
        <v>5</v>
      </c>
      <c r="F129" s="15" t="s">
        <v>3</v>
      </c>
      <c r="G129" s="16" t="s">
        <v>4</v>
      </c>
    </row>
    <row r="130" spans="2:7" x14ac:dyDescent="0.25">
      <c r="B130" s="5">
        <v>0</v>
      </c>
      <c r="C130" s="5">
        <v>0</v>
      </c>
      <c r="D130" s="9" t="s">
        <v>25</v>
      </c>
      <c r="E130" s="9" t="s">
        <v>25</v>
      </c>
      <c r="F130" s="9" t="s">
        <v>25</v>
      </c>
      <c r="G130" s="6">
        <f t="shared" ref="G130:G153" si="5">SUM(B130-C130)</f>
        <v>0</v>
      </c>
    </row>
    <row r="131" spans="2:7" x14ac:dyDescent="0.25">
      <c r="B131" s="5">
        <v>0</v>
      </c>
      <c r="C131" s="5">
        <v>0</v>
      </c>
      <c r="D131" s="9" t="s">
        <v>25</v>
      </c>
      <c r="E131" s="9" t="s">
        <v>25</v>
      </c>
      <c r="F131" s="9" t="s">
        <v>25</v>
      </c>
      <c r="G131" s="6">
        <f t="shared" si="5"/>
        <v>0</v>
      </c>
    </row>
    <row r="132" spans="2:7" x14ac:dyDescent="0.25">
      <c r="B132" s="5">
        <v>0</v>
      </c>
      <c r="C132" s="5">
        <v>0</v>
      </c>
      <c r="D132" s="9" t="s">
        <v>25</v>
      </c>
      <c r="E132" s="9" t="s">
        <v>25</v>
      </c>
      <c r="F132" s="9" t="s">
        <v>25</v>
      </c>
      <c r="G132" s="6">
        <f t="shared" si="5"/>
        <v>0</v>
      </c>
    </row>
    <row r="133" spans="2:7" x14ac:dyDescent="0.25">
      <c r="B133" s="5">
        <v>0</v>
      </c>
      <c r="C133" s="5">
        <v>0</v>
      </c>
      <c r="D133" s="9" t="s">
        <v>25</v>
      </c>
      <c r="E133" s="9" t="s">
        <v>25</v>
      </c>
      <c r="F133" s="9" t="s">
        <v>25</v>
      </c>
      <c r="G133" s="6">
        <f t="shared" si="5"/>
        <v>0</v>
      </c>
    </row>
    <row r="134" spans="2:7" x14ac:dyDescent="0.25">
      <c r="B134" s="5">
        <v>0</v>
      </c>
      <c r="C134" s="5">
        <v>0</v>
      </c>
      <c r="D134" s="9" t="s">
        <v>25</v>
      </c>
      <c r="E134" s="9" t="s">
        <v>25</v>
      </c>
      <c r="F134" s="9" t="s">
        <v>25</v>
      </c>
      <c r="G134" s="6">
        <f t="shared" si="5"/>
        <v>0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5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5"/>
        <v>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5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5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5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5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5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5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5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5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5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5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5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5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5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5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5"/>
        <v>0</v>
      </c>
    </row>
    <row r="152" spans="2:7" x14ac:dyDescent="0.25">
      <c r="B152" s="7">
        <v>0</v>
      </c>
      <c r="C152" s="8">
        <v>0</v>
      </c>
      <c r="D152" s="9" t="s">
        <v>25</v>
      </c>
      <c r="E152" s="9" t="s">
        <v>25</v>
      </c>
      <c r="F152" s="9" t="s">
        <v>25</v>
      </c>
      <c r="G152" s="10">
        <f t="shared" si="5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5"/>
        <v>0</v>
      </c>
    </row>
    <row r="154" spans="2:7" x14ac:dyDescent="0.25">
      <c r="B154" s="37" t="s">
        <v>6</v>
      </c>
      <c r="C154" s="38"/>
      <c r="D154" s="4"/>
      <c r="E154" s="4"/>
      <c r="F154" s="4"/>
      <c r="G154" s="2"/>
    </row>
    <row r="155" spans="2:7" x14ac:dyDescent="0.25">
      <c r="B155" s="12" t="s">
        <v>0</v>
      </c>
      <c r="C155" s="24">
        <f>SUM(B130:B153)</f>
        <v>0</v>
      </c>
      <c r="D155" s="4"/>
      <c r="E155" s="4"/>
      <c r="F155" s="4"/>
      <c r="G155" s="2"/>
    </row>
    <row r="156" spans="2:7" x14ac:dyDescent="0.25">
      <c r="B156" s="13" t="s">
        <v>7</v>
      </c>
      <c r="C156" s="24">
        <f>SUM(C130:C153)</f>
        <v>0</v>
      </c>
      <c r="D156" s="4"/>
      <c r="E156" s="4"/>
      <c r="F156" s="4"/>
      <c r="G156" s="2"/>
    </row>
    <row r="157" spans="2:7" x14ac:dyDescent="0.25">
      <c r="B157" s="12" t="s">
        <v>8</v>
      </c>
      <c r="C157" s="12">
        <f>SUM(C155-C156)</f>
        <v>0</v>
      </c>
      <c r="D157" s="4"/>
      <c r="E157" s="4"/>
      <c r="F157" s="4"/>
      <c r="G157" s="2"/>
    </row>
    <row r="159" spans="2:7" ht="15.75" x14ac:dyDescent="0.25">
      <c r="B159" s="31" t="s">
        <v>33</v>
      </c>
      <c r="C159" s="35"/>
      <c r="D159" s="35"/>
      <c r="E159" s="35"/>
      <c r="F159" s="35"/>
      <c r="G159" s="36"/>
    </row>
    <row r="160" spans="2:7" ht="15.75" x14ac:dyDescent="0.25">
      <c r="B160" s="14" t="s">
        <v>0</v>
      </c>
      <c r="C160" s="15" t="s">
        <v>1</v>
      </c>
      <c r="D160" s="15" t="s">
        <v>2</v>
      </c>
      <c r="E160" s="15" t="s">
        <v>5</v>
      </c>
      <c r="F160" s="15" t="s">
        <v>3</v>
      </c>
      <c r="G160" s="16" t="s">
        <v>4</v>
      </c>
    </row>
    <row r="170" spans="2:7" x14ac:dyDescent="0.25">
      <c r="B170" s="5">
        <v>0</v>
      </c>
      <c r="C170" s="1">
        <v>0</v>
      </c>
      <c r="D170" s="9" t="s">
        <v>25</v>
      </c>
      <c r="E170" s="9" t="s">
        <v>25</v>
      </c>
      <c r="F170" s="9" t="s">
        <v>25</v>
      </c>
      <c r="G170" s="6">
        <f t="shared" ref="G170:G180" si="6">SUM(B170-C170)</f>
        <v>0</v>
      </c>
    </row>
    <row r="171" spans="2:7" x14ac:dyDescent="0.25">
      <c r="B171" s="5">
        <v>0</v>
      </c>
      <c r="C171" s="1">
        <v>0</v>
      </c>
      <c r="D171" s="9" t="s">
        <v>25</v>
      </c>
      <c r="E171" s="9" t="s">
        <v>25</v>
      </c>
      <c r="F171" s="9" t="s">
        <v>25</v>
      </c>
      <c r="G171" s="6">
        <f t="shared" si="6"/>
        <v>0</v>
      </c>
    </row>
    <row r="172" spans="2:7" x14ac:dyDescent="0.25">
      <c r="B172" s="5">
        <v>0</v>
      </c>
      <c r="C172" s="1">
        <v>0</v>
      </c>
      <c r="D172" s="9" t="s">
        <v>25</v>
      </c>
      <c r="E172" s="9" t="s">
        <v>25</v>
      </c>
      <c r="F172" s="9" t="s">
        <v>25</v>
      </c>
      <c r="G172" s="6">
        <f t="shared" si="6"/>
        <v>0</v>
      </c>
    </row>
    <row r="173" spans="2:7" x14ac:dyDescent="0.25">
      <c r="B173" s="5">
        <v>0</v>
      </c>
      <c r="C173" s="1">
        <v>0</v>
      </c>
      <c r="D173" s="9" t="s">
        <v>25</v>
      </c>
      <c r="E173" s="9" t="s">
        <v>25</v>
      </c>
      <c r="F173" s="9" t="s">
        <v>25</v>
      </c>
      <c r="G173" s="6">
        <f t="shared" si="6"/>
        <v>0</v>
      </c>
    </row>
    <row r="174" spans="2:7" x14ac:dyDescent="0.25">
      <c r="B174" s="5">
        <v>0</v>
      </c>
      <c r="C174" s="1">
        <v>0</v>
      </c>
      <c r="D174" s="9" t="s">
        <v>25</v>
      </c>
      <c r="E174" s="9" t="s">
        <v>25</v>
      </c>
      <c r="F174" s="9" t="s">
        <v>25</v>
      </c>
      <c r="G174" s="6">
        <f t="shared" si="6"/>
        <v>0</v>
      </c>
    </row>
    <row r="175" spans="2:7" x14ac:dyDescent="0.25">
      <c r="B175" s="5">
        <v>0</v>
      </c>
      <c r="C175" s="1">
        <v>0</v>
      </c>
      <c r="D175" s="9" t="s">
        <v>25</v>
      </c>
      <c r="E175" s="9" t="s">
        <v>25</v>
      </c>
      <c r="F175" s="9" t="s">
        <v>25</v>
      </c>
      <c r="G175" s="6">
        <f t="shared" si="6"/>
        <v>0</v>
      </c>
    </row>
    <row r="176" spans="2:7" x14ac:dyDescent="0.25">
      <c r="B176" s="5">
        <v>0</v>
      </c>
      <c r="C176" s="1">
        <v>0</v>
      </c>
      <c r="D176" s="9" t="s">
        <v>25</v>
      </c>
      <c r="E176" s="9" t="s">
        <v>25</v>
      </c>
      <c r="F176" s="9" t="s">
        <v>25</v>
      </c>
      <c r="G176" s="6">
        <f t="shared" si="6"/>
        <v>0</v>
      </c>
    </row>
    <row r="177" spans="2:7" x14ac:dyDescent="0.25">
      <c r="B177" s="5">
        <v>0</v>
      </c>
      <c r="C177" s="1">
        <v>0</v>
      </c>
      <c r="D177" s="9" t="s">
        <v>25</v>
      </c>
      <c r="E177" s="9" t="s">
        <v>25</v>
      </c>
      <c r="F177" s="9" t="s">
        <v>25</v>
      </c>
      <c r="G177" s="6">
        <f t="shared" si="6"/>
        <v>0</v>
      </c>
    </row>
    <row r="178" spans="2:7" x14ac:dyDescent="0.25">
      <c r="B178" s="7">
        <v>0</v>
      </c>
      <c r="C178" s="8">
        <v>0</v>
      </c>
      <c r="D178" s="9" t="s">
        <v>25</v>
      </c>
      <c r="E178" s="9" t="s">
        <v>25</v>
      </c>
      <c r="F178" s="9" t="s">
        <v>25</v>
      </c>
      <c r="G178" s="10">
        <f t="shared" si="6"/>
        <v>0</v>
      </c>
    </row>
    <row r="179" spans="2:7" x14ac:dyDescent="0.25">
      <c r="B179" s="7">
        <v>0</v>
      </c>
      <c r="C179" s="8">
        <v>0</v>
      </c>
      <c r="D179" s="9"/>
      <c r="E179" s="9"/>
      <c r="F179" s="9"/>
      <c r="G179" s="10">
        <f t="shared" si="6"/>
        <v>0</v>
      </c>
    </row>
    <row r="180" spans="2:7" x14ac:dyDescent="0.25">
      <c r="B180" s="25">
        <v>0</v>
      </c>
      <c r="C180" s="24">
        <v>0</v>
      </c>
      <c r="D180" s="3" t="s">
        <v>25</v>
      </c>
      <c r="E180" s="3" t="s">
        <v>25</v>
      </c>
      <c r="F180" s="3" t="s">
        <v>25</v>
      </c>
      <c r="G180" s="26">
        <f t="shared" si="6"/>
        <v>0</v>
      </c>
    </row>
    <row r="181" spans="2:7" x14ac:dyDescent="0.25">
      <c r="B181" s="37" t="s">
        <v>6</v>
      </c>
      <c r="C181" s="38"/>
      <c r="D181" s="4"/>
      <c r="E181" s="4"/>
      <c r="F181" s="4"/>
      <c r="G181" s="2"/>
    </row>
    <row r="182" spans="2:7" x14ac:dyDescent="0.25">
      <c r="B182" s="12" t="s">
        <v>0</v>
      </c>
      <c r="C182" s="24">
        <f>SUM(B170:B180)</f>
        <v>0</v>
      </c>
      <c r="D182" s="4"/>
      <c r="E182" s="4"/>
      <c r="F182" s="4"/>
      <c r="G182" s="2"/>
    </row>
    <row r="183" spans="2:7" x14ac:dyDescent="0.25">
      <c r="B183" s="13" t="s">
        <v>7</v>
      </c>
      <c r="C183" s="24">
        <f>SUM(C170:C180)</f>
        <v>0</v>
      </c>
      <c r="D183" s="4"/>
      <c r="E183" s="4"/>
      <c r="F183" s="4"/>
      <c r="G183" s="2"/>
    </row>
    <row r="184" spans="2:7" x14ac:dyDescent="0.25">
      <c r="B184" s="12" t="s">
        <v>8</v>
      </c>
      <c r="C184" s="12">
        <f>SUM(C182-C183)</f>
        <v>0</v>
      </c>
      <c r="D184" s="4"/>
      <c r="E184" s="4"/>
      <c r="F184" s="4"/>
      <c r="G184" s="2"/>
    </row>
  </sheetData>
  <mergeCells count="13">
    <mergeCell ref="I2:K2"/>
    <mergeCell ref="B29:C29"/>
    <mergeCell ref="B34:G34"/>
    <mergeCell ref="B61:C61"/>
    <mergeCell ref="B92:C92"/>
    <mergeCell ref="B66:G66"/>
    <mergeCell ref="B2:G2"/>
    <mergeCell ref="B159:G159"/>
    <mergeCell ref="B181:C181"/>
    <mergeCell ref="B128:G128"/>
    <mergeCell ref="B154:C154"/>
    <mergeCell ref="B97:G97"/>
    <mergeCell ref="B123:C123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2"/>
  <sheetViews>
    <sheetView workbookViewId="0">
      <selection activeCell="B8" sqref="B8"/>
    </sheetView>
  </sheetViews>
  <sheetFormatPr defaultRowHeight="15" x14ac:dyDescent="0.25"/>
  <cols>
    <col min="1" max="1" width="1.5703125" customWidth="1"/>
    <col min="2" max="2" width="10.5703125" bestFit="1" customWidth="1"/>
    <col min="3" max="3" width="12.140625" bestFit="1" customWidth="1"/>
    <col min="4" max="4" width="9.5703125" bestFit="1" customWidth="1"/>
    <col min="5" max="6" width="12.140625" bestFit="1" customWidth="1"/>
    <col min="7" max="7" width="10.5703125" bestFit="1" customWidth="1"/>
    <col min="8" max="8" width="12" style="2" bestFit="1" customWidth="1"/>
    <col min="9" max="9" width="12.140625" bestFit="1" customWidth="1"/>
    <col min="10" max="10" width="2" customWidth="1"/>
    <col min="11" max="11" width="18" bestFit="1" customWidth="1"/>
    <col min="12" max="12" width="18" customWidth="1"/>
    <col min="13" max="13" width="19.7109375" bestFit="1" customWidth="1"/>
    <col min="14" max="14" width="16.85546875" bestFit="1" customWidth="1"/>
    <col min="15" max="15" width="2.28515625" customWidth="1"/>
    <col min="16" max="16" width="12.85546875" bestFit="1" customWidth="1"/>
  </cols>
  <sheetData>
    <row r="2" spans="2:16" s="21" customFormat="1" x14ac:dyDescent="0.25">
      <c r="B2" s="19" t="s">
        <v>11</v>
      </c>
      <c r="C2" s="19" t="s">
        <v>21</v>
      </c>
      <c r="D2" s="19" t="s">
        <v>12</v>
      </c>
      <c r="E2" s="19" t="s">
        <v>23</v>
      </c>
      <c r="F2" s="19" t="s">
        <v>20</v>
      </c>
      <c r="G2" s="19" t="s">
        <v>13</v>
      </c>
      <c r="H2" s="20" t="s">
        <v>14</v>
      </c>
      <c r="I2" s="19" t="s">
        <v>15</v>
      </c>
      <c r="K2" s="19" t="s">
        <v>16</v>
      </c>
      <c r="L2" s="19" t="s">
        <v>22</v>
      </c>
      <c r="M2" s="19" t="s">
        <v>17</v>
      </c>
      <c r="N2" s="19" t="s">
        <v>18</v>
      </c>
      <c r="P2" s="19" t="s">
        <v>19</v>
      </c>
    </row>
    <row r="3" spans="2:16" x14ac:dyDescent="0.25">
      <c r="B3" s="23">
        <v>492</v>
      </c>
      <c r="C3" s="23">
        <f>SUM(250-4*6)</f>
        <v>226</v>
      </c>
      <c r="D3" s="23">
        <v>0</v>
      </c>
      <c r="E3" s="23">
        <v>86.5</v>
      </c>
      <c r="F3" s="23">
        <v>975</v>
      </c>
      <c r="G3" s="23">
        <v>49.9</v>
      </c>
      <c r="H3" s="23">
        <v>200</v>
      </c>
      <c r="I3" s="23">
        <v>59</v>
      </c>
      <c r="K3" s="18">
        <f>SUM('Semana 1'!I4,'Semana 2'!I4,'Semana 3'!I4,'Semana 4'!I4,'Semena 5'!I4)</f>
        <v>14503</v>
      </c>
      <c r="L3" s="18">
        <f>SUM(B3:I19)</f>
        <v>8061.9899999999989</v>
      </c>
      <c r="M3" s="18">
        <f>SUM('Semana 1'!K4,'Semana 3'!K4,'Semana 2'!K4,'Semena 5'!K4,'Semana 4'!K4)</f>
        <v>11341.03</v>
      </c>
      <c r="N3" s="18">
        <f>SUM(B3:I6,'Semena 5'!J4,'Semana 4'!J4,'Semana 3'!J4,'Semana 2'!J4,'Semana 1'!J4)</f>
        <v>7461.83</v>
      </c>
      <c r="P3" s="18">
        <f>SUM(M3-L3)</f>
        <v>3279.0400000000018</v>
      </c>
    </row>
    <row r="4" spans="2:16" x14ac:dyDescent="0.25">
      <c r="B4" s="23">
        <v>322.62</v>
      </c>
      <c r="C4" s="23">
        <v>590</v>
      </c>
      <c r="D4" s="23">
        <v>0</v>
      </c>
      <c r="E4" s="23">
        <v>65.5</v>
      </c>
      <c r="F4" s="23">
        <v>700</v>
      </c>
      <c r="G4" s="23">
        <v>0</v>
      </c>
      <c r="H4" s="23">
        <v>100</v>
      </c>
      <c r="I4" s="23">
        <v>16</v>
      </c>
    </row>
    <row r="5" spans="2:16" x14ac:dyDescent="0.25">
      <c r="B5" s="23">
        <v>92</v>
      </c>
      <c r="C5" s="23">
        <v>92</v>
      </c>
      <c r="D5" s="23">
        <v>0</v>
      </c>
      <c r="E5" s="23">
        <v>33.119999999999997</v>
      </c>
      <c r="F5" s="23">
        <v>0</v>
      </c>
      <c r="G5" s="23">
        <v>0</v>
      </c>
      <c r="H5" s="23">
        <v>0</v>
      </c>
      <c r="I5" s="23">
        <v>72</v>
      </c>
    </row>
    <row r="6" spans="2:16" x14ac:dyDescent="0.25">
      <c r="B6" s="23">
        <v>37.94</v>
      </c>
      <c r="C6" s="23">
        <v>155</v>
      </c>
      <c r="D6" s="23">
        <v>0</v>
      </c>
      <c r="E6" s="23">
        <v>61.95</v>
      </c>
      <c r="F6" s="23">
        <v>0</v>
      </c>
      <c r="G6" s="23">
        <v>0</v>
      </c>
      <c r="H6" s="23">
        <v>0</v>
      </c>
      <c r="I6" s="23">
        <v>100</v>
      </c>
    </row>
    <row r="7" spans="2:16" x14ac:dyDescent="0.25">
      <c r="B7" s="23">
        <v>200</v>
      </c>
      <c r="C7" s="23">
        <v>250</v>
      </c>
      <c r="D7" s="23">
        <v>0</v>
      </c>
      <c r="E7" s="23">
        <v>826</v>
      </c>
      <c r="F7" s="23">
        <v>0</v>
      </c>
      <c r="G7" s="23">
        <v>0</v>
      </c>
      <c r="H7" s="23">
        <v>0</v>
      </c>
      <c r="I7" s="23">
        <v>53.9</v>
      </c>
      <c r="M7" s="28"/>
    </row>
    <row r="8" spans="2:16" x14ac:dyDescent="0.25">
      <c r="B8" s="23">
        <v>0</v>
      </c>
      <c r="C8" s="23">
        <v>150</v>
      </c>
      <c r="D8" s="23">
        <v>0</v>
      </c>
      <c r="E8" s="23">
        <v>126.79</v>
      </c>
      <c r="F8" s="23">
        <v>0</v>
      </c>
      <c r="G8" s="23">
        <v>0</v>
      </c>
      <c r="H8" s="23">
        <v>0</v>
      </c>
      <c r="I8" s="23">
        <v>33.9</v>
      </c>
    </row>
    <row r="9" spans="2:16" x14ac:dyDescent="0.25">
      <c r="B9" s="23">
        <v>0</v>
      </c>
      <c r="C9" s="23">
        <v>110</v>
      </c>
      <c r="D9" s="23">
        <v>0</v>
      </c>
      <c r="E9" s="23">
        <v>74.91</v>
      </c>
      <c r="F9" s="23">
        <v>0</v>
      </c>
      <c r="G9" s="23">
        <v>0</v>
      </c>
      <c r="H9" s="23">
        <v>0</v>
      </c>
      <c r="I9" s="23">
        <v>110</v>
      </c>
    </row>
    <row r="10" spans="2:16" x14ac:dyDescent="0.25">
      <c r="B10" s="23">
        <v>0</v>
      </c>
      <c r="C10" s="23">
        <v>352</v>
      </c>
      <c r="D10" s="23">
        <v>0</v>
      </c>
      <c r="E10" s="23">
        <v>753.46</v>
      </c>
      <c r="F10" s="23">
        <v>0</v>
      </c>
      <c r="G10" s="23">
        <v>0</v>
      </c>
      <c r="H10" s="23">
        <v>0</v>
      </c>
      <c r="I10" s="23">
        <v>20</v>
      </c>
    </row>
    <row r="11" spans="2:16" x14ac:dyDescent="0.25"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14</v>
      </c>
    </row>
    <row r="12" spans="2:16" x14ac:dyDescent="0.25"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16</v>
      </c>
    </row>
    <row r="13" spans="2:16" x14ac:dyDescent="0.25"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182.6</v>
      </c>
    </row>
    <row r="14" spans="2:16" x14ac:dyDescent="0.25"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20</v>
      </c>
    </row>
    <row r="15" spans="2:16" x14ac:dyDescent="0.25"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75</v>
      </c>
    </row>
    <row r="16" spans="2:16" x14ac:dyDescent="0.25"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16</v>
      </c>
    </row>
    <row r="17" spans="2:9" x14ac:dyDescent="0.25"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48</v>
      </c>
    </row>
    <row r="18" spans="2:9" x14ac:dyDescent="0.25"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79.900000000000006</v>
      </c>
    </row>
    <row r="19" spans="2:9" x14ac:dyDescent="0.25"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23</v>
      </c>
    </row>
    <row r="20" spans="2:9" x14ac:dyDescent="0.25">
      <c r="B20" s="27">
        <f>SUM(B3:B18)</f>
        <v>1144.56</v>
      </c>
      <c r="C20" s="27">
        <f>SUM(C3:C18)</f>
        <v>1925</v>
      </c>
      <c r="D20" s="27">
        <f t="shared" ref="D20:I20" si="0">SUM(D3:D18)</f>
        <v>0</v>
      </c>
      <c r="E20" s="27">
        <f t="shared" si="0"/>
        <v>2028.23</v>
      </c>
      <c r="F20" s="27">
        <f t="shared" si="0"/>
        <v>1675</v>
      </c>
      <c r="G20" s="27">
        <f t="shared" si="0"/>
        <v>49.9</v>
      </c>
      <c r="H20" s="27">
        <f t="shared" si="0"/>
        <v>300</v>
      </c>
      <c r="I20" s="27">
        <f t="shared" si="0"/>
        <v>916.3</v>
      </c>
    </row>
    <row r="22" spans="2:9" x14ac:dyDescent="0.25">
      <c r="G22" t="s">
        <v>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7 V D w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h W U 6 D o F 2 e j D u D b 6 U C / Y A Q A A A P / / A w B Q S w M E F A A C A A g A A A A h A M L / F d j Y A A A A + A A A A B M A A A B G b 3 J t d W x h c y 9 T Z W N 0 a W 9 u M S 5 t T I 5 B a 8 I w G I b v h f 6 H 4 E l h N m S O D Z Q d p L V u d E q 1 B 2 d F J G 0 / E i F N g v k 6 E f G / r 9 W L 7 + V 9 e d 7 L 4 6 D E o 9 E k e z S b + J 7 v O c l P U J H I l E 0 N G s k n U Y C + R 9 r E R i O 0 Y A N F k H I B / W 6 E H d T o + j 2 J a N 2 Y 0 s q U L h D G C A V B a W r q 7 A l 4 5 S Q A O l p R o K / p N P w d s r 8 M p u q L I c h Z B k 2 q k 0 g s a g U f d v v z l u h R s l 3 l i V g s w 8 N 5 L Q o W z e N z f I m H 3 + 8 8 t 2 a k s 3 x F b V N I r F V v M H h 5 G E Y c O W s N 7 6 Z X d t t 1 Y O 9 7 R / 3 0 T / 4 B A A D / / w M A U E s B A i 0 A F A A G A A g A A A A h A C r d q k D S A A A A N w E A A B M A A A A A A A A A A A A A A A A A A A A A A F t D b 2 5 0 Z W 5 0 X 1 R 5 c G V z X S 5 4 b W x Q S w E C L Q A U A A I A C A A A A C E A w 7 V D w q w A A A D 2 A A A A E g A A A A A A A A A A A A A A A A A L A w A A Q 2 9 u Z m l n L 1 B h Y 2 t h Z 2 U u e G 1 s U E s B A i 0 A F A A C A A g A A A A h A M L / F d j Y A A A A + A A A A B M A A A A A A A A A A A A A A A A A 5 w M A A E Z v c m 1 1 b G F z L 1 N l Y 3 R p b 2 4 x L m 1 Q S w U G A A A A A A M A A w D C A A A A 8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F U M T I 6 M z I 6 M T g u N j k 1 O D M 2 M l o i L z 4 8 R W 5 0 c n k g V H l w Z T 0 i R m l s b E N v b H V t b l R 5 c G V z I i B W Y W x 1 Z T 0 i c 0 J n W U c i L z 4 8 R W 5 0 c n k g V H l w Z T 0 i R m l s b E N v b H V t b k 5 h b W V z I i B W Y W x 1 Z T 0 i c 1 s m c X V v d D t L a W 5 k J n F 1 b 3 Q 7 L C Z x d W 9 0 O 0 5 h b W U m c X V v d D s s J n F 1 b 3 Q 7 V G V 4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I y M 2 F l M j c t O W Y 3 N i 0 0 Y 2 Y y L W J i N T Q t Z W R i M D U 2 M z B l N T M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Y 3 V t Z W 5 0 L 0 R h d G E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4 N I n X l 7 3 T q j f n U u + Q c B o A A A A A A I A A A A A A B B m A A A A A Q A A I A A A A G i D / y v x x i e Y R F B W o / d N t c h M R Q I S P 8 c 7 P f A o Y h N e C b o g A A A A A A 6 A A A A A A g A A I A A A A L 2 Z f y M e t F r 0 L R l k C 6 8 D t A f 2 g T W I d D 6 k 6 o 3 q m 2 t F w q N 0 U A A A A C w Y 9 k 8 P q A t w D o y V N F 9 D 7 C 6 1 R X T t K G A t 6 6 G t X e y + 1 V d 7 A V a a U 8 s Q Q p + 8 q b g i x u k R R e Y H 9 F T q x O a L F S r f k 5 S L w a s g A K V + B j h C O s S k M L o T C p c i Q A A A A B r 6 N x f J L e H 5 8 3 R k e U S S R g v z n 8 s R w X L R i V J E X V P M Z A v H h Y f W P h n L J a R P K 3 W + r U i w S 8 8 w G Q X J X X N 5 z 9 w B x 0 9 c e 7 I = < / D a t a M a s h u p > 
</file>

<file path=customXml/itemProps1.xml><?xml version="1.0" encoding="utf-8"?>
<ds:datastoreItem xmlns:ds="http://schemas.openxmlformats.org/officeDocument/2006/customXml" ds:itemID="{0331841D-3C1D-4E33-BC71-70AC87AE9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Semena 5</vt:lpstr>
      <vt:lpstr>Despesas e valores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Rodrigues</dc:creator>
  <cp:lastModifiedBy>Euclides Rodrigues Jr.</cp:lastModifiedBy>
  <dcterms:created xsi:type="dcterms:W3CDTF">2022-05-02T16:29:56Z</dcterms:created>
  <dcterms:modified xsi:type="dcterms:W3CDTF">2022-11-29T18:47:43Z</dcterms:modified>
</cp:coreProperties>
</file>