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8_{FD662DF3-9610-4227-9B7B-18858808A174}" xr6:coauthVersionLast="47" xr6:coauthVersionMax="47" xr10:uidLastSave="{00000000-0000-0000-0000-000000000000}"/>
  <bookViews>
    <workbookView xWindow="-120" yWindow="330" windowWidth="29040" windowHeight="15990" firstSheet="1" activeTab="2" xr2:uid="{00000000-000D-0000-FFFF-FFFF00000000}"/>
  </bookViews>
  <sheets>
    <sheet name="Структура изделия" sheetId="2" state="hidden" r:id="rId1"/>
    <sheet name="Инструкция" sheetId="5" r:id="rId2"/>
    <sheet name="Калькулятор" sheetId="4" r:id="rId3"/>
  </sheets>
  <externalReferences>
    <externalReference r:id="rId4"/>
  </externalReferences>
  <definedNames>
    <definedName name="№" comment="Прайс" localSheetId="1">[1]!Таблица22[#All]</definedName>
    <definedName name="№" comment="Прайс">Таблица22[#All]</definedName>
    <definedName name="_xlnm.Print_Area" localSheetId="1">Инструкция!$A$1:$A$15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E3" i="4" l="1"/>
  <c r="Y3" i="4"/>
  <c r="U3" i="4"/>
  <c r="V3" i="4" s="1"/>
  <c r="Q3" i="4"/>
  <c r="AF3" i="4" s="1"/>
  <c r="U5" i="4"/>
  <c r="V5" i="4" s="1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B6" i="4"/>
  <c r="AC6" i="4" s="1"/>
  <c r="AB7" i="4"/>
  <c r="AC7" i="4" s="1"/>
  <c r="AB8" i="4"/>
  <c r="AC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Y5" i="4"/>
  <c r="Y6" i="4"/>
  <c r="AA6" i="4" s="1"/>
  <c r="Y7" i="4"/>
  <c r="AA7" i="4" s="1"/>
  <c r="Y8" i="4"/>
  <c r="AA8" i="4" s="1"/>
  <c r="Y9" i="4"/>
  <c r="Y10" i="4"/>
  <c r="Y11" i="4"/>
  <c r="AA11" i="4" s="1"/>
  <c r="Y12" i="4"/>
  <c r="Y13" i="4"/>
  <c r="AA13" i="4" s="1"/>
  <c r="Y14" i="4"/>
  <c r="AA14" i="4" s="1"/>
  <c r="Y15" i="4"/>
  <c r="Y16" i="4"/>
  <c r="Y17" i="4"/>
  <c r="Y18" i="4"/>
  <c r="AA18" i="4" s="1"/>
  <c r="Y19" i="4"/>
  <c r="AA19" i="4" s="1"/>
  <c r="Y20" i="4"/>
  <c r="AA20" i="4" s="1"/>
  <c r="Y21" i="4"/>
  <c r="Y22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Q5" i="4"/>
  <c r="AF5" i="4" s="1"/>
  <c r="Q6" i="4"/>
  <c r="Q7" i="4"/>
  <c r="AF7" i="4" s="1"/>
  <c r="Q8" i="4"/>
  <c r="AF8" i="4" s="1"/>
  <c r="Q9" i="4"/>
  <c r="AF9" i="4" s="1"/>
  <c r="Q10" i="4"/>
  <c r="Q11" i="4"/>
  <c r="AF11" i="4" s="1"/>
  <c r="Q12" i="4"/>
  <c r="Q13" i="4"/>
  <c r="Q14" i="4"/>
  <c r="Q15" i="4"/>
  <c r="Q16" i="4"/>
  <c r="AF16" i="4" s="1"/>
  <c r="Q17" i="4"/>
  <c r="AF17" i="4" s="1"/>
  <c r="Q18" i="4"/>
  <c r="Q19" i="4"/>
  <c r="AF19" i="4" s="1"/>
  <c r="Q20" i="4"/>
  <c r="AF20" i="4" s="1"/>
  <c r="Q21" i="4"/>
  <c r="AF21" i="4" s="1"/>
  <c r="Q22" i="4"/>
  <c r="AE5" i="4"/>
  <c r="AE6" i="4"/>
  <c r="AF6" i="4"/>
  <c r="AE7" i="4"/>
  <c r="AE8" i="4"/>
  <c r="AE9" i="4"/>
  <c r="AE10" i="4"/>
  <c r="AE11" i="4"/>
  <c r="AE12" i="4"/>
  <c r="AF12" i="4"/>
  <c r="AE13" i="4"/>
  <c r="AE14" i="4"/>
  <c r="AF14" i="4"/>
  <c r="AE15" i="4"/>
  <c r="AF15" i="4"/>
  <c r="AE16" i="4"/>
  <c r="AE17" i="4"/>
  <c r="AE18" i="4"/>
  <c r="AF18" i="4"/>
  <c r="AE19" i="4"/>
  <c r="AE20" i="4"/>
  <c r="AE21" i="4"/>
  <c r="AE22" i="4"/>
  <c r="E161" i="4"/>
  <c r="G161" i="4"/>
  <c r="H161" i="4" s="1"/>
  <c r="E160" i="4"/>
  <c r="E159" i="4"/>
  <c r="G159" i="4"/>
  <c r="H159" i="4" s="1"/>
  <c r="G160" i="4"/>
  <c r="H160" i="4" s="1"/>
  <c r="E228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230" i="4"/>
  <c r="G230" i="4"/>
  <c r="H230" i="4" s="1"/>
  <c r="G228" i="4"/>
  <c r="H228" i="4" s="1"/>
  <c r="G226" i="4"/>
  <c r="H226" i="4" s="1"/>
  <c r="G224" i="4"/>
  <c r="H224" i="4" s="1"/>
  <c r="G222" i="4"/>
  <c r="H222" i="4" s="1"/>
  <c r="G220" i="4"/>
  <c r="H220" i="4" s="1"/>
  <c r="G218" i="4"/>
  <c r="H218" i="4" s="1"/>
  <c r="G216" i="4"/>
  <c r="H216" i="4" s="1"/>
  <c r="G214" i="4"/>
  <c r="H214" i="4" s="1"/>
  <c r="G212" i="4"/>
  <c r="H212" i="4" s="1"/>
  <c r="G210" i="4"/>
  <c r="H210" i="4" s="1"/>
  <c r="G208" i="4"/>
  <c r="H208" i="4" s="1"/>
  <c r="G206" i="4"/>
  <c r="H206" i="4" s="1"/>
  <c r="G204" i="4"/>
  <c r="H204" i="4" s="1"/>
  <c r="G202" i="4"/>
  <c r="H202" i="4" s="1"/>
  <c r="G200" i="4"/>
  <c r="H200" i="4" s="1"/>
  <c r="G198" i="4"/>
  <c r="H198" i="4" s="1"/>
  <c r="G196" i="4"/>
  <c r="H196" i="4" s="1"/>
  <c r="G194" i="4"/>
  <c r="H194" i="4" s="1"/>
  <c r="G192" i="4"/>
  <c r="H192" i="4" s="1"/>
  <c r="E190" i="4"/>
  <c r="G190" i="4"/>
  <c r="H190" i="4" s="1"/>
  <c r="E188" i="4"/>
  <c r="G188" i="4"/>
  <c r="H188" i="4" s="1"/>
  <c r="E184" i="4"/>
  <c r="G184" i="4"/>
  <c r="H184" i="4" s="1"/>
  <c r="E177" i="4"/>
  <c r="G177" i="4"/>
  <c r="H177" i="4" s="1"/>
  <c r="E175" i="4"/>
  <c r="G175" i="4"/>
  <c r="H175" i="4" s="1"/>
  <c r="E173" i="4"/>
  <c r="G173" i="4"/>
  <c r="H173" i="4" s="1"/>
  <c r="E171" i="4"/>
  <c r="G171" i="4"/>
  <c r="H171" i="4" s="1"/>
  <c r="E158" i="4"/>
  <c r="G158" i="4"/>
  <c r="H158" i="4" s="1"/>
  <c r="E155" i="4"/>
  <c r="G155" i="4"/>
  <c r="H155" i="4" s="1"/>
  <c r="E142" i="4"/>
  <c r="G142" i="4"/>
  <c r="H142" i="4" s="1"/>
  <c r="E136" i="4"/>
  <c r="G136" i="4"/>
  <c r="H136" i="4" s="1"/>
  <c r="E137" i="4"/>
  <c r="G137" i="4"/>
  <c r="H137" i="4" s="1"/>
  <c r="E154" i="4"/>
  <c r="G154" i="4"/>
  <c r="H154" i="4" s="1"/>
  <c r="E151" i="4"/>
  <c r="E150" i="4"/>
  <c r="E149" i="4"/>
  <c r="E148" i="4"/>
  <c r="E147" i="4"/>
  <c r="G147" i="4"/>
  <c r="H147" i="4" s="1"/>
  <c r="G148" i="4"/>
  <c r="H148" i="4" s="1"/>
  <c r="G149" i="4"/>
  <c r="H149" i="4" s="1"/>
  <c r="E146" i="4"/>
  <c r="G146" i="4"/>
  <c r="H146" i="4" s="1"/>
  <c r="G150" i="4"/>
  <c r="H150" i="4" s="1"/>
  <c r="G151" i="4"/>
  <c r="H151" i="4" s="1"/>
  <c r="E145" i="4"/>
  <c r="G145" i="4"/>
  <c r="H145" i="4" s="1"/>
  <c r="E141" i="4"/>
  <c r="E140" i="4"/>
  <c r="G140" i="4"/>
  <c r="H140" i="4" s="1"/>
  <c r="G141" i="4"/>
  <c r="H141" i="4" s="1"/>
  <c r="E134" i="4"/>
  <c r="E133" i="4"/>
  <c r="G133" i="4"/>
  <c r="H133" i="4" s="1"/>
  <c r="G134" i="4"/>
  <c r="H134" i="4" s="1"/>
  <c r="E135" i="4"/>
  <c r="G135" i="4"/>
  <c r="H135" i="4" s="1"/>
  <c r="G129" i="4"/>
  <c r="H129" i="4" s="1"/>
  <c r="E129" i="4"/>
  <c r="G128" i="4"/>
  <c r="H128" i="4" s="1"/>
  <c r="E128" i="4"/>
  <c r="G127" i="4"/>
  <c r="H127" i="4" s="1"/>
  <c r="E127" i="4"/>
  <c r="E122" i="4"/>
  <c r="G122" i="4"/>
  <c r="H122" i="4" s="1"/>
  <c r="E123" i="4"/>
  <c r="G123" i="4"/>
  <c r="H123" i="4" s="1"/>
  <c r="E124" i="4"/>
  <c r="G124" i="4"/>
  <c r="H124" i="4" s="1"/>
  <c r="E125" i="4"/>
  <c r="G125" i="4"/>
  <c r="H125" i="4" s="1"/>
  <c r="E113" i="4"/>
  <c r="G113" i="4"/>
  <c r="H113" i="4" s="1"/>
  <c r="E121" i="4"/>
  <c r="G121" i="4"/>
  <c r="H121" i="4" s="1"/>
  <c r="E119" i="4"/>
  <c r="G119" i="4"/>
  <c r="H119" i="4" s="1"/>
  <c r="E116" i="4"/>
  <c r="G116" i="4"/>
  <c r="H116" i="4" s="1"/>
  <c r="E114" i="4"/>
  <c r="G114" i="4"/>
  <c r="H114" i="4" s="1"/>
  <c r="E111" i="4"/>
  <c r="G111" i="4"/>
  <c r="H111" i="4" s="1"/>
  <c r="E112" i="4"/>
  <c r="G112" i="4"/>
  <c r="H112" i="4" s="1"/>
  <c r="E101" i="4"/>
  <c r="G101" i="4"/>
  <c r="H101" i="4" s="1"/>
  <c r="E102" i="4"/>
  <c r="G102" i="4"/>
  <c r="H102" i="4" s="1"/>
  <c r="E103" i="4"/>
  <c r="G103" i="4"/>
  <c r="H103" i="4" s="1"/>
  <c r="E104" i="4"/>
  <c r="G104" i="4"/>
  <c r="H104" i="4" s="1"/>
  <c r="E105" i="4"/>
  <c r="G105" i="4"/>
  <c r="H105" i="4" s="1"/>
  <c r="E106" i="4"/>
  <c r="G106" i="4"/>
  <c r="H106" i="4" s="1"/>
  <c r="E55" i="4"/>
  <c r="E54" i="4"/>
  <c r="E53" i="4"/>
  <c r="G53" i="4"/>
  <c r="H53" i="4" s="1"/>
  <c r="G54" i="4"/>
  <c r="H54" i="4" s="1"/>
  <c r="G55" i="4"/>
  <c r="H55" i="4" s="1"/>
  <c r="E86" i="4"/>
  <c r="G86" i="4"/>
  <c r="H86" i="4" s="1"/>
  <c r="E87" i="4"/>
  <c r="G87" i="4"/>
  <c r="H87" i="4" s="1"/>
  <c r="E88" i="4"/>
  <c r="G88" i="4"/>
  <c r="H88" i="4" s="1"/>
  <c r="E89" i="4"/>
  <c r="G89" i="4"/>
  <c r="H89" i="4" s="1"/>
  <c r="E90" i="4"/>
  <c r="G90" i="4"/>
  <c r="H90" i="4" s="1"/>
  <c r="E91" i="4"/>
  <c r="G91" i="4"/>
  <c r="H91" i="4" s="1"/>
  <c r="E92" i="4"/>
  <c r="G92" i="4"/>
  <c r="H92" i="4" s="1"/>
  <c r="E93" i="4"/>
  <c r="G93" i="4"/>
  <c r="H93" i="4" s="1"/>
  <c r="E94" i="4"/>
  <c r="G94" i="4"/>
  <c r="H94" i="4" s="1"/>
  <c r="E71" i="4"/>
  <c r="E72" i="4"/>
  <c r="E73" i="4"/>
  <c r="E74" i="4"/>
  <c r="E75" i="4"/>
  <c r="E76" i="4"/>
  <c r="E77" i="4"/>
  <c r="E78" i="4"/>
  <c r="E79" i="4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E59" i="4"/>
  <c r="E60" i="4"/>
  <c r="E61" i="4"/>
  <c r="E62" i="4"/>
  <c r="E63" i="4"/>
  <c r="E64" i="4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E52" i="4"/>
  <c r="E51" i="4"/>
  <c r="E50" i="4"/>
  <c r="G50" i="4"/>
  <c r="H50" i="4" s="1"/>
  <c r="G51" i="4"/>
  <c r="H51" i="4" s="1"/>
  <c r="G52" i="4"/>
  <c r="H52" i="4" s="1"/>
  <c r="E46" i="4"/>
  <c r="E45" i="4"/>
  <c r="E44" i="4"/>
  <c r="G44" i="4"/>
  <c r="H44" i="4" s="1"/>
  <c r="G45" i="4"/>
  <c r="H45" i="4" s="1"/>
  <c r="G46" i="4"/>
  <c r="H46" i="4" s="1"/>
  <c r="E40" i="4"/>
  <c r="E39" i="4"/>
  <c r="E38" i="4"/>
  <c r="E37" i="4"/>
  <c r="E36" i="4"/>
  <c r="E35" i="4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E31" i="4"/>
  <c r="E30" i="4"/>
  <c r="E29" i="4"/>
  <c r="G29" i="4"/>
  <c r="H29" i="4" s="1"/>
  <c r="G30" i="4"/>
  <c r="H30" i="4" s="1"/>
  <c r="G31" i="4"/>
  <c r="H31" i="4" s="1"/>
  <c r="E24" i="4"/>
  <c r="G24" i="4"/>
  <c r="H24" i="4" s="1"/>
  <c r="E21" i="4"/>
  <c r="G21" i="4"/>
  <c r="H21" i="4" s="1"/>
  <c r="E17" i="4"/>
  <c r="E18" i="4"/>
  <c r="G17" i="4"/>
  <c r="H17" i="4" s="1"/>
  <c r="G18" i="4"/>
  <c r="H18" i="4" s="1"/>
  <c r="E14" i="4"/>
  <c r="G14" i="4"/>
  <c r="H14" i="4" s="1"/>
  <c r="E10" i="4"/>
  <c r="G10" i="4"/>
  <c r="H10" i="4" s="1"/>
  <c r="AG3" i="4" l="1"/>
  <c r="X3" i="4"/>
  <c r="Z3" i="4"/>
  <c r="AA3" i="4" s="1"/>
  <c r="AD3" i="4"/>
  <c r="AA17" i="4"/>
  <c r="AA15" i="4"/>
  <c r="AG6" i="4"/>
  <c r="AA16" i="4"/>
  <c r="AA12" i="4"/>
  <c r="AG19" i="4"/>
  <c r="AG16" i="4"/>
  <c r="AG17" i="4"/>
  <c r="AA22" i="4"/>
  <c r="AA10" i="4"/>
  <c r="AA21" i="4"/>
  <c r="AA9" i="4"/>
  <c r="AA5" i="4"/>
  <c r="AB5" i="4" s="1"/>
  <c r="AC5" i="4" s="1"/>
  <c r="AG21" i="4"/>
  <c r="AG14" i="4"/>
  <c r="AG7" i="4"/>
  <c r="AG12" i="4"/>
  <c r="AF10" i="4"/>
  <c r="AG10" i="4" s="1"/>
  <c r="AG5" i="4"/>
  <c r="AF22" i="4"/>
  <c r="AG22" i="4" s="1"/>
  <c r="AG20" i="4"/>
  <c r="AF13" i="4"/>
  <c r="AG13" i="4"/>
  <c r="AG18" i="4"/>
  <c r="AG11" i="4"/>
  <c r="AG15" i="4"/>
  <c r="AG8" i="4"/>
  <c r="AG9" i="4"/>
  <c r="E7" i="4"/>
  <c r="G7" i="4"/>
  <c r="H7" i="4" s="1"/>
  <c r="E6" i="4"/>
  <c r="G6" i="4"/>
  <c r="H6" i="4" s="1"/>
  <c r="AH3" i="4" l="1"/>
  <c r="AI3" i="4" s="1"/>
  <c r="AB3" i="4"/>
  <c r="AC3" i="4" s="1"/>
  <c r="E186" i="4"/>
  <c r="G186" i="4"/>
  <c r="H186" i="4" s="1"/>
  <c r="V6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E162" i="4" l="1"/>
  <c r="G162" i="4"/>
  <c r="H162" i="4" s="1"/>
  <c r="E163" i="4"/>
  <c r="G163" i="4"/>
  <c r="H163" i="4" s="1"/>
  <c r="E164" i="4"/>
  <c r="G164" i="4"/>
  <c r="H164" i="4" s="1"/>
  <c r="E165" i="4"/>
  <c r="G165" i="4"/>
  <c r="H165" i="4" s="1"/>
  <c r="E3" i="4" l="1"/>
  <c r="E4" i="4"/>
  <c r="E5" i="4"/>
  <c r="E8" i="4"/>
  <c r="E9" i="4"/>
  <c r="E11" i="4"/>
  <c r="E12" i="4"/>
  <c r="E13" i="4"/>
  <c r="E15" i="4"/>
  <c r="E16" i="4"/>
  <c r="E19" i="4"/>
  <c r="E20" i="4"/>
  <c r="E22" i="4"/>
  <c r="E23" i="4"/>
  <c r="E25" i="4"/>
  <c r="E26" i="4"/>
  <c r="E27" i="4"/>
  <c r="E28" i="4"/>
  <c r="E32" i="4"/>
  <c r="E33" i="4"/>
  <c r="E34" i="4"/>
  <c r="E41" i="4"/>
  <c r="E42" i="4"/>
  <c r="E43" i="4"/>
  <c r="E47" i="4"/>
  <c r="E48" i="4"/>
  <c r="E49" i="4"/>
  <c r="E56" i="4"/>
  <c r="E57" i="4"/>
  <c r="E58" i="4"/>
  <c r="E65" i="4"/>
  <c r="E66" i="4"/>
  <c r="E67" i="4"/>
  <c r="E68" i="4"/>
  <c r="E69" i="4"/>
  <c r="E70" i="4"/>
  <c r="E80" i="4"/>
  <c r="E81" i="4"/>
  <c r="E82" i="4"/>
  <c r="E83" i="4"/>
  <c r="E84" i="4"/>
  <c r="E85" i="4"/>
  <c r="E95" i="4"/>
  <c r="E96" i="4"/>
  <c r="E97" i="4"/>
  <c r="E98" i="4"/>
  <c r="E99" i="4"/>
  <c r="E100" i="4"/>
  <c r="E107" i="4"/>
  <c r="E108" i="4"/>
  <c r="E109" i="4"/>
  <c r="E110" i="4"/>
  <c r="E115" i="4"/>
  <c r="E118" i="4"/>
  <c r="E117" i="4"/>
  <c r="E120" i="4"/>
  <c r="E126" i="4"/>
  <c r="E130" i="4"/>
  <c r="E131" i="4"/>
  <c r="E132" i="4"/>
  <c r="E138" i="4"/>
  <c r="E139" i="4"/>
  <c r="E143" i="4"/>
  <c r="E144" i="4"/>
  <c r="E152" i="4"/>
  <c r="E153" i="4"/>
  <c r="E156" i="4"/>
  <c r="E157" i="4"/>
  <c r="E166" i="4"/>
  <c r="E167" i="4"/>
  <c r="E168" i="4"/>
  <c r="E169" i="4"/>
  <c r="E170" i="4"/>
  <c r="E172" i="4"/>
  <c r="E174" i="4"/>
  <c r="E176" i="4"/>
  <c r="E178" i="4"/>
  <c r="E179" i="4"/>
  <c r="E180" i="4"/>
  <c r="E181" i="4"/>
  <c r="E182" i="4"/>
  <c r="E183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2" i="4"/>
  <c r="E233" i="4"/>
  <c r="AD16" i="4" l="1"/>
  <c r="AH16" i="4" s="1"/>
  <c r="AD18" i="4"/>
  <c r="AH18" i="4" s="1"/>
  <c r="AD19" i="4"/>
  <c r="AH19" i="4" s="1"/>
  <c r="AD21" i="4"/>
  <c r="AH21" i="4" s="1"/>
  <c r="AD6" i="4"/>
  <c r="AH6" i="4" s="1"/>
  <c r="AD7" i="4"/>
  <c r="AH7" i="4" s="1"/>
  <c r="AD9" i="4"/>
  <c r="AH9" i="4" s="1"/>
  <c r="AD10" i="4"/>
  <c r="AH10" i="4" s="1"/>
  <c r="AD13" i="4"/>
  <c r="AH13" i="4" s="1"/>
  <c r="AD17" i="4"/>
  <c r="AH17" i="4" s="1"/>
  <c r="AD20" i="4"/>
  <c r="AH20" i="4" s="1"/>
  <c r="AD11" i="4"/>
  <c r="AH11" i="4" s="1"/>
  <c r="AD22" i="4"/>
  <c r="AH22" i="4" s="1"/>
  <c r="AD8" i="4"/>
  <c r="AH8" i="4" s="1"/>
  <c r="AD5" i="4"/>
  <c r="AH5" i="4" s="1"/>
  <c r="AI5" i="4" s="1"/>
  <c r="AD12" i="4"/>
  <c r="AH12" i="4" s="1"/>
  <c r="AD14" i="4"/>
  <c r="AH14" i="4" s="1"/>
  <c r="AD15" i="4"/>
  <c r="AH15" i="4" s="1"/>
  <c r="V7" i="4"/>
  <c r="AI23" i="4" l="1"/>
  <c r="G211" i="4"/>
  <c r="H211" i="4" s="1"/>
  <c r="G209" i="4"/>
  <c r="H209" i="4" s="1"/>
  <c r="G207" i="4"/>
  <c r="H207" i="4" s="1"/>
  <c r="G205" i="4"/>
  <c r="H205" i="4" s="1"/>
  <c r="G203" i="4"/>
  <c r="H203" i="4" s="1"/>
  <c r="G201" i="4"/>
  <c r="H201" i="4" s="1"/>
  <c r="G199" i="4"/>
  <c r="H199" i="4" s="1"/>
  <c r="G197" i="4"/>
  <c r="H197" i="4" s="1"/>
  <c r="G195" i="4"/>
  <c r="H195" i="4" s="1"/>
  <c r="G193" i="4"/>
  <c r="H193" i="4" s="1"/>
  <c r="G213" i="4"/>
  <c r="H213" i="4" s="1"/>
  <c r="G215" i="4"/>
  <c r="H215" i="4" s="1"/>
  <c r="G217" i="4"/>
  <c r="H217" i="4" s="1"/>
  <c r="G219" i="4"/>
  <c r="H219" i="4" s="1"/>
  <c r="G221" i="4"/>
  <c r="H221" i="4" s="1"/>
  <c r="G223" i="4"/>
  <c r="H223" i="4" s="1"/>
  <c r="G225" i="4"/>
  <c r="H225" i="4" s="1"/>
  <c r="G227" i="4"/>
  <c r="H227" i="4" s="1"/>
  <c r="G229" i="4"/>
  <c r="H229" i="4" s="1"/>
  <c r="G231" i="4"/>
  <c r="H231" i="4" s="1"/>
  <c r="G232" i="4"/>
  <c r="H232" i="4" s="1"/>
  <c r="G180" i="4"/>
  <c r="H180" i="4" s="1"/>
  <c r="G181" i="4"/>
  <c r="H181" i="4" s="1"/>
  <c r="G182" i="4"/>
  <c r="H182" i="4" s="1"/>
  <c r="G183" i="4"/>
  <c r="H183" i="4" s="1"/>
  <c r="G185" i="4"/>
  <c r="H185" i="4" s="1"/>
  <c r="G187" i="4"/>
  <c r="H187" i="4" s="1"/>
  <c r="G189" i="4"/>
  <c r="H189" i="4" s="1"/>
  <c r="G191" i="4"/>
  <c r="H191" i="4" s="1"/>
  <c r="D14" i="2"/>
  <c r="D15" i="2"/>
  <c r="D13" i="2"/>
  <c r="D10" i="2"/>
  <c r="D12" i="2" s="1"/>
  <c r="D5" i="2"/>
  <c r="D6" i="2"/>
  <c r="D7" i="2"/>
  <c r="D8" i="2"/>
  <c r="D4" i="2"/>
  <c r="E2" i="2"/>
  <c r="X6" i="4" l="1"/>
  <c r="X20" i="4"/>
  <c r="X8" i="4"/>
  <c r="X19" i="4"/>
  <c r="X21" i="4"/>
  <c r="X22" i="4"/>
  <c r="X9" i="4"/>
  <c r="X10" i="4"/>
  <c r="X5" i="4"/>
  <c r="X7" i="4"/>
  <c r="X17" i="4"/>
  <c r="X11" i="4"/>
  <c r="X16" i="4"/>
  <c r="X18" i="4"/>
  <c r="X15" i="4"/>
  <c r="X12" i="4"/>
  <c r="X13" i="4"/>
  <c r="X14" i="4"/>
  <c r="E4" i="2"/>
  <c r="E15" i="2"/>
  <c r="E7" i="2"/>
  <c r="E14" i="2"/>
  <c r="E10" i="2"/>
  <c r="E6" i="2"/>
  <c r="E13" i="2"/>
  <c r="E9" i="2"/>
  <c r="E5" i="2"/>
  <c r="E3" i="2"/>
  <c r="E12" i="2"/>
  <c r="E8" i="2"/>
  <c r="D11" i="2"/>
  <c r="E11" i="2" s="1"/>
  <c r="G167" i="4" l="1"/>
  <c r="H167" i="4" s="1"/>
  <c r="G168" i="4"/>
  <c r="H168" i="4" s="1"/>
  <c r="G166" i="4"/>
  <c r="H166" i="4" s="1"/>
  <c r="G169" i="4"/>
  <c r="H169" i="4" s="1"/>
  <c r="G170" i="4"/>
  <c r="H170" i="4" s="1"/>
  <c r="G172" i="4"/>
  <c r="H172" i="4" s="1"/>
  <c r="G174" i="4"/>
  <c r="H174" i="4" s="1"/>
  <c r="G176" i="4"/>
  <c r="H176" i="4" s="1"/>
  <c r="G178" i="4"/>
  <c r="H178" i="4" s="1"/>
  <c r="G157" i="4"/>
  <c r="H157" i="4" s="1"/>
  <c r="G156" i="4"/>
  <c r="H156" i="4" s="1"/>
  <c r="G152" i="4"/>
  <c r="H152" i="4" s="1"/>
  <c r="G153" i="4"/>
  <c r="H153" i="4" s="1"/>
  <c r="G144" i="4"/>
  <c r="H144" i="4" s="1"/>
  <c r="G143" i="4"/>
  <c r="H143" i="4" s="1"/>
  <c r="G139" i="4"/>
  <c r="H139" i="4" s="1"/>
  <c r="G138" i="4"/>
  <c r="H138" i="4" s="1"/>
  <c r="G120" i="4"/>
  <c r="H120" i="4" s="1"/>
  <c r="G109" i="4"/>
  <c r="H109" i="4" s="1"/>
  <c r="G108" i="4"/>
  <c r="H108" i="4" s="1"/>
  <c r="G107" i="4"/>
  <c r="H107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58" i="4"/>
  <c r="H58" i="4" s="1"/>
  <c r="G57" i="4"/>
  <c r="H57" i="4" s="1"/>
  <c r="G56" i="4"/>
  <c r="H56" i="4" s="1"/>
  <c r="G49" i="4"/>
  <c r="H49" i="4" s="1"/>
  <c r="G48" i="4"/>
  <c r="H48" i="4" s="1"/>
  <c r="G47" i="4"/>
  <c r="H47" i="4" s="1"/>
  <c r="G43" i="4"/>
  <c r="H43" i="4" s="1"/>
  <c r="G42" i="4"/>
  <c r="H42" i="4" s="1"/>
  <c r="G41" i="4"/>
  <c r="H41" i="4" s="1"/>
  <c r="G34" i="4"/>
  <c r="H34" i="4" s="1"/>
  <c r="G33" i="4"/>
  <c r="H33" i="4" s="1"/>
  <c r="G32" i="4"/>
  <c r="H32" i="4" s="1"/>
  <c r="G27" i="4"/>
  <c r="H27" i="4" s="1"/>
  <c r="G28" i="4"/>
  <c r="H28" i="4" s="1"/>
  <c r="G26" i="4"/>
  <c r="H26" i="4" s="1"/>
  <c r="G110" i="4"/>
  <c r="H110" i="4" s="1"/>
  <c r="G115" i="4"/>
  <c r="H115" i="4" s="1"/>
  <c r="G118" i="4"/>
  <c r="H118" i="4" s="1"/>
  <c r="G117" i="4"/>
  <c r="H117" i="4" s="1"/>
  <c r="G126" i="4"/>
  <c r="H126" i="4" s="1"/>
  <c r="G130" i="4"/>
  <c r="H130" i="4" s="1"/>
  <c r="G131" i="4"/>
  <c r="H131" i="4" s="1"/>
  <c r="G132" i="4"/>
  <c r="H132" i="4" s="1"/>
  <c r="G179" i="4"/>
  <c r="H179" i="4" s="1"/>
  <c r="G233" i="4"/>
  <c r="H233" i="4" s="1"/>
  <c r="G25" i="4"/>
  <c r="H25" i="4" s="1"/>
  <c r="G23" i="4"/>
  <c r="H23" i="4" s="1"/>
  <c r="G22" i="4"/>
  <c r="H22" i="4" s="1"/>
  <c r="G20" i="4"/>
  <c r="H20" i="4" s="1"/>
  <c r="G9" i="4"/>
  <c r="H9" i="4" s="1"/>
  <c r="G11" i="4"/>
  <c r="H11" i="4" s="1"/>
  <c r="G12" i="4"/>
  <c r="H12" i="4" s="1"/>
  <c r="G13" i="4"/>
  <c r="H13" i="4" s="1"/>
  <c r="G15" i="4"/>
  <c r="H15" i="4" s="1"/>
  <c r="G16" i="4"/>
  <c r="H16" i="4" s="1"/>
  <c r="G19" i="4"/>
  <c r="H19" i="4" s="1"/>
  <c r="G3" i="4"/>
  <c r="H3" i="4" s="1"/>
  <c r="G4" i="4"/>
  <c r="H4" i="4" s="1"/>
  <c r="G5" i="4"/>
  <c r="H5" i="4" s="1"/>
  <c r="G8" i="4"/>
  <c r="H8" i="4" s="1"/>
  <c r="AW4" i="4"/>
  <c r="AX4" i="4" s="1"/>
  <c r="AW3" i="4"/>
  <c r="AX3" i="4" s="1"/>
  <c r="AC23" i="4" l="1"/>
  <c r="AI25" i="4" s="1"/>
  <c r="AB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R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Столбик (B)</t>
        </r>
      </text>
    </comment>
    <comment ref="AP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Дельта.
Т.е. К 0,8 по факту означает 1,8</t>
        </r>
      </text>
    </comment>
    <comment ref="AI25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Просто для контроля</t>
        </r>
      </text>
    </comment>
    <comment ref="B146" authorId="0" shapeId="0" xr:uid="{00000000-0006-0000-0200-000004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47" authorId="0" shapeId="0" xr:uid="{00000000-0006-0000-0200-000005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48" authorId="0" shapeId="0" xr:uid="{00000000-0006-0000-0200-000006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49" authorId="0" shapeId="0" xr:uid="{00000000-0006-0000-0200-000007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0" authorId="0" shapeId="0" xr:uid="{00000000-0006-0000-0200-000008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1" authorId="0" shapeId="0" xr:uid="{00000000-0006-0000-0200-000009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2" authorId="0" shapeId="0" xr:uid="{00000000-0006-0000-0200-00000A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3" authorId="0" shapeId="0" xr:uid="{00000000-0006-0000-0200-00000B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4" authorId="0" shapeId="0" xr:uid="{00000000-0006-0000-0200-00000C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55" authorId="0" shapeId="0" xr:uid="{00000000-0006-0000-0200-00000D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56" authorId="0" shapeId="0" xr:uid="{00000000-0006-0000-0200-00000E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57" authorId="0" shapeId="0" xr:uid="{00000000-0006-0000-0200-00000F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58" authorId="0" shapeId="0" xr:uid="{00000000-0006-0000-0200-000010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59" authorId="0" shapeId="0" xr:uid="{00000000-0006-0000-0200-000011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60" authorId="0" shapeId="0" xr:uid="{00000000-0006-0000-0200-000012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61" authorId="0" shapeId="0" xr:uid="{00000000-0006-0000-0200-000013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62" authorId="0" shapeId="0" xr:uid="{00000000-0006-0000-0200-000014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63" authorId="0" shapeId="0" xr:uid="{00000000-0006-0000-0200-000015000000}">
      <text>
        <r>
          <rPr>
            <sz val="9"/>
            <color indexed="81"/>
            <rFont val="Tahoma"/>
            <family val="2"/>
            <charset val="204"/>
          </rPr>
          <t>1. Фаска 0,5мм с двух сторон
2. Сверловка по готовому отверстию после лазера
3. Нарезание резьбы</t>
        </r>
      </text>
    </comment>
    <comment ref="B164" authorId="0" shapeId="0" xr:uid="{00000000-0006-0000-0200-000016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65" authorId="0" shapeId="0" xr:uid="{00000000-0006-0000-0200-000017000000}">
      <text>
        <r>
          <rPr>
            <sz val="9"/>
            <color indexed="81"/>
            <rFont val="Tahoma"/>
            <family val="2"/>
            <charset val="204"/>
          </rPr>
          <t xml:space="preserve">1. Фаска 0,5мм с двух сторон
2. Сверловка по готовому отверстию после лазера
3. Нарезание резьбы
</t>
        </r>
      </text>
    </comment>
    <comment ref="B186" authorId="0" shapeId="0" xr:uid="{00000000-0006-0000-0200-000018000000}">
      <text>
        <r>
          <rPr>
            <sz val="9"/>
            <color indexed="81"/>
            <rFont val="Tahoma"/>
            <family val="2"/>
            <charset val="204"/>
          </rPr>
          <t xml:space="preserve">Максимум 5х5 профилей
</t>
        </r>
      </text>
    </comment>
    <comment ref="B187" authorId="0" shapeId="0" xr:uid="{00000000-0006-0000-0200-000019000000}">
      <text>
        <r>
          <rPr>
            <sz val="9"/>
            <color indexed="81"/>
            <rFont val="Tahoma"/>
            <family val="2"/>
            <charset val="204"/>
          </rPr>
          <t xml:space="preserve">Максимум 5х5 профилей
</t>
        </r>
      </text>
    </comment>
    <comment ref="B188" authorId="0" shapeId="0" xr:uid="{00000000-0006-0000-0200-00001A000000}">
      <text>
        <r>
          <rPr>
            <sz val="9"/>
            <color indexed="81"/>
            <rFont val="Tahoma"/>
            <family val="2"/>
            <charset val="204"/>
          </rPr>
          <t>Максимум 3х3 профилей</t>
        </r>
      </text>
    </comment>
    <comment ref="B189" authorId="0" shapeId="0" xr:uid="{00000000-0006-0000-0200-00001B000000}">
      <text>
        <r>
          <rPr>
            <sz val="9"/>
            <color indexed="81"/>
            <rFont val="Tahoma"/>
            <family val="2"/>
            <charset val="204"/>
          </rPr>
          <t>Максимум 3х3 профилей</t>
        </r>
      </text>
    </comment>
    <comment ref="B190" authorId="0" shapeId="0" xr:uid="{00000000-0006-0000-0200-00001C000000}">
      <text>
        <r>
          <rPr>
            <sz val="9"/>
            <color indexed="81"/>
            <rFont val="Tahoma"/>
            <family val="2"/>
            <charset val="204"/>
          </rPr>
          <t>Максимум 2х1 профилей</t>
        </r>
      </text>
    </comment>
    <comment ref="B191" authorId="0" shapeId="0" xr:uid="{00000000-0006-0000-0200-00001D000000}">
      <text>
        <r>
          <rPr>
            <sz val="9"/>
            <color indexed="81"/>
            <rFont val="Tahoma"/>
            <family val="2"/>
            <charset val="204"/>
          </rPr>
          <t>Максимум 2х1 профилей</t>
        </r>
      </text>
    </comment>
  </commentList>
</comments>
</file>

<file path=xl/sharedStrings.xml><?xml version="1.0" encoding="utf-8"?>
<sst xmlns="http://schemas.openxmlformats.org/spreadsheetml/2006/main" count="834" uniqueCount="124">
  <si>
    <t>Стоимость</t>
  </si>
  <si>
    <t>Время</t>
  </si>
  <si>
    <t>Тираж от…</t>
  </si>
  <si>
    <t>Базовый прайс участок сварки и МО</t>
  </si>
  <si>
    <t>Ставка</t>
  </si>
  <si>
    <t>Категории работ</t>
  </si>
  <si>
    <t>Категория работ</t>
  </si>
  <si>
    <t>№</t>
  </si>
  <si>
    <t>МО цветной металл</t>
  </si>
  <si>
    <t>МО черный металл</t>
  </si>
  <si>
    <t>Категория</t>
  </si>
  <si>
    <t>Нормочас</t>
  </si>
  <si>
    <t>Проверочный калькулятор</t>
  </si>
  <si>
    <t>Материал</t>
  </si>
  <si>
    <t>Время, сек</t>
  </si>
  <si>
    <t>Операция</t>
  </si>
  <si>
    <t>Сталь черная</t>
  </si>
  <si>
    <t>Нормочасы на 1 чел</t>
  </si>
  <si>
    <t>Алюминий</t>
  </si>
  <si>
    <t>Нержавейка</t>
  </si>
  <si>
    <t>Зачистка после сварки</t>
  </si>
  <si>
    <t>Разделка кромки под сварку</t>
  </si>
  <si>
    <t>Макс. габарит изделия от…</t>
  </si>
  <si>
    <r>
      <t xml:space="preserve">Сверление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5мм</t>
    </r>
  </si>
  <si>
    <r>
      <t xml:space="preserve">Сверление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12мм</t>
    </r>
  </si>
  <si>
    <r>
      <t xml:space="preserve">Сверление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18мм</t>
    </r>
  </si>
  <si>
    <t>Прайсовая стоимость</t>
  </si>
  <si>
    <r>
      <t xml:space="preserve">Зенкование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5мм</t>
    </r>
  </si>
  <si>
    <r>
      <t xml:space="preserve">Зенкование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12мм</t>
    </r>
  </si>
  <si>
    <t>Нарезание резьбы до М12</t>
  </si>
  <si>
    <t>Нарезание резьбы до М8</t>
  </si>
  <si>
    <t>Резьба полная до М8</t>
  </si>
  <si>
    <r>
      <t xml:space="preserve">Сверление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20мм</t>
    </r>
  </si>
  <si>
    <r>
      <t xml:space="preserve">Зенкование  до </t>
    </r>
    <r>
      <rPr>
        <i/>
        <sz val="11"/>
        <color theme="1"/>
        <rFont val="Calibri"/>
        <family val="2"/>
        <scheme val="minor"/>
      </rPr>
      <t>Ф</t>
    </r>
    <r>
      <rPr>
        <sz val="11"/>
        <color theme="1"/>
        <rFont val="Calibri"/>
        <family val="2"/>
        <scheme val="minor"/>
      </rPr>
      <t>20мм</t>
    </r>
  </si>
  <si>
    <t>Резьба полная до М12</t>
  </si>
  <si>
    <t>Зачистка после лазерной резки</t>
  </si>
  <si>
    <t>Шлифование поверхности лист</t>
  </si>
  <si>
    <t>Шлифование поверхности труба</t>
  </si>
  <si>
    <t>Рамка СБ</t>
  </si>
  <si>
    <t>Труба 1</t>
  </si>
  <si>
    <t>Труба 2</t>
  </si>
  <si>
    <t>Бортик</t>
  </si>
  <si>
    <t>Изделие</t>
  </si>
  <si>
    <t>Сборка</t>
  </si>
  <si>
    <t>Деталь</t>
  </si>
  <si>
    <t>Метизы</t>
  </si>
  <si>
    <t>Кол по спецификации</t>
  </si>
  <si>
    <t>Стойка</t>
  </si>
  <si>
    <t>Перемычка</t>
  </si>
  <si>
    <t>Стяжка</t>
  </si>
  <si>
    <t>Каркас СБ</t>
  </si>
  <si>
    <t>Полка в сборе СБ</t>
  </si>
  <si>
    <t>Стойка СБ</t>
  </si>
  <si>
    <t>Заклепка резьбовая М10 ст борт</t>
  </si>
  <si>
    <t>Опора регулируемая М10</t>
  </si>
  <si>
    <t>Кол в 1-м изделии</t>
  </si>
  <si>
    <t>Кол в тираже</t>
  </si>
  <si>
    <t>Тираж</t>
  </si>
  <si>
    <t>Резка профиля до 30х30 пакетом</t>
  </si>
  <si>
    <t>Резка профиля до 40х40 пакетом</t>
  </si>
  <si>
    <t>Резка профиля до 60х60 пакетом</t>
  </si>
  <si>
    <t>Резка профиля до 40х40 прямая</t>
  </si>
  <si>
    <t>Резка профиля до 80х80 прямая</t>
  </si>
  <si>
    <t>Резка профиля до 120х120 прямая</t>
  </si>
  <si>
    <t>Резка профиля до 160х160 прямая</t>
  </si>
  <si>
    <t>Резка профиля до 200х200 прямая</t>
  </si>
  <si>
    <t>Резка профиля до 40х40 под углом</t>
  </si>
  <si>
    <t>Резка профиля до 80х80 под углом</t>
  </si>
  <si>
    <t>Резка профиля до 120х120 под углом</t>
  </si>
  <si>
    <t>Резка профиля до 160х160 под углом</t>
  </si>
  <si>
    <t>Резка профиля до 200х200 под углом</t>
  </si>
  <si>
    <t>Операции</t>
  </si>
  <si>
    <t>Толщина до…</t>
  </si>
  <si>
    <t>Кол операций на 1 изд</t>
  </si>
  <si>
    <t>К на время по тиражу</t>
  </si>
  <si>
    <t>К на время по габариту</t>
  </si>
  <si>
    <t>К на время итоговый</t>
  </si>
  <si>
    <t>Габариты</t>
  </si>
  <si>
    <t>К на работу по тиражу</t>
  </si>
  <si>
    <t>К на работу по габариту</t>
  </si>
  <si>
    <t>Время по прайсу</t>
  </si>
  <si>
    <t>Цена по прайсу</t>
  </si>
  <si>
    <t>Время для 1 изд</t>
  </si>
  <si>
    <t>Ручной ввод</t>
  </si>
  <si>
    <t>Сумма коэффициентов +1</t>
  </si>
  <si>
    <t>Из столбца H автоматически</t>
  </si>
  <si>
    <t>Формула. Сумма коэффициентов +1</t>
  </si>
  <si>
    <t>Результат стоимость</t>
  </si>
  <si>
    <t>Результат время</t>
  </si>
  <si>
    <t>К по габариту</t>
  </si>
  <si>
    <t>К тиражный</t>
  </si>
  <si>
    <t>К на работу итоговый</t>
  </si>
  <si>
    <t>Гайка М6</t>
  </si>
  <si>
    <t>Шпилька приварная омедненная М6х12</t>
  </si>
  <si>
    <t>Названия строк</t>
  </si>
  <si>
    <t>Зенкование  до Ф20мм</t>
  </si>
  <si>
    <t>Зенкование до Ф12мм</t>
  </si>
  <si>
    <t>Зенкование до Ф5мм</t>
  </si>
  <si>
    <t>Сверление до Ф12мм</t>
  </si>
  <si>
    <t>Сверление до Ф18мм</t>
  </si>
  <si>
    <t>Сверление до Ф20мм</t>
  </si>
  <si>
    <t>Сверление до Ф5мм</t>
  </si>
  <si>
    <t>(пусто)</t>
  </si>
  <si>
    <t>технич</t>
  </si>
  <si>
    <t>Максимальный габарит</t>
  </si>
  <si>
    <t>Сцепка для формулы</t>
  </si>
  <si>
    <t>Технич</t>
  </si>
  <si>
    <t>Из столбца AT автоматически</t>
  </si>
  <si>
    <t>Из столбца AQ автоматически</t>
  </si>
  <si>
    <t>Из столбца I автоматически</t>
  </si>
  <si>
    <t>Из столбца AU автоматически</t>
  </si>
  <si>
    <t>Из столбца AP автоматически</t>
  </si>
  <si>
    <t>Нарезание резьбы до М6</t>
  </si>
  <si>
    <t>Стоимость тиража</t>
  </si>
  <si>
    <t>Время тиража</t>
  </si>
  <si>
    <t>Стоимость для 1 изд</t>
  </si>
  <si>
    <t>Формула</t>
  </si>
  <si>
    <t>Сцепка</t>
  </si>
  <si>
    <t>Резьба полная до М6</t>
  </si>
  <si>
    <t>Сведения из выпадающего списка</t>
  </si>
  <si>
    <t xml:space="preserve">Автоматически </t>
  </si>
  <si>
    <t>Полный перечень Операций</t>
  </si>
  <si>
    <r>
      <t xml:space="preserve">1. Расчет </t>
    </r>
    <r>
      <rPr>
        <b/>
        <sz val="11"/>
        <color rgb="FF0070C0"/>
        <rFont val="Calibri"/>
        <family val="2"/>
        <charset val="204"/>
        <scheme val="minor"/>
      </rPr>
      <t>Стоимости работ на участке Мехобработки</t>
    </r>
    <r>
      <rPr>
        <sz val="11"/>
        <color theme="1"/>
        <rFont val="Calibri"/>
        <family val="2"/>
        <scheme val="minor"/>
      </rPr>
      <t xml:space="preserve">.
2. Общие принципы внесения данных: Ячейка </t>
    </r>
    <r>
      <rPr>
        <b/>
        <sz val="11"/>
        <color rgb="FFC09200"/>
        <rFont val="Calibri"/>
        <family val="2"/>
        <charset val="204"/>
        <scheme val="minor"/>
      </rPr>
      <t>желтого</t>
    </r>
    <r>
      <rPr>
        <sz val="11"/>
        <color theme="1"/>
        <rFont val="Calibri"/>
        <family val="2"/>
        <scheme val="minor"/>
      </rPr>
      <t xml:space="preserve"> цвета - ручной ввод, остальные ячейки - либо расчет формулой, либо выпадающие списки.
3. При внесении данных размерность вносить не нужно. Например, если тираж изделия 150 шт, вносить требуется только число "150".
4.</t>
    </r>
    <r>
      <rPr>
        <sz val="11"/>
        <color rgb="FFC00000"/>
        <rFont val="Calibri"/>
        <family val="2"/>
        <charset val="204"/>
        <scheme val="minor"/>
      </rPr>
      <t xml:space="preserve"> ВНИМАНИЕ! Результаты вычислений следует воспринимать как рекомендованные, но не абсолютные. 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>Стоимость работы по Мехобработке.</t>
    </r>
    <r>
      <rPr>
        <sz val="11"/>
        <color theme="1"/>
        <rFont val="Calibri"/>
        <family val="2"/>
        <scheme val="minor"/>
      </rPr>
      <t xml:space="preserve">
   * Ввести данные по изделию в столбцы L:W.
   * В поля L:P ввести </t>
    </r>
    <r>
      <rPr>
        <b/>
        <sz val="11"/>
        <color theme="1"/>
        <rFont val="Calibri"/>
        <family val="2"/>
        <charset val="204"/>
        <scheme val="minor"/>
      </rPr>
      <t>Название сварного узла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Тираж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Габариты</t>
    </r>
    <r>
      <rPr>
        <sz val="11"/>
        <color theme="1"/>
        <rFont val="Calibri"/>
        <family val="2"/>
        <scheme val="minor"/>
      </rPr>
      <t xml:space="preserve"> (габариты можно вводить в любой последовательности)
   * В поле R выбрать </t>
    </r>
    <r>
      <rPr>
        <sz val="11"/>
        <color theme="1"/>
        <rFont val="Calibri"/>
        <family val="2"/>
        <charset val="204"/>
        <scheme val="minor"/>
      </rPr>
      <t>сварную</t>
    </r>
    <r>
      <rPr>
        <b/>
        <sz val="11"/>
        <color theme="1"/>
        <rFont val="Calibri"/>
        <family val="2"/>
        <charset val="204"/>
        <scheme val="minor"/>
      </rPr>
      <t xml:space="preserve"> Операцию</t>
    </r>
    <r>
      <rPr>
        <sz val="11"/>
        <color theme="1"/>
        <rFont val="Calibri"/>
        <family val="2"/>
        <scheme val="minor"/>
      </rPr>
      <t xml:space="preserve">. Полный список </t>
    </r>
    <r>
      <rPr>
        <b/>
        <sz val="11"/>
        <color theme="1"/>
        <rFont val="Calibri"/>
        <family val="2"/>
        <charset val="204"/>
        <scheme val="minor"/>
      </rPr>
      <t>Операций</t>
    </r>
    <r>
      <rPr>
        <sz val="11"/>
        <color theme="1"/>
        <rFont val="Calibri"/>
        <family val="2"/>
        <scheme val="minor"/>
      </rPr>
      <t xml:space="preserve"> можно посмотреть в табличке R26:R37.
   * В поле S выбрать </t>
    </r>
    <r>
      <rPr>
        <b/>
        <sz val="11"/>
        <color theme="1"/>
        <rFont val="Calibri"/>
        <family val="2"/>
        <charset val="204"/>
        <scheme val="minor"/>
      </rPr>
      <t>Материал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charset val="204"/>
        <scheme val="minor"/>
      </rPr>
      <t>Материал</t>
    </r>
    <r>
      <rPr>
        <sz val="11"/>
        <color theme="1"/>
        <rFont val="Calibri"/>
        <family val="2"/>
        <scheme val="minor"/>
      </rPr>
      <t xml:space="preserve"> должен соответствовать </t>
    </r>
    <r>
      <rPr>
        <b/>
        <sz val="11"/>
        <color theme="1"/>
        <rFont val="Calibri"/>
        <family val="2"/>
        <charset val="204"/>
        <scheme val="minor"/>
      </rPr>
      <t>Операции</t>
    </r>
    <r>
      <rPr>
        <sz val="11"/>
        <color theme="1"/>
        <rFont val="Calibri"/>
        <family val="2"/>
        <scheme val="minor"/>
      </rPr>
      <t xml:space="preserve">. Например, </t>
    </r>
    <r>
      <rPr>
        <b/>
        <sz val="11"/>
        <color theme="1"/>
        <rFont val="Calibri"/>
        <family val="2"/>
        <charset val="204"/>
        <scheme val="minor"/>
      </rPr>
      <t>Операции</t>
    </r>
    <r>
      <rPr>
        <sz val="11"/>
        <color theme="1"/>
        <rFont val="Calibri"/>
        <family val="2"/>
        <scheme val="minor"/>
      </rPr>
      <t xml:space="preserve"> Приварка омедненного крепежа соответствует </t>
    </r>
    <r>
      <rPr>
        <b/>
        <sz val="11"/>
        <color theme="1"/>
        <rFont val="Calibri"/>
        <family val="2"/>
        <charset val="204"/>
        <scheme val="minor"/>
      </rPr>
      <t>Материал</t>
    </r>
    <r>
      <rPr>
        <sz val="11"/>
        <color theme="1"/>
        <rFont val="Calibri"/>
        <family val="2"/>
        <scheme val="minor"/>
      </rPr>
      <t xml:space="preserve"> Черная сталь.
   * В поле T выбрать </t>
    </r>
    <r>
      <rPr>
        <b/>
        <sz val="11"/>
        <color theme="1"/>
        <rFont val="Calibri"/>
        <family val="2"/>
        <charset val="204"/>
        <scheme val="minor"/>
      </rPr>
      <t>Толщину</t>
    </r>
    <r>
      <rPr>
        <sz val="11"/>
        <color theme="1"/>
        <rFont val="Calibri"/>
        <family val="2"/>
        <scheme val="minor"/>
      </rPr>
      <t xml:space="preserve"> металла. Если</t>
    </r>
    <r>
      <rPr>
        <b/>
        <sz val="11"/>
        <color theme="1"/>
        <rFont val="Calibri"/>
        <family val="2"/>
        <charset val="204"/>
        <scheme val="minor"/>
      </rPr>
      <t xml:space="preserve"> Толщина</t>
    </r>
    <r>
      <rPr>
        <sz val="11"/>
        <color theme="1"/>
        <rFont val="Calibri"/>
        <family val="2"/>
        <scheme val="minor"/>
      </rPr>
      <t xml:space="preserve"> подсвечена красным (и </t>
    </r>
    <r>
      <rPr>
        <b/>
        <sz val="11"/>
        <color theme="1"/>
        <rFont val="Calibri"/>
        <family val="2"/>
        <charset val="204"/>
        <scheme val="minor"/>
      </rPr>
      <t>Материал</t>
    </r>
    <r>
      <rPr>
        <sz val="11"/>
        <color theme="1"/>
        <rFont val="Calibri"/>
        <family val="2"/>
        <scheme val="minor"/>
      </rPr>
      <t xml:space="preserve"> соответствует </t>
    </r>
    <r>
      <rPr>
        <b/>
        <sz val="11"/>
        <color theme="1"/>
        <rFont val="Calibri"/>
        <family val="2"/>
        <charset val="204"/>
        <scheme val="minor"/>
      </rPr>
      <t>Операции</t>
    </r>
    <r>
      <rPr>
        <sz val="11"/>
        <color theme="1"/>
        <rFont val="Calibri"/>
        <family val="2"/>
        <scheme val="minor"/>
      </rPr>
      <t xml:space="preserve">), значит данная </t>
    </r>
    <r>
      <rPr>
        <b/>
        <sz val="11"/>
        <color theme="1"/>
        <rFont val="Calibri"/>
        <family val="2"/>
        <charset val="204"/>
        <scheme val="minor"/>
      </rPr>
      <t>Толщина</t>
    </r>
    <r>
      <rPr>
        <sz val="11"/>
        <color theme="1"/>
        <rFont val="Calibri"/>
        <family val="2"/>
        <scheme val="minor"/>
      </rPr>
      <t xml:space="preserve"> не предусмотрена нашей технологией. Для корректного расчета следует выбрать меньшую </t>
    </r>
    <r>
      <rPr>
        <b/>
        <sz val="11"/>
        <color theme="1"/>
        <rFont val="Calibri"/>
        <family val="2"/>
        <charset val="204"/>
        <scheme val="minor"/>
      </rPr>
      <t>Толщину</t>
    </r>
    <r>
      <rPr>
        <sz val="11"/>
        <color theme="1"/>
        <rFont val="Calibri"/>
        <family val="2"/>
        <scheme val="minor"/>
      </rPr>
      <t xml:space="preserve"> металла.
   * </t>
    </r>
    <r>
      <rPr>
        <b/>
        <sz val="11"/>
        <color theme="1"/>
        <rFont val="Calibri"/>
        <family val="2"/>
        <charset val="204"/>
        <scheme val="minor"/>
      </rPr>
      <t>Категория работ</t>
    </r>
    <r>
      <rPr>
        <sz val="11"/>
        <color theme="1"/>
        <rFont val="Calibri"/>
        <family val="2"/>
        <scheme val="minor"/>
      </rPr>
      <t xml:space="preserve"> (столбец V) заполняются автоматически. Для справки: каждая </t>
    </r>
    <r>
      <rPr>
        <b/>
        <sz val="11"/>
        <color theme="1"/>
        <rFont val="Calibri"/>
        <family val="2"/>
        <charset val="204"/>
        <scheme val="minor"/>
      </rPr>
      <t>Категория работ</t>
    </r>
    <r>
      <rPr>
        <sz val="11"/>
        <color theme="1"/>
        <rFont val="Calibri"/>
        <family val="2"/>
        <scheme val="minor"/>
      </rPr>
      <t xml:space="preserve"> имеет свою расценку за единицу времени.
   * </t>
    </r>
    <r>
      <rPr>
        <b/>
        <sz val="11"/>
        <color theme="1"/>
        <rFont val="Calibri"/>
        <family val="2"/>
        <charset val="204"/>
        <scheme val="minor"/>
      </rPr>
      <t>Количество операций</t>
    </r>
    <r>
      <rPr>
        <sz val="11"/>
        <color theme="1"/>
        <rFont val="Calibri"/>
        <family val="2"/>
        <scheme val="minor"/>
      </rPr>
      <t xml:space="preserve"> на 1 изд (столбец W).
          </t>
    </r>
    <r>
      <rPr>
        <b/>
        <u/>
        <sz val="11"/>
        <color theme="1"/>
        <rFont val="Calibri"/>
        <family val="2"/>
        <charset val="204"/>
        <scheme val="minor"/>
      </rPr>
      <t>Размерности</t>
    </r>
    <r>
      <rPr>
        <u/>
        <sz val="11"/>
        <color theme="1"/>
        <rFont val="Calibri"/>
        <family val="2"/>
        <charset val="204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
          </t>
    </r>
    <r>
      <rPr>
        <b/>
        <sz val="11"/>
        <color theme="1"/>
        <rFont val="Calibri"/>
        <family val="2"/>
        <charset val="204"/>
        <scheme val="minor"/>
      </rPr>
      <t>Зачистка после лазерной резки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C00000"/>
        <rFont val="Calibri"/>
        <family val="2"/>
        <charset val="204"/>
        <scheme val="minor"/>
      </rPr>
      <t>м.п.</t>
    </r>
    <r>
      <rPr>
        <sz val="11"/>
        <color theme="1"/>
        <rFont val="Calibri"/>
        <family val="2"/>
        <scheme val="minor"/>
      </rPr>
      <t xml:space="preserve">  (указать длину контура в м.п.). Этот параметр учитывается только по требованию клиента.
          </t>
    </r>
    <r>
      <rPr>
        <b/>
        <sz val="11"/>
        <color theme="1"/>
        <rFont val="Calibri"/>
        <family val="2"/>
        <charset val="204"/>
        <scheme val="minor"/>
      </rPr>
      <t>Зачистка после сварки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C00000"/>
        <rFont val="Calibri"/>
        <family val="2"/>
        <charset val="204"/>
        <scheme val="minor"/>
      </rPr>
      <t>см.</t>
    </r>
    <r>
      <rPr>
        <sz val="11"/>
        <color theme="1"/>
        <rFont val="Calibri"/>
        <family val="2"/>
        <scheme val="minor"/>
      </rPr>
      <t xml:space="preserve"> сварного шва (1 сварная точка = 10мм)
          </t>
    </r>
    <r>
      <rPr>
        <b/>
        <sz val="11"/>
        <color theme="1"/>
        <rFont val="Calibri"/>
        <family val="2"/>
        <charset val="204"/>
        <scheme val="minor"/>
      </rPr>
      <t>Шлифование поверхности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C00000"/>
        <rFont val="Calibri"/>
        <family val="2"/>
        <charset val="204"/>
        <scheme val="minor"/>
      </rPr>
      <t>кв.м</t>
    </r>
    <r>
      <rPr>
        <sz val="11"/>
        <color theme="1"/>
        <rFont val="Calibri"/>
        <family val="2"/>
        <scheme val="minor"/>
      </rPr>
      <t xml:space="preserve">. Восстановление шлифованной поверхности на нержавейке, либо зачистка поверхности на всех металлах. По согласованию с клиентом.
          </t>
    </r>
    <r>
      <rPr>
        <b/>
        <sz val="11"/>
        <color theme="1"/>
        <rFont val="Calibri"/>
        <family val="2"/>
        <charset val="204"/>
        <scheme val="minor"/>
      </rPr>
      <t>Резка профиля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C00000"/>
        <rFont val="Calibri"/>
        <family val="2"/>
        <charset val="204"/>
        <scheme val="minor"/>
      </rPr>
      <t>шт.</t>
    </r>
    <r>
      <rPr>
        <sz val="11"/>
        <color theme="1"/>
        <rFont val="Calibri"/>
        <family val="2"/>
        <scheme val="minor"/>
      </rPr>
      <t xml:space="preserve"> Указать количество резки труб или другого профиля индивидуальной, либо в пакете.
          </t>
    </r>
    <r>
      <rPr>
        <b/>
        <sz val="11"/>
        <color theme="1"/>
        <rFont val="Calibri"/>
        <family val="2"/>
        <charset val="204"/>
        <scheme val="minor"/>
      </rPr>
      <t>Сверление, зенкование, нарезание резьбы</t>
    </r>
    <r>
      <rPr>
        <sz val="11"/>
        <color theme="1"/>
        <rFont val="Calibri"/>
        <family val="2"/>
        <scheme val="minor"/>
      </rPr>
      <t xml:space="preserve"> - кол-во мест в изделии.
       </t>
    </r>
    <r>
      <rPr>
        <b/>
        <sz val="11"/>
        <color theme="1"/>
        <rFont val="Calibri"/>
        <family val="2"/>
        <charset val="204"/>
        <scheme val="minor"/>
      </rPr>
      <t>Нарезание резьбы полное</t>
    </r>
    <r>
      <rPr>
        <sz val="11"/>
        <color theme="1"/>
        <rFont val="Calibri"/>
        <family val="2"/>
        <scheme val="minor"/>
      </rPr>
      <t xml:space="preserve"> = Высверлить отверстие по намеченному лазером месту + снять фаску с 2-х сторон + нарезать резьбу.
</t>
    </r>
  </si>
  <si>
    <t>Верхння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</si>
</sst>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₽&quot;_-;\-* #,##0.00\ &quot;₽&quot;_-;_-* &quot;-&quot;??\ &quot;₽&quot;_-;_-@_-"/>
    <numFmt numFmtId="164" formatCode="#,##0.0\ &quot;₽&quot;"/>
    <numFmt numFmtId="165" formatCode="#,##0.0&quot; с&quot;"/>
    <numFmt numFmtId="166" formatCode="##,##0&quot; руб/ч&quot;"/>
    <numFmt numFmtId="167" formatCode="###,##0&quot; мм&quot;"/>
    <numFmt numFmtId="168" formatCode="###,##0&quot; шт&quot;"/>
    <numFmt numFmtId="169" formatCode="###,##0.0&quot; мм&quot;"/>
    <numFmt numFmtId="170" formatCode="#,###&quot; с/кв.м&quot;"/>
    <numFmt numFmtId="171" formatCode="#,##0.0&quot; ₽/кв.м&quot;"/>
    <numFmt numFmtId="172" formatCode="#,##0.0&quot; час&quot;"/>
    <numFmt numFmtId="173" formatCode="#,##0.0&quot; с/м.п.&quot;"/>
    <numFmt numFmtId="174" formatCode="#,##0.0#&quot; ₽/м.п.&quot;"/>
    <numFmt numFmtId="175" formatCode="#,##0.0&quot; с/тр.&quot;"/>
    <numFmt numFmtId="176" formatCode="#,##0.0#&quot; ₽/см&quot;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7030A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C0000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92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2">
    <xf numFmtId="0" fontId="0" fillId="0" borderId="0" xfId="0"/>
    <xf numFmtId="0" fontId="0" fillId="0" borderId="0" xfId="0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67" fontId="0" fillId="3" borderId="4" xfId="0" applyNumberFormat="1" applyFill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8" fontId="0" fillId="3" borderId="4" xfId="0" applyNumberFormat="1" applyFill="1" applyBorder="1" applyAlignment="1">
      <alignment horizontal="right" vertical="center"/>
    </xf>
    <xf numFmtId="168" fontId="0" fillId="3" borderId="1" xfId="0" applyNumberFormat="1" applyFill="1" applyBorder="1" applyAlignment="1">
      <alignment horizontal="right" vertical="center"/>
    </xf>
    <xf numFmtId="168" fontId="0" fillId="3" borderId="10" xfId="0" applyNumberForma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165" fontId="0" fillId="9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44" fontId="11" fillId="10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69" fontId="0" fillId="0" borderId="1" xfId="0" applyNumberFormat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1" fontId="0" fillId="4" borderId="1" xfId="0" applyNumberFormat="1" applyFill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left" indent="6"/>
    </xf>
    <xf numFmtId="0" fontId="16" fillId="0" borderId="1" xfId="0" applyFont="1" applyBorder="1" applyAlignment="1">
      <alignment horizontal="left" indent="9"/>
    </xf>
    <xf numFmtId="168" fontId="0" fillId="0" borderId="1" xfId="0" applyNumberFormat="1" applyBorder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8" fontId="0" fillId="12" borderId="1" xfId="0" applyNumberFormat="1" applyFill="1" applyBorder="1"/>
    <xf numFmtId="168" fontId="22" fillId="0" borderId="1" xfId="0" applyNumberFormat="1" applyFont="1" applyBorder="1"/>
    <xf numFmtId="0" fontId="19" fillId="0" borderId="1" xfId="0" applyFont="1" applyBorder="1" applyAlignment="1">
      <alignment horizontal="right" vertical="center" indent="2"/>
    </xf>
    <xf numFmtId="168" fontId="19" fillId="12" borderId="1" xfId="0" applyNumberFormat="1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left" vertical="center" wrapText="1"/>
    </xf>
    <xf numFmtId="169" fontId="0" fillId="0" borderId="10" xfId="0" applyNumberFormat="1" applyBorder="1" applyAlignment="1">
      <alignment horizontal="center" vertical="center" wrapText="1"/>
    </xf>
    <xf numFmtId="164" fontId="0" fillId="8" borderId="3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69" fontId="23" fillId="13" borderId="1" xfId="0" applyNumberFormat="1" applyFont="1" applyFill="1" applyBorder="1" applyAlignment="1">
      <alignment horizontal="center" vertical="center" wrapText="1"/>
    </xf>
    <xf numFmtId="173" fontId="0" fillId="3" borderId="1" xfId="0" applyNumberFormat="1" applyFill="1" applyBorder="1" applyAlignment="1">
      <alignment horizontal="center" vertical="center"/>
    </xf>
    <xf numFmtId="174" fontId="0" fillId="4" borderId="1" xfId="0" applyNumberFormat="1" applyFill="1" applyBorder="1" applyAlignment="1">
      <alignment horizontal="center" vertical="center"/>
    </xf>
    <xf numFmtId="0" fontId="0" fillId="0" borderId="0" xfId="0" pivotButton="1"/>
    <xf numFmtId="164" fontId="23" fillId="4" borderId="1" xfId="0" applyNumberFormat="1" applyFont="1" applyFill="1" applyBorder="1" applyAlignment="1">
      <alignment horizontal="center" vertical="center"/>
    </xf>
    <xf numFmtId="169" fontId="0" fillId="12" borderId="1" xfId="0" applyNumberFormat="1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6" borderId="1" xfId="0" applyFill="1" applyBorder="1" applyAlignment="1">
      <alignment horizontal="left" vertical="center" indent="1"/>
    </xf>
    <xf numFmtId="165" fontId="0" fillId="4" borderId="1" xfId="0" applyNumberFormat="1" applyFill="1" applyBorder="1"/>
    <xf numFmtId="175" fontId="0" fillId="3" borderId="1" xfId="0" applyNumberFormat="1" applyFill="1" applyBorder="1" applyAlignment="1">
      <alignment horizontal="center" vertical="center"/>
    </xf>
    <xf numFmtId="166" fontId="26" fillId="0" borderId="0" xfId="0" applyNumberFormat="1" applyFont="1"/>
    <xf numFmtId="0" fontId="3" fillId="0" borderId="0" xfId="1"/>
    <xf numFmtId="0" fontId="32" fillId="16" borderId="0" xfId="0" applyFont="1" applyFill="1" applyAlignment="1">
      <alignment horizontal="left"/>
    </xf>
    <xf numFmtId="0" fontId="32" fillId="16" borderId="0" xfId="0" applyFont="1" applyFill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9" fontId="0" fillId="10" borderId="1" xfId="0" applyNumberForma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left" vertical="center" wrapText="1"/>
    </xf>
    <xf numFmtId="169" fontId="23" fillId="17" borderId="1" xfId="0" applyNumberFormat="1" applyFont="1" applyFill="1" applyBorder="1" applyAlignment="1">
      <alignment horizontal="center" vertical="center" wrapText="1"/>
    </xf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10" borderId="1" xfId="0" applyFill="1" applyBorder="1"/>
    <xf numFmtId="164" fontId="0" fillId="4" borderId="1" xfId="0" applyNumberFormat="1" applyFill="1" applyBorder="1"/>
    <xf numFmtId="0" fontId="33" fillId="0" borderId="10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left" vertical="top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left" vertical="top" wrapText="1"/>
    </xf>
    <xf numFmtId="0" fontId="0" fillId="10" borderId="4" xfId="0" applyFill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164" fontId="25" fillId="10" borderId="4" xfId="0" applyNumberFormat="1" applyFont="1" applyFill="1" applyBorder="1"/>
    <xf numFmtId="172" fontId="25" fillId="10" borderId="4" xfId="0" applyNumberFormat="1" applyFont="1" applyFill="1" applyBorder="1"/>
    <xf numFmtId="0" fontId="0" fillId="12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72" fontId="0" fillId="4" borderId="22" xfId="0" applyNumberFormat="1" applyFill="1" applyBorder="1"/>
    <xf numFmtId="0" fontId="0" fillId="12" borderId="21" xfId="0" applyFill="1" applyBorder="1" applyAlignment="1">
      <alignment horizontal="center" vertical="center"/>
    </xf>
    <xf numFmtId="172" fontId="0" fillId="10" borderId="22" xfId="0" applyNumberFormat="1" applyFill="1" applyBorder="1"/>
    <xf numFmtId="0" fontId="0" fillId="3" borderId="23" xfId="0" applyFill="1" applyBorder="1" applyAlignment="1">
      <alignment horizontal="center" vertical="center"/>
    </xf>
    <xf numFmtId="169" fontId="0" fillId="3" borderId="24" xfId="0" applyNumberFormat="1" applyFill="1" applyBorder="1" applyAlignment="1">
      <alignment horizontal="center" vertical="center"/>
    </xf>
    <xf numFmtId="169" fontId="0" fillId="4" borderId="24" xfId="0" applyNumberFormat="1" applyFill="1" applyBorder="1" applyAlignment="1">
      <alignment horizontal="center" vertical="center"/>
    </xf>
    <xf numFmtId="0" fontId="23" fillId="17" borderId="24" xfId="0" applyFont="1" applyFill="1" applyBorder="1" applyAlignment="1">
      <alignment horizontal="left" vertical="center" wrapText="1"/>
    </xf>
    <xf numFmtId="169" fontId="23" fillId="17" borderId="24" xfId="0" applyNumberFormat="1" applyFont="1" applyFill="1" applyBorder="1" applyAlignment="1">
      <alignment horizontal="center" vertical="center" wrapText="1"/>
    </xf>
    <xf numFmtId="169" fontId="23" fillId="13" borderId="24" xfId="0" applyNumberFormat="1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64" fontId="23" fillId="4" borderId="24" xfId="0" applyNumberFormat="1" applyFont="1" applyFill="1" applyBorder="1" applyAlignment="1">
      <alignment horizontal="center" vertical="center"/>
    </xf>
    <xf numFmtId="0" fontId="0" fillId="4" borderId="24" xfId="0" applyFill="1" applyBorder="1"/>
    <xf numFmtId="164" fontId="0" fillId="4" borderId="24" xfId="0" applyNumberFormat="1" applyFill="1" applyBorder="1"/>
    <xf numFmtId="165" fontId="0" fillId="4" borderId="24" xfId="0" applyNumberFormat="1" applyFill="1" applyBorder="1"/>
    <xf numFmtId="172" fontId="0" fillId="4" borderId="25" xfId="0" applyNumberFormat="1" applyFill="1" applyBorder="1"/>
    <xf numFmtId="176" fontId="0" fillId="4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168" fontId="0" fillId="3" borderId="24" xfId="0" applyNumberFormat="1" applyFill="1" applyBorder="1" applyAlignment="1">
      <alignment horizontal="center" vertical="center"/>
    </xf>
    <xf numFmtId="0" fontId="2" fillId="0" borderId="0" xfId="1" applyFont="1" applyAlignment="1">
      <alignment horizontal="left" vertical="top" wrapText="1"/>
    </xf>
    <xf numFmtId="0" fontId="4" fillId="5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33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###,##0&quot; шт&quot;"/>
      <fill>
        <patternFill patternType="solid">
          <fgColor indexed="64"/>
          <bgColor rgb="FFFFFF99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#,##0.0&quot; с&quot;"/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\ &quot;₽&quot;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\ &quot;₽&quot;"/>
      <fill>
        <patternFill patternType="solid">
          <fgColor indexed="64"/>
          <bgColor rgb="FFCCE9A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CCE9AD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###,##0.0&quot; мм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9" formatCode="###,##0.0&quot; мм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0.249977111117893"/>
      </font>
    </dxf>
    <dxf>
      <fill>
        <patternFill patternType="solid">
          <bgColor theme="0" tint="-0.249977111117893"/>
        </patternFill>
      </fill>
    </dxf>
    <dxf>
      <numFmt numFmtId="169" formatCode="###,##0.0&quot; мм&quot;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0.249977111117893"/>
      </font>
    </dxf>
    <dxf>
      <fill>
        <patternFill patternType="solid">
          <bgColor theme="0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0.249977111117893"/>
      </font>
    </dxf>
    <dxf>
      <fill>
        <patternFill patternType="solid">
          <bgColor theme="0" tint="-0.24997711111789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99"/>
      <color rgb="FFFFFFCC"/>
      <color rgb="FFCCE9A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FO\&#1048;&#1053;&#1046;&#1045;&#1053;&#1045;&#1056;&#1053;&#1054;-&#1050;&#1054;&#1053;&#1057;&#1058;&#1056;&#1059;&#1050;&#1058;&#1054;&#1056;&#1057;&#1050;&#1048;&#1049;%20&#1054;&#1058;&#1044;&#1045;&#1051;\&#1050;&#1040;&#1051;&#1068;&#1050;&#1059;&#1051;&#1071;&#1058;&#1054;&#1056;&#1067;\&#1059;&#1095;&#1072;&#1089;&#1090;&#1082;&#1080;\&#1059;&#1095;&#1072;&#1089;&#1090;&#1086;&#1082;%20&#1057;&#1074;&#1072;&#108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уктура изделия"/>
      <sheetName val="Инструкция"/>
      <sheetName val="Калькулятор"/>
      <sheetName val="Участок Сварки"/>
    </sheetNames>
    <sheetDataSet>
      <sheetData sheetId="0" refreshError="1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923.619771296297" createdVersion="6" refreshedVersion="6" minRefreshableVersion="3" recordCount="201" xr:uid="{00000000-000A-0000-FFFF-FFFF00000000}">
  <cacheSource type="worksheet">
    <worksheetSource name="Таблица22"/>
  </cacheSource>
  <cacheFields count="9">
    <cacheField name="№" numFmtId="0">
      <sharedItems containsString="0" containsBlank="1" containsNumber="1" containsInteger="1" minValue="1" maxValue="199"/>
    </cacheField>
    <cacheField name="Операция" numFmtId="0">
      <sharedItems containsBlank="1" count="45">
        <s v="Зачистка после сварки"/>
        <s v="Разделка кромки под сварку"/>
        <s v="Сверление до Ф5мм"/>
        <s v="Сверление до Ф12мм"/>
        <s v="Сверление до Ф20мм"/>
        <s v="Сверление до Ф18мм"/>
        <s v="Зенкование до Ф5мм"/>
        <s v="Зенкование до Ф12мм"/>
        <s v="Зенкование  до Ф20мм"/>
        <s v="Нарезание резьбы до М6"/>
        <s v="Нарезание резьбы до М8"/>
        <s v="Нарезание резьбы до М12"/>
        <s v="Резьба полная до М6"/>
        <s v="Резьба полная до М8"/>
        <s v="Резьба полная до М12"/>
        <s v="Зачистка после лазерной резки"/>
        <s v="Шлифование поверхности лист"/>
        <s v="Шлифование поверхности труба"/>
        <s v="Резка профиля до 40х40 прямая"/>
        <s v="Резка профиля до 80х80 прямая"/>
        <s v="Резка профиля до 120х120 прямая"/>
        <s v="Резка профиля до 160х160 прямая"/>
        <s v="Резка профиля до 200х200 прямая"/>
        <s v="Резка профиля до 40х40 под углом"/>
        <s v="Резка профиля до 80х80 под углом"/>
        <s v="Резка профиля до 120х120 под углом"/>
        <s v="Резка профиля до 160х160 под углом"/>
        <s v="Резка профиля до 200х200 под углом"/>
        <s v="Резка профиля до 30х30 пакетом"/>
        <s v="Резка профиля до 40х40 пакетом"/>
        <s v="Резка профиля до 60х60 пакетом"/>
        <m/>
        <s v="Сварка п/авт каркаса до 80х80" u="1"/>
        <s v="Сварка п/авт каркаса до 40х40" u="1"/>
        <s v="Нарезание резьбы до М10" u="1"/>
        <s v="Сварка п/авт" u="1"/>
        <s v="Сварка п/авт каркаса до 160х160" u="1"/>
        <s v="Приварка алюминиевого крепежа" u="1"/>
        <s v="Приварка нержавеющего крепежа" u="1"/>
        <s v="Сварка аргонная каркаса до 40х40" u="1"/>
        <s v="Приварка омедненного крепежа" u="1"/>
        <s v="Сварка п/авт каркаса свыше 160х160" u="1"/>
        <s v="Сварка п/авт каркаса до 120х120" u="1"/>
        <s v="Сварка аргонная каркаса до 80х80" u="1"/>
        <s v="Свака аргонная" u="1"/>
      </sharedItems>
    </cacheField>
    <cacheField name="Материал" numFmtId="0">
      <sharedItems containsBlank="1"/>
    </cacheField>
    <cacheField name="Толщина до…" numFmtId="169">
      <sharedItems containsString="0" containsBlank="1" containsNumber="1" containsInteger="1" minValue="3" maxValue="16" count="8">
        <n v="3"/>
        <n v="6"/>
        <n v="8"/>
        <n v="12"/>
        <n v="16"/>
        <m/>
        <n v="14" u="1"/>
        <n v="10" u="1"/>
      </sharedItems>
    </cacheField>
    <cacheField name="Сцепка" numFmtId="169">
      <sharedItems/>
    </cacheField>
    <cacheField name="Категория работ" numFmtId="0">
      <sharedItems containsBlank="1"/>
    </cacheField>
    <cacheField name="Ставка" numFmtId="164">
      <sharedItems containsMixedTypes="1" containsNumber="1" containsInteger="1" minValue="1450" maxValue="1750"/>
    </cacheField>
    <cacheField name="Прайсовая стоимость" numFmtId="0">
      <sharedItems containsMixedTypes="1" containsNumber="1" minValue="0" maxValue="389"/>
    </cacheField>
    <cacheField name="Время, сек" numFmtId="0">
      <sharedItems containsString="0" containsBlank="1" containsNumber="1" containsInteger="1" minValue="1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923.619771874997" createdVersion="6" refreshedVersion="6" minRefreshableVersion="3" recordCount="201" xr:uid="{00000000-000A-0000-FFFF-FFFF01000000}">
  <cacheSource type="worksheet">
    <worksheetSource name="Таблица22[Материал]"/>
  </cacheSource>
  <cacheFields count="1">
    <cacheField name="Материал" numFmtId="0">
      <sharedItems containsBlank="1" count="4">
        <s v="Сталь черная"/>
        <s v="Алюминий"/>
        <s v="Нержавейк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"/>
    <x v="0"/>
    <s v="Сталь черная"/>
    <x v="0"/>
    <s v="Зачистка после сваркиСталь черная3"/>
    <s v="МО черный металл"/>
    <n v="1450"/>
    <n v="6"/>
    <n v="14"/>
  </r>
  <r>
    <n v="2"/>
    <x v="0"/>
    <s v="Сталь черная"/>
    <x v="1"/>
    <s v="Зачистка после сваркиСталь черная6"/>
    <s v="МО черный металл"/>
    <n v="1450"/>
    <n v="8.5"/>
    <n v="20"/>
  </r>
  <r>
    <n v="3"/>
    <x v="0"/>
    <s v="Сталь черная"/>
    <x v="2"/>
    <s v="Зачистка после сваркиСталь черная8"/>
    <s v="МО черный металл"/>
    <n v="1450"/>
    <n v="11"/>
    <n v="27"/>
  </r>
  <r>
    <n v="4"/>
    <x v="0"/>
    <s v="Сталь черная"/>
    <x v="3"/>
    <s v="Зачистка после сваркиСталь черная12"/>
    <s v="МО черный металл"/>
    <n v="1450"/>
    <n v="16.5"/>
    <n v="40"/>
  </r>
  <r>
    <n v="5"/>
    <x v="0"/>
    <s v="Сталь черная"/>
    <x v="4"/>
    <s v="Зачистка после сваркиСталь черная16"/>
    <s v="МО черный металл"/>
    <n v="1450"/>
    <n v="32.5"/>
    <n v="80"/>
  </r>
  <r>
    <n v="6"/>
    <x v="0"/>
    <s v="Алюминий"/>
    <x v="0"/>
    <s v="Зачистка после сваркиАлюминий3"/>
    <s v="МО цветной металл"/>
    <n v="1750"/>
    <n v="32"/>
    <n v="65"/>
  </r>
  <r>
    <n v="7"/>
    <x v="0"/>
    <s v="Алюминий"/>
    <x v="1"/>
    <s v="Зачистка после сваркиАлюминий6"/>
    <s v="МО цветной металл"/>
    <n v="1750"/>
    <n v="39"/>
    <n v="80"/>
  </r>
  <r>
    <n v="8"/>
    <x v="0"/>
    <s v="Алюминий"/>
    <x v="2"/>
    <s v="Зачистка после сваркиАлюминий8"/>
    <s v="МО цветной металл"/>
    <n v="1750"/>
    <n v="44"/>
    <n v="90"/>
  </r>
  <r>
    <n v="9"/>
    <x v="0"/>
    <s v="Алюминий"/>
    <x v="3"/>
    <s v="Зачистка после сваркиАлюминий12"/>
    <s v="МО цветной металл"/>
    <n v="1750"/>
    <n v="58.5"/>
    <n v="120"/>
  </r>
  <r>
    <n v="10"/>
    <x v="0"/>
    <s v="Нержавейка"/>
    <x v="0"/>
    <s v="Зачистка после сваркиНержавейка3"/>
    <s v="МО цветной металл"/>
    <n v="1750"/>
    <n v="24.5"/>
    <n v="50"/>
  </r>
  <r>
    <n v="11"/>
    <x v="0"/>
    <s v="Нержавейка"/>
    <x v="1"/>
    <s v="Зачистка после сваркиНержавейка6"/>
    <s v="МО цветной металл"/>
    <n v="1750"/>
    <n v="29.5"/>
    <n v="60"/>
  </r>
  <r>
    <n v="12"/>
    <x v="0"/>
    <s v="Нержавейка"/>
    <x v="2"/>
    <s v="Зачистка после сваркиНержавейка8"/>
    <s v="МО цветной металл"/>
    <n v="1750"/>
    <n v="0"/>
    <m/>
  </r>
  <r>
    <n v="13"/>
    <x v="0"/>
    <s v="Нержавейка"/>
    <x v="3"/>
    <s v="Зачистка после сваркиНержавейка12"/>
    <s v="МО цветной металл"/>
    <n v="1750"/>
    <n v="46.5"/>
    <n v="95"/>
  </r>
  <r>
    <n v="14"/>
    <x v="1"/>
    <s v="Сталь черная"/>
    <x v="1"/>
    <s v="Разделка кромки под сваркуСталь черная6"/>
    <s v="МО черный металл"/>
    <n v="1450"/>
    <n v="6.5"/>
    <n v="16"/>
  </r>
  <r>
    <n v="15"/>
    <x v="1"/>
    <s v="Сталь черная"/>
    <x v="2"/>
    <s v="Разделка кромки под сваркуСталь черная8"/>
    <s v="МО черный металл"/>
    <n v="1450"/>
    <n v="8.5"/>
    <n v="20"/>
  </r>
  <r>
    <n v="16"/>
    <x v="1"/>
    <s v="Сталь черная"/>
    <x v="3"/>
    <s v="Разделка кромки под сваркуСталь черная12"/>
    <s v="МО черный металл"/>
    <n v="1450"/>
    <n v="0"/>
    <m/>
  </r>
  <r>
    <n v="17"/>
    <x v="1"/>
    <s v="Сталь черная"/>
    <x v="4"/>
    <s v="Разделка кромки под сваркуСталь черная16"/>
    <s v="МО черный металл"/>
    <n v="1450"/>
    <n v="16.5"/>
    <n v="40"/>
  </r>
  <r>
    <n v="18"/>
    <x v="1"/>
    <s v="Алюминий"/>
    <x v="1"/>
    <s v="Разделка кромки под сваркуАлюминий6"/>
    <s v="МО цветной металл"/>
    <n v="1750"/>
    <n v="17.5"/>
    <n v="35"/>
  </r>
  <r>
    <n v="19"/>
    <x v="1"/>
    <s v="Алюминий"/>
    <x v="2"/>
    <s v="Разделка кромки под сваркуАлюминий8"/>
    <s v="МО цветной металл"/>
    <n v="1750"/>
    <n v="0"/>
    <m/>
  </r>
  <r>
    <n v="20"/>
    <x v="1"/>
    <s v="Алюминий"/>
    <x v="3"/>
    <s v="Разделка кромки под сваркуАлюминий12"/>
    <s v="МО цветной металл"/>
    <n v="1750"/>
    <n v="29.5"/>
    <n v="60"/>
  </r>
  <r>
    <n v="21"/>
    <x v="1"/>
    <s v="Нержавейка"/>
    <x v="1"/>
    <s v="Разделка кромки под сваркуНержавейка6"/>
    <s v="МО цветной металл"/>
    <n v="1750"/>
    <n v="19.5"/>
    <n v="40"/>
  </r>
  <r>
    <n v="22"/>
    <x v="1"/>
    <s v="Нержавейка"/>
    <x v="2"/>
    <s v="Разделка кромки под сваркуНержавейка8"/>
    <s v="МО цветной металл"/>
    <n v="1750"/>
    <n v="0"/>
    <m/>
  </r>
  <r>
    <n v="23"/>
    <x v="1"/>
    <s v="Нержавейка"/>
    <x v="3"/>
    <s v="Разделка кромки под сваркуНержавейка12"/>
    <s v="МО цветной металл"/>
    <n v="1750"/>
    <n v="34.5"/>
    <n v="70"/>
  </r>
  <r>
    <n v="24"/>
    <x v="2"/>
    <s v="Сталь черная"/>
    <x v="0"/>
    <s v="Сверление до Ф5ммСталь черная3"/>
    <s v="МО черный металл"/>
    <n v="1450"/>
    <n v="12.5"/>
    <n v="30"/>
  </r>
  <r>
    <n v="25"/>
    <x v="3"/>
    <s v="Сталь черная"/>
    <x v="0"/>
    <s v="Сверление до Ф12ммСталь черная3"/>
    <s v="МО черный металл"/>
    <n v="1450"/>
    <n v="14.5"/>
    <n v="35"/>
  </r>
  <r>
    <n v="26"/>
    <x v="4"/>
    <s v="Сталь черная"/>
    <x v="0"/>
    <s v="Сверление до Ф20ммСталь черная3"/>
    <s v="МО черный металл"/>
    <n v="1450"/>
    <n v="18.5"/>
    <n v="45"/>
  </r>
  <r>
    <n v="27"/>
    <x v="2"/>
    <s v="Сталь черная"/>
    <x v="1"/>
    <s v="Сверление до Ф5ммСталь черная6"/>
    <s v="МО черный металл"/>
    <n v="1450"/>
    <n v="0"/>
    <m/>
  </r>
  <r>
    <n v="28"/>
    <x v="3"/>
    <s v="Сталь черная"/>
    <x v="1"/>
    <s v="Сверление до Ф12ммСталь черная6"/>
    <s v="МО черный металл"/>
    <n v="1450"/>
    <n v="0"/>
    <m/>
  </r>
  <r>
    <n v="29"/>
    <x v="4"/>
    <s v="Сталь черная"/>
    <x v="1"/>
    <s v="Сверление до Ф20ммСталь черная6"/>
    <s v="МО черный металл"/>
    <n v="1450"/>
    <n v="0"/>
    <m/>
  </r>
  <r>
    <n v="30"/>
    <x v="2"/>
    <s v="Сталь черная"/>
    <x v="2"/>
    <s v="Сверление до Ф5ммСталь черная8"/>
    <s v="МО черный металл"/>
    <n v="1450"/>
    <n v="16.5"/>
    <n v="40"/>
  </r>
  <r>
    <n v="31"/>
    <x v="3"/>
    <s v="Сталь черная"/>
    <x v="2"/>
    <s v="Сверление до Ф12ммСталь черная8"/>
    <s v="МО черный металл"/>
    <n v="1450"/>
    <n v="18.5"/>
    <n v="45"/>
  </r>
  <r>
    <n v="32"/>
    <x v="5"/>
    <s v="Сталь черная"/>
    <x v="2"/>
    <s v="Сверление до Ф18ммСталь черная8"/>
    <s v="МО черный металл"/>
    <n v="1450"/>
    <n v="24.5"/>
    <n v="60"/>
  </r>
  <r>
    <n v="33"/>
    <x v="2"/>
    <s v="Сталь черная"/>
    <x v="3"/>
    <s v="Сверление до Ф5ммСталь черная12"/>
    <s v="МО черный металл"/>
    <n v="1450"/>
    <n v="0"/>
    <m/>
  </r>
  <r>
    <n v="34"/>
    <x v="3"/>
    <s v="Сталь черная"/>
    <x v="3"/>
    <s v="Сверление до Ф12ммСталь черная12"/>
    <s v="МО черный металл"/>
    <n v="1450"/>
    <n v="0"/>
    <m/>
  </r>
  <r>
    <n v="35"/>
    <x v="5"/>
    <s v="Сталь черная"/>
    <x v="3"/>
    <s v="Сверление до Ф18ммСталь черная12"/>
    <s v="МО черный металл"/>
    <n v="1450"/>
    <n v="0"/>
    <m/>
  </r>
  <r>
    <n v="36"/>
    <x v="2"/>
    <s v="Сталь черная"/>
    <x v="4"/>
    <s v="Сверление до Ф5ммСталь черная16"/>
    <s v="МО черный металл"/>
    <n v="1450"/>
    <n v="0"/>
    <m/>
  </r>
  <r>
    <n v="37"/>
    <x v="3"/>
    <s v="Сталь черная"/>
    <x v="4"/>
    <s v="Сверление до Ф12ммСталь черная16"/>
    <s v="МО черный металл"/>
    <n v="1450"/>
    <n v="0"/>
    <m/>
  </r>
  <r>
    <n v="38"/>
    <x v="5"/>
    <s v="Сталь черная"/>
    <x v="4"/>
    <s v="Сверление до Ф18ммСталь черная16"/>
    <s v="МО черный металл"/>
    <n v="1450"/>
    <n v="0"/>
    <m/>
  </r>
  <r>
    <n v="39"/>
    <x v="2"/>
    <s v="Алюминий"/>
    <x v="0"/>
    <s v="Сверление до Ф5ммАлюминий3"/>
    <s v="МО цветной металл"/>
    <n v="1750"/>
    <n v="19.5"/>
    <n v="40"/>
  </r>
  <r>
    <n v="40"/>
    <x v="3"/>
    <s v="Алюминий"/>
    <x v="0"/>
    <s v="Сверление до Ф12ммАлюминий3"/>
    <s v="МО цветной металл"/>
    <n v="1750"/>
    <n v="22"/>
    <n v="45"/>
  </r>
  <r>
    <n v="41"/>
    <x v="5"/>
    <s v="Алюминий"/>
    <x v="0"/>
    <s v="Сверление до Ф18ммАлюминий3"/>
    <s v="МО цветной металл"/>
    <n v="1750"/>
    <n v="24.5"/>
    <n v="50"/>
  </r>
  <r>
    <n v="42"/>
    <x v="2"/>
    <s v="Алюминий"/>
    <x v="1"/>
    <s v="Сверление до Ф5ммАлюминий6"/>
    <s v="МО цветной металл"/>
    <n v="1750"/>
    <n v="0"/>
    <m/>
  </r>
  <r>
    <n v="43"/>
    <x v="3"/>
    <s v="Алюминий"/>
    <x v="1"/>
    <s v="Сверление до Ф12ммАлюминий6"/>
    <s v="МО цветной металл"/>
    <n v="1750"/>
    <n v="0"/>
    <m/>
  </r>
  <r>
    <n v="44"/>
    <x v="5"/>
    <s v="Алюминий"/>
    <x v="1"/>
    <s v="Сверление до Ф18ммАлюминий6"/>
    <s v="МО цветной металл"/>
    <n v="1750"/>
    <n v="0"/>
    <m/>
  </r>
  <r>
    <n v="45"/>
    <x v="2"/>
    <s v="Алюминий"/>
    <x v="2"/>
    <s v="Сверление до Ф5ммАлюминий8"/>
    <s v="МО цветной металл"/>
    <n v="1750"/>
    <n v="22"/>
    <n v="45"/>
  </r>
  <r>
    <n v="46"/>
    <x v="3"/>
    <s v="Алюминий"/>
    <x v="2"/>
    <s v="Сверление до Ф12ммАлюминий8"/>
    <s v="МО цветной металл"/>
    <n v="1750"/>
    <n v="24.5"/>
    <n v="50"/>
  </r>
  <r>
    <n v="47"/>
    <x v="5"/>
    <s v="Алюминий"/>
    <x v="2"/>
    <s v="Сверление до Ф18ммАлюминий8"/>
    <s v="МО цветной металл"/>
    <n v="1750"/>
    <n v="34.5"/>
    <n v="70"/>
  </r>
  <r>
    <n v="48"/>
    <x v="2"/>
    <s v="Алюминий"/>
    <x v="3"/>
    <s v="Сверление до Ф5ммАлюминий12"/>
    <s v="МО цветной металл"/>
    <n v="1750"/>
    <n v="0"/>
    <m/>
  </r>
  <r>
    <n v="49"/>
    <x v="3"/>
    <s v="Алюминий"/>
    <x v="3"/>
    <s v="Сверление до Ф12ммАлюминий12"/>
    <s v="МО цветной металл"/>
    <n v="1750"/>
    <n v="0"/>
    <m/>
  </r>
  <r>
    <n v="50"/>
    <x v="5"/>
    <s v="Алюминий"/>
    <x v="3"/>
    <s v="Сверление до Ф18ммАлюминий12"/>
    <s v="МО цветной металл"/>
    <n v="1750"/>
    <n v="0"/>
    <m/>
  </r>
  <r>
    <n v="51"/>
    <x v="2"/>
    <s v="Алюминий"/>
    <x v="4"/>
    <s v="Сверление до Ф5ммАлюминий16"/>
    <s v="МО цветной металл"/>
    <n v="1750"/>
    <n v="0"/>
    <m/>
  </r>
  <r>
    <n v="52"/>
    <x v="3"/>
    <s v="Алюминий"/>
    <x v="4"/>
    <s v="Сверление до Ф12ммАлюминий16"/>
    <s v="МО цветной металл"/>
    <n v="1750"/>
    <n v="0"/>
    <m/>
  </r>
  <r>
    <n v="53"/>
    <x v="5"/>
    <s v="Алюминий"/>
    <x v="4"/>
    <s v="Сверление до Ф18ммАлюминий16"/>
    <s v="МО цветной металл"/>
    <n v="1750"/>
    <n v="0"/>
    <m/>
  </r>
  <r>
    <n v="54"/>
    <x v="2"/>
    <s v="Нержавейка"/>
    <x v="0"/>
    <s v="Сверление до Ф5ммНержавейка3"/>
    <s v="МО цветной металл"/>
    <n v="1750"/>
    <n v="19.5"/>
    <n v="40"/>
  </r>
  <r>
    <n v="55"/>
    <x v="3"/>
    <s v="Нержавейка"/>
    <x v="0"/>
    <s v="Сверление до Ф12ммНержавейка3"/>
    <s v="МО цветной металл"/>
    <n v="1750"/>
    <n v="24.5"/>
    <n v="50"/>
  </r>
  <r>
    <n v="56"/>
    <x v="5"/>
    <s v="Нержавейка"/>
    <x v="0"/>
    <s v="Сверление до Ф18ммНержавейка3"/>
    <s v="МО цветной металл"/>
    <n v="1750"/>
    <n v="34.5"/>
    <n v="70"/>
  </r>
  <r>
    <n v="57"/>
    <x v="2"/>
    <s v="Нержавейка"/>
    <x v="1"/>
    <s v="Сверление до Ф5ммНержавейка6"/>
    <s v="МО цветной металл"/>
    <n v="1750"/>
    <n v="0"/>
    <m/>
  </r>
  <r>
    <n v="58"/>
    <x v="3"/>
    <s v="Нержавейка"/>
    <x v="1"/>
    <s v="Сверление до Ф12ммНержавейка6"/>
    <s v="МО цветной металл"/>
    <n v="1750"/>
    <n v="0"/>
    <m/>
  </r>
  <r>
    <n v="59"/>
    <x v="5"/>
    <s v="Нержавейка"/>
    <x v="1"/>
    <s v="Сверление до Ф18ммНержавейка6"/>
    <s v="МО цветной металл"/>
    <n v="1750"/>
    <n v="0"/>
    <m/>
  </r>
  <r>
    <n v="60"/>
    <x v="2"/>
    <s v="Нержавейка"/>
    <x v="2"/>
    <s v="Сверление до Ф5ммНержавейка8"/>
    <s v="МО цветной металл"/>
    <n v="1750"/>
    <n v="0"/>
    <m/>
  </r>
  <r>
    <n v="61"/>
    <x v="3"/>
    <s v="Нержавейка"/>
    <x v="2"/>
    <s v="Сверление до Ф12ммНержавейка8"/>
    <s v="МО цветной металл"/>
    <n v="1750"/>
    <n v="0"/>
    <m/>
  </r>
  <r>
    <n v="62"/>
    <x v="5"/>
    <s v="Нержавейка"/>
    <x v="2"/>
    <s v="Сверление до Ф18ммНержавейка8"/>
    <s v="МО цветной металл"/>
    <n v="1750"/>
    <n v="0"/>
    <m/>
  </r>
  <r>
    <n v="63"/>
    <x v="2"/>
    <s v="Нержавейка"/>
    <x v="3"/>
    <s v="Сверление до Ф5ммНержавейка12"/>
    <s v="МО цветной металл"/>
    <n v="1750"/>
    <n v="34.5"/>
    <n v="70"/>
  </r>
  <r>
    <n v="64"/>
    <x v="3"/>
    <s v="Нержавейка"/>
    <x v="3"/>
    <s v="Сверление до Ф12ммНержавейка12"/>
    <s v="МО цветной металл"/>
    <n v="1750"/>
    <n v="44"/>
    <n v="90"/>
  </r>
  <r>
    <n v="65"/>
    <x v="5"/>
    <s v="Нержавейка"/>
    <x v="3"/>
    <s v="Сверление до Ф18ммНержавейка12"/>
    <s v="МО цветной металл"/>
    <n v="1750"/>
    <n v="58.5"/>
    <n v="120"/>
  </r>
  <r>
    <n v="66"/>
    <x v="6"/>
    <s v="Сталь черная"/>
    <x v="0"/>
    <s v="Зенкование до Ф5ммСталь черная3"/>
    <s v="МО черный металл"/>
    <n v="1450"/>
    <n v="8.5"/>
    <n v="20"/>
  </r>
  <r>
    <n v="67"/>
    <x v="7"/>
    <s v="Сталь черная"/>
    <x v="0"/>
    <s v="Зенкование до Ф12ммСталь черная3"/>
    <s v="МО черный металл"/>
    <n v="1450"/>
    <n v="8.5"/>
    <n v="20"/>
  </r>
  <r>
    <n v="68"/>
    <x v="8"/>
    <s v="Сталь черная"/>
    <x v="0"/>
    <s v="Зенкование  до Ф20ммСталь черная3"/>
    <s v="МО черный металл"/>
    <n v="1450"/>
    <n v="8.5"/>
    <n v="20"/>
  </r>
  <r>
    <n v="69"/>
    <x v="6"/>
    <s v="Сталь черная"/>
    <x v="1"/>
    <s v="Зенкование до Ф5ммСталь черная6"/>
    <s v="МО черный металл"/>
    <n v="1450"/>
    <n v="0"/>
    <m/>
  </r>
  <r>
    <n v="70"/>
    <x v="7"/>
    <s v="Сталь черная"/>
    <x v="1"/>
    <s v="Зенкование до Ф12ммСталь черная6"/>
    <s v="МО черный металл"/>
    <n v="1450"/>
    <n v="0"/>
    <m/>
  </r>
  <r>
    <n v="71"/>
    <x v="8"/>
    <s v="Сталь черная"/>
    <x v="1"/>
    <s v="Зенкование  до Ф20ммСталь черная6"/>
    <s v="МО черный металл"/>
    <n v="1450"/>
    <n v="0"/>
    <m/>
  </r>
  <r>
    <n v="72"/>
    <x v="6"/>
    <s v="Сталь черная"/>
    <x v="2"/>
    <s v="Зенкование до Ф5ммСталь черная8"/>
    <s v="МО черный металл"/>
    <n v="1450"/>
    <n v="0"/>
    <m/>
  </r>
  <r>
    <n v="73"/>
    <x v="7"/>
    <s v="Сталь черная"/>
    <x v="2"/>
    <s v="Зенкование до Ф12ммСталь черная8"/>
    <s v="МО черный металл"/>
    <n v="1450"/>
    <n v="0"/>
    <m/>
  </r>
  <r>
    <n v="74"/>
    <x v="8"/>
    <s v="Сталь черная"/>
    <x v="2"/>
    <s v="Зенкование  до Ф20ммСталь черная8"/>
    <s v="МО черный металл"/>
    <n v="1450"/>
    <n v="0"/>
    <m/>
  </r>
  <r>
    <n v="75"/>
    <x v="6"/>
    <s v="Сталь черная"/>
    <x v="3"/>
    <s v="Зенкование до Ф5ммСталь черная12"/>
    <s v="МО черный металл"/>
    <n v="1450"/>
    <n v="0"/>
    <m/>
  </r>
  <r>
    <n v="76"/>
    <x v="7"/>
    <s v="Сталь черная"/>
    <x v="3"/>
    <s v="Зенкование до Ф12ммСталь черная12"/>
    <s v="МО черный металл"/>
    <n v="1450"/>
    <n v="0"/>
    <m/>
  </r>
  <r>
    <n v="77"/>
    <x v="8"/>
    <s v="Сталь черная"/>
    <x v="3"/>
    <s v="Зенкование  до Ф20ммСталь черная12"/>
    <s v="МО черный металл"/>
    <n v="1450"/>
    <n v="0"/>
    <m/>
  </r>
  <r>
    <n v="78"/>
    <x v="6"/>
    <s v="Сталь черная"/>
    <x v="4"/>
    <s v="Зенкование до Ф5ммСталь черная16"/>
    <s v="МО черный металл"/>
    <n v="1450"/>
    <n v="12.5"/>
    <n v="30"/>
  </r>
  <r>
    <n v="79"/>
    <x v="7"/>
    <s v="Сталь черная"/>
    <x v="4"/>
    <s v="Зенкование до Ф12ммСталь черная16"/>
    <s v="МО черный металл"/>
    <n v="1450"/>
    <n v="12.5"/>
    <n v="30"/>
  </r>
  <r>
    <n v="80"/>
    <x v="8"/>
    <s v="Сталь черная"/>
    <x v="4"/>
    <s v="Зенкование  до Ф20ммСталь черная16"/>
    <s v="МО черный металл"/>
    <n v="1450"/>
    <n v="12.5"/>
    <n v="30"/>
  </r>
  <r>
    <n v="81"/>
    <x v="6"/>
    <s v="Алюминий"/>
    <x v="0"/>
    <s v="Зенкование до Ф5ммАлюминий3"/>
    <s v="МО цветной металл"/>
    <n v="1750"/>
    <n v="17.5"/>
    <n v="35"/>
  </r>
  <r>
    <n v="82"/>
    <x v="7"/>
    <s v="Алюминий"/>
    <x v="0"/>
    <s v="Зенкование до Ф12ммАлюминий3"/>
    <s v="МО цветной металл"/>
    <n v="1750"/>
    <n v="17.5"/>
    <n v="35"/>
  </r>
  <r>
    <n v="83"/>
    <x v="8"/>
    <s v="Алюминий"/>
    <x v="0"/>
    <s v="Зенкование  до Ф20ммАлюминий3"/>
    <s v="МО цветной металл"/>
    <n v="1750"/>
    <n v="17.5"/>
    <n v="35"/>
  </r>
  <r>
    <n v="84"/>
    <x v="6"/>
    <s v="Алюминий"/>
    <x v="1"/>
    <s v="Зенкование до Ф5ммАлюминий6"/>
    <s v="МО цветной металл"/>
    <n v="1750"/>
    <n v="0"/>
    <m/>
  </r>
  <r>
    <n v="85"/>
    <x v="7"/>
    <s v="Алюминий"/>
    <x v="1"/>
    <s v="Зенкование до Ф12ммАлюминий6"/>
    <s v="МО цветной металл"/>
    <n v="1750"/>
    <n v="0"/>
    <m/>
  </r>
  <r>
    <n v="86"/>
    <x v="8"/>
    <s v="Алюминий"/>
    <x v="1"/>
    <s v="Зенкование  до Ф20ммАлюминий6"/>
    <s v="МО цветной металл"/>
    <n v="1750"/>
    <n v="0"/>
    <m/>
  </r>
  <r>
    <n v="87"/>
    <x v="6"/>
    <s v="Алюминий"/>
    <x v="2"/>
    <s v="Зенкование до Ф5ммАлюминий8"/>
    <s v="МО цветной металл"/>
    <n v="1750"/>
    <n v="0"/>
    <m/>
  </r>
  <r>
    <n v="88"/>
    <x v="7"/>
    <s v="Алюминий"/>
    <x v="2"/>
    <s v="Зенкование до Ф12ммАлюминий8"/>
    <s v="МО цветной металл"/>
    <n v="1750"/>
    <n v="0"/>
    <m/>
  </r>
  <r>
    <n v="89"/>
    <x v="8"/>
    <s v="Алюминий"/>
    <x v="2"/>
    <s v="Зенкование  до Ф20ммАлюминий8"/>
    <s v="МО цветной металл"/>
    <n v="1750"/>
    <n v="0"/>
    <m/>
  </r>
  <r>
    <n v="90"/>
    <x v="6"/>
    <s v="Алюминий"/>
    <x v="3"/>
    <s v="Зенкование до Ф5ммАлюминий12"/>
    <s v="МО цветной металл"/>
    <n v="1750"/>
    <n v="0"/>
    <m/>
  </r>
  <r>
    <n v="91"/>
    <x v="7"/>
    <s v="Алюминий"/>
    <x v="3"/>
    <s v="Зенкование до Ф12ммАлюминий12"/>
    <s v="МО цветной металл"/>
    <n v="1750"/>
    <n v="0"/>
    <m/>
  </r>
  <r>
    <n v="92"/>
    <x v="8"/>
    <s v="Алюминий"/>
    <x v="3"/>
    <s v="Зенкование  до Ф20ммАлюминий12"/>
    <s v="МО цветной металл"/>
    <n v="1750"/>
    <n v="0"/>
    <m/>
  </r>
  <r>
    <n v="93"/>
    <x v="6"/>
    <s v="Алюминий"/>
    <x v="4"/>
    <s v="Зенкование до Ф5ммАлюминий16"/>
    <s v="МО цветной металл"/>
    <n v="1750"/>
    <n v="17.5"/>
    <n v="35"/>
  </r>
  <r>
    <n v="94"/>
    <x v="7"/>
    <s v="Алюминий"/>
    <x v="4"/>
    <s v="Зенкование до Ф12ммАлюминий16"/>
    <s v="МО цветной металл"/>
    <n v="1750"/>
    <n v="17.5"/>
    <n v="35"/>
  </r>
  <r>
    <n v="95"/>
    <x v="8"/>
    <s v="Алюминий"/>
    <x v="4"/>
    <s v="Зенкование  до Ф20ммАлюминий16"/>
    <s v="МО цветной металл"/>
    <n v="1750"/>
    <n v="17.5"/>
    <n v="35"/>
  </r>
  <r>
    <n v="96"/>
    <x v="6"/>
    <s v="Нержавейка"/>
    <x v="0"/>
    <s v="Зенкование до Ф5ммНержавейка3"/>
    <s v="МО цветной металл"/>
    <n v="1750"/>
    <n v="19.5"/>
    <n v="40"/>
  </r>
  <r>
    <n v="97"/>
    <x v="7"/>
    <s v="Нержавейка"/>
    <x v="0"/>
    <s v="Зенкование до Ф12ммНержавейка3"/>
    <s v="МО цветной металл"/>
    <n v="1750"/>
    <n v="19.5"/>
    <n v="40"/>
  </r>
  <r>
    <n v="98"/>
    <x v="8"/>
    <s v="Нержавейка"/>
    <x v="0"/>
    <s v="Зенкование  до Ф20ммНержавейка3"/>
    <s v="МО цветной металл"/>
    <n v="1750"/>
    <n v="19.5"/>
    <n v="40"/>
  </r>
  <r>
    <n v="99"/>
    <x v="6"/>
    <s v="Нержавейка"/>
    <x v="1"/>
    <s v="Зенкование до Ф5ммНержавейка6"/>
    <s v="МО цветной металл"/>
    <n v="1750"/>
    <n v="0"/>
    <m/>
  </r>
  <r>
    <n v="100"/>
    <x v="7"/>
    <s v="Нержавейка"/>
    <x v="1"/>
    <s v="Зенкование до Ф12ммНержавейка6"/>
    <s v="МО цветной металл"/>
    <n v="1750"/>
    <n v="0"/>
    <m/>
  </r>
  <r>
    <n v="101"/>
    <x v="8"/>
    <s v="Нержавейка"/>
    <x v="1"/>
    <s v="Зенкование  до Ф20ммНержавейка6"/>
    <s v="МО цветной металл"/>
    <n v="1750"/>
    <n v="0"/>
    <m/>
  </r>
  <r>
    <n v="102"/>
    <x v="6"/>
    <s v="Нержавейка"/>
    <x v="2"/>
    <s v="Зенкование до Ф5ммНержавейка8"/>
    <s v="МО цветной металл"/>
    <n v="1750"/>
    <n v="0"/>
    <m/>
  </r>
  <r>
    <n v="103"/>
    <x v="7"/>
    <s v="Нержавейка"/>
    <x v="2"/>
    <s v="Зенкование до Ф12ммНержавейка8"/>
    <s v="МО цветной металл"/>
    <n v="1750"/>
    <n v="0"/>
    <m/>
  </r>
  <r>
    <n v="104"/>
    <x v="8"/>
    <s v="Нержавейка"/>
    <x v="2"/>
    <s v="Зенкование  до Ф20ммНержавейка8"/>
    <s v="МО цветной металл"/>
    <n v="1750"/>
    <n v="0"/>
    <m/>
  </r>
  <r>
    <n v="105"/>
    <x v="6"/>
    <s v="Нержавейка"/>
    <x v="3"/>
    <s v="Зенкование до Ф5ммНержавейка12"/>
    <s v="МО цветной металл"/>
    <n v="1750"/>
    <n v="29.5"/>
    <n v="60"/>
  </r>
  <r>
    <n v="106"/>
    <x v="7"/>
    <s v="Нержавейка"/>
    <x v="3"/>
    <s v="Зенкование до Ф12ммНержавейка12"/>
    <s v="МО цветной металл"/>
    <n v="1750"/>
    <n v="29.5"/>
    <n v="60"/>
  </r>
  <r>
    <n v="107"/>
    <x v="8"/>
    <s v="Нержавейка"/>
    <x v="3"/>
    <s v="Зенкование  до Ф20ммНержавейка12"/>
    <s v="МО цветной металл"/>
    <n v="1750"/>
    <n v="29.5"/>
    <n v="60"/>
  </r>
  <r>
    <n v="108"/>
    <x v="9"/>
    <s v="Сталь черная"/>
    <x v="0"/>
    <s v="Нарезание резьбы до М6Сталь черная3"/>
    <s v="МО черный металл"/>
    <n v="1450"/>
    <n v="14.5"/>
    <n v="35"/>
  </r>
  <r>
    <n v="109"/>
    <x v="9"/>
    <s v="Сталь черная"/>
    <x v="1"/>
    <s v="Нарезание резьбы до М6Сталь черная6"/>
    <s v="МО черный металл"/>
    <n v="1450"/>
    <n v="0"/>
    <m/>
  </r>
  <r>
    <n v="110"/>
    <x v="9"/>
    <s v="Сталь черная"/>
    <x v="2"/>
    <s v="Нарезание резьбы до М6Сталь черная8"/>
    <s v="МО черный металл"/>
    <n v="1450"/>
    <n v="0"/>
    <m/>
  </r>
  <r>
    <n v="111"/>
    <x v="9"/>
    <s v="Сталь черная"/>
    <x v="3"/>
    <s v="Нарезание резьбы до М6Сталь черная12"/>
    <s v="МО черный металл"/>
    <n v="1450"/>
    <n v="0"/>
    <m/>
  </r>
  <r>
    <n v="112"/>
    <x v="10"/>
    <s v="Сталь черная"/>
    <x v="1"/>
    <s v="Нарезание резьбы до М8Сталь черная6"/>
    <s v="МО черный металл"/>
    <n v="1450"/>
    <n v="0"/>
    <m/>
  </r>
  <r>
    <n v="113"/>
    <x v="10"/>
    <s v="Сталь черная"/>
    <x v="2"/>
    <s v="Нарезание резьбы до М8Сталь черная8"/>
    <s v="МО черный металл"/>
    <n v="1450"/>
    <n v="15.5"/>
    <n v="38"/>
  </r>
  <r>
    <n v="114"/>
    <x v="10"/>
    <s v="Сталь черная"/>
    <x v="3"/>
    <s v="Нарезание резьбы до М8Сталь черная12"/>
    <s v="МО черный металл"/>
    <n v="1450"/>
    <n v="0"/>
    <m/>
  </r>
  <r>
    <n v="115"/>
    <x v="10"/>
    <s v="Сталь черная"/>
    <x v="4"/>
    <s v="Нарезание резьбы до М8Сталь черная16"/>
    <s v="МО черный металл"/>
    <n v="1450"/>
    <n v="16.5"/>
    <n v="40"/>
  </r>
  <r>
    <n v="116"/>
    <x v="11"/>
    <s v="Сталь черная"/>
    <x v="2"/>
    <s v="Нарезание резьбы до М12Сталь черная8"/>
    <s v="МО черный металл"/>
    <n v="1450"/>
    <n v="20.5"/>
    <n v="50"/>
  </r>
  <r>
    <n v="117"/>
    <x v="11"/>
    <s v="Сталь черная"/>
    <x v="3"/>
    <s v="Нарезание резьбы до М12Сталь черная12"/>
    <s v="МО черный металл"/>
    <n v="1450"/>
    <n v="0"/>
    <m/>
  </r>
  <r>
    <n v="118"/>
    <x v="11"/>
    <s v="Сталь черная"/>
    <x v="4"/>
    <s v="Нарезание резьбы до М12Сталь черная16"/>
    <s v="МО черный металл"/>
    <n v="1450"/>
    <n v="20.5"/>
    <n v="50"/>
  </r>
  <r>
    <n v="119"/>
    <x v="9"/>
    <s v="Алюминий"/>
    <x v="0"/>
    <s v="Нарезание резьбы до М6Алюминий3"/>
    <s v="МО цветной металл"/>
    <n v="1750"/>
    <n v="0"/>
    <m/>
  </r>
  <r>
    <n v="120"/>
    <x v="9"/>
    <s v="Алюминий"/>
    <x v="1"/>
    <s v="Нарезание резьбы до М6Алюминий6"/>
    <s v="МО цветной металл"/>
    <n v="1750"/>
    <n v="0"/>
    <m/>
  </r>
  <r>
    <n v="121"/>
    <x v="9"/>
    <s v="Алюминий"/>
    <x v="2"/>
    <s v="Нарезание резьбы до М6Алюминий8"/>
    <s v="МО цветной металл"/>
    <n v="1750"/>
    <n v="0"/>
    <m/>
  </r>
  <r>
    <n v="122"/>
    <x v="9"/>
    <s v="Алюминий"/>
    <x v="3"/>
    <s v="Нарезание резьбы до М6Алюминий12"/>
    <s v="МО цветной металл"/>
    <n v="1750"/>
    <n v="0"/>
    <m/>
  </r>
  <r>
    <n v="123"/>
    <x v="9"/>
    <s v="Алюминий"/>
    <x v="4"/>
    <s v="Нарезание резьбы до М6Алюминий16"/>
    <s v="МО цветной металл"/>
    <n v="1750"/>
    <n v="0"/>
    <m/>
  </r>
  <r>
    <n v="124"/>
    <x v="10"/>
    <s v="Алюминий"/>
    <x v="1"/>
    <s v="Нарезание резьбы до М8Алюминий6"/>
    <s v="МО цветной металл"/>
    <n v="1750"/>
    <n v="10"/>
    <n v="20"/>
  </r>
  <r>
    <n v="125"/>
    <x v="10"/>
    <s v="Алюминий"/>
    <x v="2"/>
    <s v="Нарезание резьбы до М8Алюминий8"/>
    <s v="МО цветной металл"/>
    <n v="1750"/>
    <n v="15"/>
    <n v="30"/>
  </r>
  <r>
    <n v="126"/>
    <x v="10"/>
    <s v="Алюминий"/>
    <x v="3"/>
    <s v="Нарезание резьбы до М8Алюминий12"/>
    <s v="МО цветной металл"/>
    <n v="1750"/>
    <n v="0"/>
    <m/>
  </r>
  <r>
    <n v="127"/>
    <x v="10"/>
    <s v="Алюминий"/>
    <x v="4"/>
    <s v="Нарезание резьбы до М8Алюминий16"/>
    <s v="МО цветной металл"/>
    <n v="1750"/>
    <n v="19.5"/>
    <n v="40"/>
  </r>
  <r>
    <n v="128"/>
    <x v="11"/>
    <s v="Алюминий"/>
    <x v="2"/>
    <s v="Нарезание резьбы до М12Алюминий8"/>
    <s v="МО цветной металл"/>
    <n v="1750"/>
    <n v="12.5"/>
    <n v="25"/>
  </r>
  <r>
    <n v="129"/>
    <x v="11"/>
    <s v="Алюминий"/>
    <x v="3"/>
    <s v="Нарезание резьбы до М12Алюминий12"/>
    <s v="МО цветной металл"/>
    <n v="1750"/>
    <n v="17.5"/>
    <n v="35"/>
  </r>
  <r>
    <n v="130"/>
    <x v="11"/>
    <s v="Алюминий"/>
    <x v="4"/>
    <s v="Нарезание резьбы до М12Алюминий16"/>
    <s v="МО цветной металл"/>
    <n v="1750"/>
    <n v="22"/>
    <n v="45"/>
  </r>
  <r>
    <n v="131"/>
    <x v="9"/>
    <s v="Нержавейка"/>
    <x v="0"/>
    <s v="Нарезание резьбы до М6Нержавейка3"/>
    <s v="МО цветной металл"/>
    <n v="1750"/>
    <n v="0"/>
    <m/>
  </r>
  <r>
    <n v="132"/>
    <x v="9"/>
    <s v="Нержавейка"/>
    <x v="1"/>
    <s v="Нарезание резьбы до М6Нержавейка6"/>
    <s v="МО цветной металл"/>
    <n v="1750"/>
    <n v="0"/>
    <m/>
  </r>
  <r>
    <n v="133"/>
    <x v="9"/>
    <s v="Нержавейка"/>
    <x v="2"/>
    <s v="Нарезание резьбы до М6Нержавейка8"/>
    <s v="МО цветной металл"/>
    <n v="1750"/>
    <n v="0"/>
    <m/>
  </r>
  <r>
    <n v="134"/>
    <x v="9"/>
    <s v="Нержавейка"/>
    <x v="3"/>
    <s v="Нарезание резьбы до М6Нержавейка12"/>
    <s v="МО цветной металл"/>
    <n v="1750"/>
    <n v="0"/>
    <m/>
  </r>
  <r>
    <n v="135"/>
    <x v="9"/>
    <s v="Нержавейка"/>
    <x v="4"/>
    <s v="Нарезание резьбы до М6Нержавейка16"/>
    <s v="МО цветной металл"/>
    <n v="1750"/>
    <n v="0"/>
    <m/>
  </r>
  <r>
    <n v="136"/>
    <x v="10"/>
    <s v="Нержавейка"/>
    <x v="1"/>
    <s v="Нарезание резьбы до М8Нержавейка6"/>
    <s v="МО цветной металл"/>
    <n v="1750"/>
    <n v="19.5"/>
    <n v="40"/>
  </r>
  <r>
    <n v="137"/>
    <x v="10"/>
    <s v="Нержавейка"/>
    <x v="2"/>
    <s v="Нарезание резьбы до М8Нержавейка8"/>
    <s v="МО цветной металл"/>
    <n v="1750"/>
    <n v="29.5"/>
    <n v="60"/>
  </r>
  <r>
    <n v="138"/>
    <x v="10"/>
    <s v="Нержавейка"/>
    <x v="3"/>
    <s v="Нарезание резьбы до М8Нержавейка12"/>
    <s v="МО цветной металл"/>
    <n v="1750"/>
    <n v="0"/>
    <m/>
  </r>
  <r>
    <n v="139"/>
    <x v="10"/>
    <s v="Нержавейка"/>
    <x v="4"/>
    <s v="Нарезание резьбы до М8Нержавейка16"/>
    <s v="МО цветной металл"/>
    <n v="1750"/>
    <n v="0"/>
    <m/>
  </r>
  <r>
    <n v="140"/>
    <x v="11"/>
    <s v="Нержавейка"/>
    <x v="1"/>
    <s v="Нарезание резьбы до М12Нержавейка6"/>
    <s v="МО цветной металл"/>
    <n v="1750"/>
    <n v="0"/>
    <m/>
  </r>
  <r>
    <n v="141"/>
    <x v="11"/>
    <s v="Нержавейка"/>
    <x v="2"/>
    <s v="Нарезание резьбы до М12Нержавейка8"/>
    <s v="МО цветной металл"/>
    <n v="1750"/>
    <n v="34.5"/>
    <n v="70"/>
  </r>
  <r>
    <n v="142"/>
    <x v="11"/>
    <s v="Нержавейка"/>
    <x v="3"/>
    <s v="Нарезание резьбы до М12Нержавейка12"/>
    <s v="МО цветной металл"/>
    <n v="1750"/>
    <n v="53.5"/>
    <n v="110"/>
  </r>
  <r>
    <n v="143"/>
    <x v="11"/>
    <s v="Нержавейка"/>
    <x v="4"/>
    <s v="Нарезание резьбы до М12Нержавейка16"/>
    <s v="МО цветной металл"/>
    <n v="1750"/>
    <n v="0"/>
    <m/>
  </r>
  <r>
    <n v="144"/>
    <x v="12"/>
    <s v="Сталь черная"/>
    <x v="0"/>
    <s v="Резьба полная до М6Сталь черная3"/>
    <s v="МО черный металл"/>
    <n v="1450"/>
    <n v="0"/>
    <m/>
  </r>
  <r>
    <n v="145"/>
    <x v="12"/>
    <s v="Сталь черная"/>
    <x v="1"/>
    <s v="Резьба полная до М6Сталь черная6"/>
    <s v="МО черный металл"/>
    <n v="1450"/>
    <n v="0"/>
    <m/>
  </r>
  <r>
    <n v="146"/>
    <x v="12"/>
    <s v="Сталь черная"/>
    <x v="2"/>
    <s v="Резьба полная до М6Сталь черная8"/>
    <s v="МО черный металл"/>
    <n v="1450"/>
    <n v="0"/>
    <m/>
  </r>
  <r>
    <n v="147"/>
    <x v="12"/>
    <s v="Сталь черная"/>
    <x v="3"/>
    <s v="Резьба полная до М6Сталь черная12"/>
    <s v="МО черный металл"/>
    <n v="1450"/>
    <n v="0"/>
    <m/>
  </r>
  <r>
    <n v="148"/>
    <x v="12"/>
    <s v="Сталь черная"/>
    <x v="4"/>
    <s v="Резьба полная до М6Сталь черная16"/>
    <s v="МО черный металл"/>
    <n v="1450"/>
    <n v="0"/>
    <m/>
  </r>
  <r>
    <n v="149"/>
    <x v="13"/>
    <s v="Сталь черная"/>
    <x v="1"/>
    <s v="Резьба полная до М8Сталь черная6"/>
    <s v="МО черный металл"/>
    <n v="1450"/>
    <n v="0"/>
    <m/>
  </r>
  <r>
    <n v="150"/>
    <x v="13"/>
    <s v="Сталь черная"/>
    <x v="2"/>
    <s v="Резьба полная до М8Сталь черная8"/>
    <s v="МО черный металл"/>
    <n v="1450"/>
    <n v="24.5"/>
    <n v="60"/>
  </r>
  <r>
    <n v="151"/>
    <x v="13"/>
    <s v="Сталь черная"/>
    <x v="3"/>
    <s v="Резьба полная до М8Сталь черная12"/>
    <s v="МО черный металл"/>
    <n v="1450"/>
    <n v="32.5"/>
    <n v="80"/>
  </r>
  <r>
    <n v="152"/>
    <x v="13"/>
    <s v="Сталь черная"/>
    <x v="4"/>
    <s v="Резьба полная до М8Сталь черная16"/>
    <s v="МО черный металл"/>
    <n v="1450"/>
    <n v="0"/>
    <m/>
  </r>
  <r>
    <n v="153"/>
    <x v="14"/>
    <s v="Сталь черная"/>
    <x v="1"/>
    <s v="Резьба полная до М12Сталь черная6"/>
    <s v="МО черный металл"/>
    <n v="1450"/>
    <n v="0"/>
    <m/>
  </r>
  <r>
    <n v="154"/>
    <x v="14"/>
    <s v="Сталь черная"/>
    <x v="2"/>
    <s v="Резьба полная до М12Сталь черная8"/>
    <s v="МО черный металл"/>
    <n v="1450"/>
    <n v="36.5"/>
    <n v="90"/>
  </r>
  <r>
    <n v="155"/>
    <x v="14"/>
    <s v="Сталь черная"/>
    <x v="3"/>
    <s v="Резьба полная до М12Сталь черная12"/>
    <s v="МО черный металл"/>
    <n v="1450"/>
    <n v="48.5"/>
    <n v="120"/>
  </r>
  <r>
    <n v="156"/>
    <x v="14"/>
    <s v="Сталь черная"/>
    <x v="4"/>
    <s v="Резьба полная до М12Сталь черная16"/>
    <s v="МО черный металл"/>
    <n v="1450"/>
    <n v="0"/>
    <m/>
  </r>
  <r>
    <n v="157"/>
    <x v="13"/>
    <s v="Нержавейка"/>
    <x v="2"/>
    <s v="Резьба полная до М8Нержавейка8"/>
    <s v="МО цветной металл"/>
    <n v="1750"/>
    <n v="49"/>
    <n v="100"/>
  </r>
  <r>
    <n v="158"/>
    <x v="13"/>
    <s v="Нержавейка"/>
    <x v="3"/>
    <s v="Резьба полная до М8Нержавейка12"/>
    <s v="МО цветной металл"/>
    <n v="1750"/>
    <n v="68.5"/>
    <n v="140"/>
  </r>
  <r>
    <n v="159"/>
    <x v="14"/>
    <s v="Нержавейка"/>
    <x v="2"/>
    <s v="Резьба полная до М12Нержавейка8"/>
    <s v="МО цветной металл"/>
    <n v="1750"/>
    <n v="78"/>
    <n v="160"/>
  </r>
  <r>
    <n v="160"/>
    <x v="14"/>
    <s v="Нержавейка"/>
    <x v="3"/>
    <s v="Резьба полная до М12Нержавейка12"/>
    <s v="МО цветной металл"/>
    <n v="1750"/>
    <n v="97.5"/>
    <n v="200"/>
  </r>
  <r>
    <n v="161"/>
    <x v="15"/>
    <s v="Сталь черная"/>
    <x v="3"/>
    <s v="Зачистка после лазерной резкиСталь черная12"/>
    <s v="МО черный металл"/>
    <n v="1450"/>
    <n v="121"/>
    <n v="300"/>
  </r>
  <r>
    <n v="162"/>
    <x v="15"/>
    <s v="Алюминий"/>
    <x v="3"/>
    <s v="Зачистка после лазерной резкиАлюминий12"/>
    <s v="МО цветной металл"/>
    <n v="1750"/>
    <n v="97.5"/>
    <n v="200"/>
  </r>
  <r>
    <n v="163"/>
    <x v="15"/>
    <s v="Нержавейка"/>
    <x v="3"/>
    <s v="Зачистка после лазерной резкиНержавейка12"/>
    <s v="МО цветной металл"/>
    <n v="1750"/>
    <n v="117"/>
    <n v="240"/>
  </r>
  <r>
    <n v="164"/>
    <x v="16"/>
    <s v="Нержавейка"/>
    <x v="3"/>
    <s v="Шлифование поверхности листНержавейка12"/>
    <s v="МО цветной металл"/>
    <n v="1750"/>
    <n v="389"/>
    <n v="800"/>
  </r>
  <r>
    <n v="165"/>
    <x v="17"/>
    <s v="Нержавейка"/>
    <x v="0"/>
    <s v="Шлифование поверхности трубаНержавейка3"/>
    <s v="МО цветной металл"/>
    <n v="1750"/>
    <n v="170.5"/>
    <n v="350"/>
  </r>
  <r>
    <n v="166"/>
    <x v="18"/>
    <s v="Сталь черная"/>
    <x v="1"/>
    <s v="Резка профиля до 40х40 прямаяСталь черная6"/>
    <s v="МО черный металл"/>
    <n v="1450"/>
    <n v="24.5"/>
    <n v="60"/>
  </r>
  <r>
    <n v="167"/>
    <x v="19"/>
    <s v="Сталь черная"/>
    <x v="1"/>
    <s v="Резка профиля до 80х80 прямаяСталь черная6"/>
    <s v="МО черный металл"/>
    <n v="1450"/>
    <n v="48.5"/>
    <n v="120"/>
  </r>
  <r>
    <n v="168"/>
    <x v="20"/>
    <s v="Сталь черная"/>
    <x v="1"/>
    <s v="Резка профиля до 120х120 прямаяСталь черная6"/>
    <s v="МО черный металл"/>
    <n v="1450"/>
    <n v="72.5"/>
    <n v="180"/>
  </r>
  <r>
    <n v="169"/>
    <x v="21"/>
    <s v="Сталь черная"/>
    <x v="1"/>
    <s v="Резка профиля до 160х160 прямаяСталь черная6"/>
    <s v="МО черный металл"/>
    <n v="1450"/>
    <n v="97"/>
    <n v="240"/>
  </r>
  <r>
    <n v="170"/>
    <x v="22"/>
    <s v="Сталь черная"/>
    <x v="1"/>
    <s v="Резка профиля до 200х200 прямаяСталь черная6"/>
    <s v="МО черный металл"/>
    <n v="1450"/>
    <n v="121"/>
    <n v="300"/>
  </r>
  <r>
    <n v="171"/>
    <x v="23"/>
    <s v="Сталь черная"/>
    <x v="1"/>
    <s v="Резка профиля до 40х40 под угломСталь черная6"/>
    <s v="МО черный металл"/>
    <n v="1450"/>
    <n v="36.5"/>
    <n v="90"/>
  </r>
  <r>
    <n v="172"/>
    <x v="24"/>
    <s v="Сталь черная"/>
    <x v="1"/>
    <s v="Резка профиля до 80х80 под угломСталь черная6"/>
    <s v="МО черный металл"/>
    <n v="1450"/>
    <n v="60.5"/>
    <n v="150"/>
  </r>
  <r>
    <n v="173"/>
    <x v="25"/>
    <s v="Сталь черная"/>
    <x v="1"/>
    <s v="Резка профиля до 120х120 под угломСталь черная6"/>
    <s v="МО черный металл"/>
    <n v="1450"/>
    <n v="85"/>
    <n v="210"/>
  </r>
  <r>
    <n v="174"/>
    <x v="26"/>
    <s v="Сталь черная"/>
    <x v="1"/>
    <s v="Резка профиля до 160х160 под угломСталь черная6"/>
    <s v="МО черный металл"/>
    <n v="1450"/>
    <n v="109"/>
    <n v="270"/>
  </r>
  <r>
    <n v="175"/>
    <x v="27"/>
    <s v="Сталь черная"/>
    <x v="1"/>
    <s v="Резка профиля до 200х200 под угломСталь черная6"/>
    <s v="МО черный металл"/>
    <n v="1450"/>
    <n v="133"/>
    <n v="330"/>
  </r>
  <r>
    <n v="176"/>
    <x v="28"/>
    <s v="Сталь черная"/>
    <x v="0"/>
    <s v="Резка профиля до 30х30 пакетомСталь черная3"/>
    <s v="МО черный металл"/>
    <n v="1450"/>
    <n v="4.5"/>
    <n v="10"/>
  </r>
  <r>
    <n v="177"/>
    <x v="28"/>
    <s v="Сталь черная"/>
    <x v="1"/>
    <s v="Резка профиля до 30х30 пакетомСталь черная6"/>
    <s v="МО черный металл"/>
    <n v="1450"/>
    <n v="4.5"/>
    <n v="10"/>
  </r>
  <r>
    <n v="178"/>
    <x v="29"/>
    <s v="Сталь черная"/>
    <x v="1"/>
    <s v="Резка профиля до 40х40 пакетомСталь черная6"/>
    <s v="МО черный металл"/>
    <n v="1450"/>
    <n v="6.5"/>
    <n v="15"/>
  </r>
  <r>
    <n v="179"/>
    <x v="30"/>
    <s v="Сталь черная"/>
    <x v="1"/>
    <s v="Резка профиля до 60х60 пакетомСталь черная6"/>
    <s v="МО черный металл"/>
    <n v="1450"/>
    <n v="28.5"/>
    <n v="70"/>
  </r>
  <r>
    <n v="180"/>
    <x v="18"/>
    <s v="Нержавейка"/>
    <x v="1"/>
    <s v="Резка профиля до 40х40 прямаяНержавейка6"/>
    <s v="МО цветной металл"/>
    <n v="1750"/>
    <n v="34.5"/>
    <n v="70"/>
  </r>
  <r>
    <n v="181"/>
    <x v="19"/>
    <s v="Нержавейка"/>
    <x v="1"/>
    <s v="Резка профиля до 80х80 прямаяНержавейка6"/>
    <s v="МО цветной металл"/>
    <n v="1750"/>
    <n v="70.5"/>
    <n v="145"/>
  </r>
  <r>
    <n v="182"/>
    <x v="20"/>
    <s v="Нержавейка"/>
    <x v="1"/>
    <s v="Резка профиля до 120х120 прямаяНержавейка6"/>
    <s v="МО цветной металл"/>
    <n v="1750"/>
    <n v="102.5"/>
    <n v="210"/>
  </r>
  <r>
    <n v="183"/>
    <x v="21"/>
    <s v="Нержавейка"/>
    <x v="1"/>
    <s v="Резка профиля до 160х160 прямаяНержавейка6"/>
    <s v="МО цветной металл"/>
    <n v="1750"/>
    <n v="141"/>
    <n v="290"/>
  </r>
  <r>
    <n v="184"/>
    <x v="22"/>
    <s v="Нержавейка"/>
    <x v="1"/>
    <s v="Резка профиля до 200х200 прямаяНержавейка6"/>
    <s v="МО цветной металл"/>
    <n v="1750"/>
    <n v="175"/>
    <n v="360"/>
  </r>
  <r>
    <n v="185"/>
    <x v="23"/>
    <s v="Нержавейка"/>
    <x v="1"/>
    <s v="Резка профиля до 40х40 под угломНержавейка6"/>
    <s v="МО цветной металл"/>
    <n v="1750"/>
    <n v="53.5"/>
    <n v="110"/>
  </r>
  <r>
    <n v="186"/>
    <x v="24"/>
    <s v="Нержавейка"/>
    <x v="1"/>
    <s v="Резка профиля до 80х80 под угломНержавейка6"/>
    <s v="МО цветной металл"/>
    <n v="1750"/>
    <n v="87.5"/>
    <n v="180"/>
  </r>
  <r>
    <n v="187"/>
    <x v="25"/>
    <s v="Нержавейка"/>
    <x v="1"/>
    <s v="Резка профиля до 120х120 под угломНержавейка6"/>
    <s v="МО цветной металл"/>
    <n v="1750"/>
    <n v="122"/>
    <n v="250"/>
  </r>
  <r>
    <n v="188"/>
    <x v="26"/>
    <s v="Нержавейка"/>
    <x v="1"/>
    <s v="Резка профиля до 160х160 под угломНержавейка6"/>
    <s v="МО цветной металл"/>
    <n v="1750"/>
    <n v="158"/>
    <n v="325"/>
  </r>
  <r>
    <n v="189"/>
    <x v="27"/>
    <s v="Нержавейка"/>
    <x v="1"/>
    <s v="Резка профиля до 200х200 под угломНержавейка6"/>
    <s v="МО цветной металл"/>
    <n v="1750"/>
    <n v="194.5"/>
    <n v="400"/>
  </r>
  <r>
    <n v="190"/>
    <x v="18"/>
    <s v="Алюминий"/>
    <x v="1"/>
    <s v="Резка профиля до 40х40 прямаяАлюминий6"/>
    <s v="МО цветной металл"/>
    <n v="1750"/>
    <n v="29.5"/>
    <n v="60"/>
  </r>
  <r>
    <n v="191"/>
    <x v="19"/>
    <s v="Алюминий"/>
    <x v="1"/>
    <s v="Резка профиля до 80х80 прямаяАлюминий6"/>
    <s v="МО цветной металл"/>
    <n v="1750"/>
    <n v="58.5"/>
    <n v="120"/>
  </r>
  <r>
    <n v="192"/>
    <x v="20"/>
    <s v="Алюминий"/>
    <x v="1"/>
    <s v="Резка профиля до 120х120 прямаяАлюминий6"/>
    <s v="МО цветной металл"/>
    <n v="1750"/>
    <n v="87.5"/>
    <n v="180"/>
  </r>
  <r>
    <n v="193"/>
    <x v="21"/>
    <s v="Алюминий"/>
    <x v="1"/>
    <s v="Резка профиля до 160х160 прямаяАлюминий6"/>
    <s v="МО цветной металл"/>
    <n v="1750"/>
    <n v="117"/>
    <n v="240"/>
  </r>
  <r>
    <n v="194"/>
    <x v="22"/>
    <s v="Алюминий"/>
    <x v="1"/>
    <s v="Резка профиля до 200х200 прямаяАлюминий6"/>
    <s v="МО цветной металл"/>
    <n v="1750"/>
    <n v="146"/>
    <n v="300"/>
  </r>
  <r>
    <n v="195"/>
    <x v="23"/>
    <s v="Алюминий"/>
    <x v="1"/>
    <s v="Резка профиля до 40х40 под угломАлюминий6"/>
    <s v="МО цветной металл"/>
    <n v="1750"/>
    <n v="44"/>
    <n v="90"/>
  </r>
  <r>
    <n v="196"/>
    <x v="24"/>
    <s v="Алюминий"/>
    <x v="1"/>
    <s v="Резка профиля до 80х80 под угломАлюминий6"/>
    <s v="МО цветной металл"/>
    <n v="1750"/>
    <n v="73"/>
    <n v="150"/>
  </r>
  <r>
    <n v="197"/>
    <x v="25"/>
    <s v="Алюминий"/>
    <x v="1"/>
    <s v="Резка профиля до 120х120 под угломАлюминий6"/>
    <s v="МО цветной металл"/>
    <n v="1750"/>
    <n v="102.5"/>
    <n v="210"/>
  </r>
  <r>
    <n v="198"/>
    <x v="26"/>
    <s v="Алюминий"/>
    <x v="1"/>
    <s v="Резка профиля до 160х160 под угломАлюминий6"/>
    <s v="МО цветной металл"/>
    <n v="1750"/>
    <n v="131.5"/>
    <n v="270"/>
  </r>
  <r>
    <n v="199"/>
    <x v="27"/>
    <s v="Алюминий"/>
    <x v="1"/>
    <s v="Резка профиля до 200х200 под угломАлюминий6"/>
    <s v="МО цветной металл"/>
    <n v="1750"/>
    <n v="160.5"/>
    <n v="330"/>
  </r>
  <r>
    <m/>
    <x v="31"/>
    <m/>
    <x v="5"/>
    <s v=""/>
    <m/>
    <s v=""/>
    <s v=""/>
    <m/>
  </r>
  <r>
    <m/>
    <x v="31"/>
    <m/>
    <x v="5"/>
    <s v=""/>
    <m/>
    <s v=""/>
    <s v="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Толщина до…">
  <location ref="T25:T31" firstHeaderRow="1" firstDataRow="1" firstDataCol="1"/>
  <pivotFields count="9">
    <pivotField showAll="0"/>
    <pivotField showAll="0"/>
    <pivotField showAll="0"/>
    <pivotField axis="axisRow" showAll="0" defaultSubtotal="0">
      <items count="8">
        <item x="0"/>
        <item x="1"/>
        <item x="2"/>
        <item m="1" x="7"/>
        <item x="3"/>
        <item m="1" x="6"/>
        <item x="4"/>
        <item x="5"/>
      </items>
    </pivotField>
    <pivotField showAll="0" defaultSubtota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4"/>
    </i>
    <i>
      <x v="6"/>
    </i>
    <i>
      <x v="7"/>
    </i>
  </rowItems>
  <colItems count="1">
    <i/>
  </colItems>
  <formats count="4">
    <format dxfId="23">
      <pivotArea dataOnly="0" labelOnly="1" fieldPosition="0">
        <references count="1">
          <reference field="3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dataOnly="0" labelOnly="1" fieldPosition="0">
        <references count="1">
          <reference field="3" count="1">
            <x v="7"/>
          </reference>
        </references>
      </pivotArea>
    </format>
    <format dxfId="21">
      <pivotArea dataOnly="0" labelOnly="1" fieldPosition="0">
        <references count="1">
          <reference field="3" count="1">
            <x v="7"/>
          </reference>
        </references>
      </pivotArea>
    </format>
    <format dxfId="20">
      <pivotArea dataOnly="0" labelOnly="1" fieldPosition="0">
        <references count="1">
          <reference field="3" count="5">
            <x v="0"/>
            <x v="1"/>
            <x v="2"/>
            <x v="4"/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4" cacheId="1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>
  <location ref="S25:S29" firstHeaderRow="1" firstDataRow="1" firstDataCol="1"/>
  <pivotFields count="1">
    <pivotField axis="axisRow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formats count="4">
    <format dxfId="27">
      <pivotArea dataOnly="0" labelOnly="1" fieldPosition="0">
        <references count="1">
          <reference field="0" count="1">
            <x v="3"/>
          </reference>
        </references>
      </pivotArea>
    </format>
    <format dxfId="26">
      <pivotArea dataOnly="0" labelOnly="1" fieldPosition="0">
        <references count="1">
          <reference field="0" count="1">
            <x v="3"/>
          </reference>
        </references>
      </pivotArea>
    </format>
    <format dxfId="25">
      <pivotArea dataOnly="0" labelOnly="1" fieldPosition="0">
        <references count="1">
          <reference field="0" count="1">
            <x v="3"/>
          </reference>
        </references>
      </pivotArea>
    </format>
    <format dxfId="24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Полный перечень Операций">
  <location ref="R25:R57" firstHeaderRow="1" firstDataRow="1" firstDataCol="1"/>
  <pivotFields count="9">
    <pivotField showAll="0"/>
    <pivotField axis="axisRow" showAll="0" sortType="ascending">
      <items count="46">
        <item x="15"/>
        <item x="0"/>
        <item x="8"/>
        <item x="7"/>
        <item x="6"/>
        <item m="1" x="34"/>
        <item x="11"/>
        <item x="9"/>
        <item x="10"/>
        <item m="1" x="37"/>
        <item m="1" x="38"/>
        <item m="1" x="40"/>
        <item x="1"/>
        <item x="25"/>
        <item x="20"/>
        <item x="26"/>
        <item x="21"/>
        <item x="27"/>
        <item x="22"/>
        <item x="28"/>
        <item x="29"/>
        <item x="23"/>
        <item x="18"/>
        <item x="30"/>
        <item x="24"/>
        <item x="19"/>
        <item x="14"/>
        <item x="12"/>
        <item x="13"/>
        <item m="1" x="44"/>
        <item m="1" x="39"/>
        <item m="1" x="43"/>
        <item m="1" x="35"/>
        <item m="1" x="42"/>
        <item m="1" x="36"/>
        <item m="1" x="33"/>
        <item m="1" x="32"/>
        <item m="1" x="41"/>
        <item x="3"/>
        <item x="5"/>
        <item x="4"/>
        <item x="2"/>
        <item x="16"/>
        <item x="17"/>
        <item x="31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formats count="3">
    <format dxfId="30">
      <pivotArea dataOnly="0" labelOnly="1" fieldPosition="0">
        <references count="1">
          <reference field="1" count="1">
            <x v="44"/>
          </reference>
        </references>
      </pivotArea>
    </format>
    <format dxfId="29">
      <pivotArea dataOnly="0" labelOnly="1" fieldPosition="0">
        <references count="1">
          <reference field="1" count="1">
            <x v="44"/>
          </reference>
        </references>
      </pivotArea>
    </format>
    <format dxfId="28">
      <pivotArea dataOnly="0" labelOnly="1" fieldPosition="0">
        <references count="1">
          <reference field="1" count="31">
            <x v="0"/>
            <x v="1"/>
            <x v="2"/>
            <x v="3"/>
            <x v="4"/>
            <x v="6"/>
            <x v="7"/>
            <x v="8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8"/>
            <x v="39"/>
            <x v="40"/>
            <x v="41"/>
            <x v="42"/>
            <x v="4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2" displayName="Таблица22" ref="A2:I233" totalsRowShown="0" headerRowDxfId="19" dataDxfId="17" headerRowBorderDxfId="18" tableBorderDxfId="16">
  <autoFilter ref="A2:I233" xr:uid="{00000000-0009-0000-0100-000001000000}"/>
  <sortState xmlns:xlrd2="http://schemas.microsoft.com/office/spreadsheetml/2017/richdata2" ref="A3:H149">
    <sortCondition ref="B2:B144"/>
  </sortState>
  <tableColumns count="9">
    <tableColumn id="6" xr3:uid="{00000000-0010-0000-0000-000006000000}" name="№" dataDxfId="15"/>
    <tableColumn id="1" xr3:uid="{00000000-0010-0000-0000-000001000000}" name="Операция" dataDxfId="14"/>
    <tableColumn id="8" xr3:uid="{00000000-0010-0000-0000-000008000000}" name="Материал" dataDxfId="13"/>
    <tableColumn id="7" xr3:uid="{00000000-0010-0000-0000-000007000000}" name="Толщина до…" dataDxfId="12"/>
    <tableColumn id="10" xr3:uid="{00000000-0010-0000-0000-00000A000000}" name="Сцепка" dataDxfId="11">
      <calculatedColumnFormula>CONCATENATE(Таблица22[[#This Row],[Операция]],Таблица22[[#This Row],[Материал]],Таблица22[[#This Row],[Толщина до…]])</calculatedColumnFormula>
    </tableColumn>
    <tableColumn id="2" xr3:uid="{00000000-0010-0000-0000-000002000000}" name="Категория работ" dataDxfId="10"/>
    <tableColumn id="3" xr3:uid="{00000000-0010-0000-0000-000003000000}" name="Ставка" dataDxfId="9">
      <calculatedColumnFormula>IFERROR(VLOOKUP(F3,$AK$3:$AL$8,2,0),"")</calculatedColumnFormula>
    </tableColumn>
    <tableColumn id="4" xr3:uid="{00000000-0010-0000-0000-000004000000}" name="Прайсовая стоимость" dataDxfId="8">
      <calculatedColumnFormula>IFERROR(CEILING((G3/3600)*I3,0.5),"")</calculatedColumnFormula>
    </tableColumn>
    <tableColumn id="5" xr3:uid="{00000000-0010-0000-0000-000005000000}" name="Время, сек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54" displayName="Таблица54" ref="AR2:AT11" totalsRowShown="0" headerRowDxfId="6" headerRowBorderDxfId="5" tableBorderDxfId="4">
  <autoFilter ref="AR2:AT11" xr:uid="{00000000-0009-0000-0100-000003000000}"/>
  <tableColumns count="3">
    <tableColumn id="1" xr3:uid="{00000000-0010-0000-0100-000001000000}" name="Тираж от…" dataDxfId="3"/>
    <tableColumn id="2" xr3:uid="{00000000-0010-0000-0100-000002000000}" name="К на работу по тиражу" dataDxfId="2"/>
    <tableColumn id="3" xr3:uid="{00000000-0010-0000-0100-000003000000}" name="К на время по тиражу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"/>
  <sheetViews>
    <sheetView workbookViewId="0">
      <selection activeCell="A21" sqref="A21"/>
    </sheetView>
  </sheetViews>
  <sheetFormatPr defaultRowHeight="15" outlineLevelRow="3" x14ac:dyDescent="0.25"/>
  <cols>
    <col min="1" max="1" width="58.7109375" customWidth="1"/>
    <col min="2" max="2" width="13.140625" customWidth="1"/>
    <col min="3" max="3" width="14.7109375" customWidth="1"/>
    <col min="4" max="4" width="12.42578125" customWidth="1"/>
    <col min="5" max="5" width="11.7109375" customWidth="1"/>
  </cols>
  <sheetData>
    <row r="1" spans="1:5" ht="38.25" customHeight="1" x14ac:dyDescent="0.25">
      <c r="A1" s="49" t="s">
        <v>57</v>
      </c>
      <c r="B1" s="50">
        <v>50</v>
      </c>
      <c r="C1" s="26" t="s">
        <v>46</v>
      </c>
      <c r="D1" s="26" t="s">
        <v>55</v>
      </c>
      <c r="E1" s="26" t="s">
        <v>56</v>
      </c>
    </row>
    <row r="2" spans="1:5" ht="18.75" x14ac:dyDescent="0.3">
      <c r="A2" s="38" t="s">
        <v>52</v>
      </c>
      <c r="B2" s="43" t="s">
        <v>42</v>
      </c>
      <c r="C2" s="42"/>
      <c r="D2" s="42"/>
      <c r="E2" s="42">
        <f>B1</f>
        <v>50</v>
      </c>
    </row>
    <row r="3" spans="1:5" ht="18.75" outlineLevel="1" x14ac:dyDescent="0.3">
      <c r="A3" s="39" t="s">
        <v>50</v>
      </c>
      <c r="B3" s="44" t="s">
        <v>43</v>
      </c>
      <c r="C3" s="47">
        <v>1</v>
      </c>
      <c r="D3" s="48">
        <v>1</v>
      </c>
      <c r="E3" s="42">
        <f>D3*$E$2</f>
        <v>50</v>
      </c>
    </row>
    <row r="4" spans="1:5" ht="18.75" outlineLevel="2" x14ac:dyDescent="0.3">
      <c r="A4" s="40" t="s">
        <v>47</v>
      </c>
      <c r="B4" s="45" t="s">
        <v>44</v>
      </c>
      <c r="C4" s="47">
        <v>4</v>
      </c>
      <c r="D4" s="42">
        <f>C4*$D$3</f>
        <v>4</v>
      </c>
      <c r="E4" s="42">
        <f t="shared" ref="E4:E15" si="0">D4*$E$2</f>
        <v>200</v>
      </c>
    </row>
    <row r="5" spans="1:5" ht="18.75" outlineLevel="2" x14ac:dyDescent="0.3">
      <c r="A5" s="40" t="s">
        <v>48</v>
      </c>
      <c r="B5" s="45" t="s">
        <v>44</v>
      </c>
      <c r="C5" s="47">
        <v>8</v>
      </c>
      <c r="D5" s="42">
        <f>C5*$D$3</f>
        <v>8</v>
      </c>
      <c r="E5" s="42">
        <f t="shared" si="0"/>
        <v>400</v>
      </c>
    </row>
    <row r="6" spans="1:5" ht="18.75" outlineLevel="2" x14ac:dyDescent="0.3">
      <c r="A6" s="40" t="s">
        <v>49</v>
      </c>
      <c r="B6" s="45" t="s">
        <v>44</v>
      </c>
      <c r="C6" s="47">
        <v>12</v>
      </c>
      <c r="D6" s="42">
        <f>C6*$D$3</f>
        <v>12</v>
      </c>
      <c r="E6" s="42">
        <f t="shared" si="0"/>
        <v>600</v>
      </c>
    </row>
    <row r="7" spans="1:5" ht="18.75" outlineLevel="2" x14ac:dyDescent="0.3">
      <c r="A7" s="40" t="s">
        <v>53</v>
      </c>
      <c r="B7" s="45" t="s">
        <v>45</v>
      </c>
      <c r="C7" s="47">
        <v>4</v>
      </c>
      <c r="D7" s="42">
        <f>C7*$D$3</f>
        <v>4</v>
      </c>
      <c r="E7" s="42">
        <f t="shared" si="0"/>
        <v>200</v>
      </c>
    </row>
    <row r="8" spans="1:5" ht="18.75" outlineLevel="2" x14ac:dyDescent="0.3">
      <c r="A8" s="40" t="s">
        <v>54</v>
      </c>
      <c r="B8" s="45" t="s">
        <v>45</v>
      </c>
      <c r="C8" s="47">
        <v>4</v>
      </c>
      <c r="D8" s="42">
        <f>C8*$D$3</f>
        <v>4</v>
      </c>
      <c r="E8" s="42">
        <f t="shared" si="0"/>
        <v>200</v>
      </c>
    </row>
    <row r="9" spans="1:5" ht="18.75" outlineLevel="1" x14ac:dyDescent="0.3">
      <c r="A9" s="39" t="s">
        <v>51</v>
      </c>
      <c r="B9" s="44" t="s">
        <v>43</v>
      </c>
      <c r="C9" s="47">
        <v>3</v>
      </c>
      <c r="D9" s="48">
        <v>3</v>
      </c>
      <c r="E9" s="42">
        <f t="shared" si="0"/>
        <v>150</v>
      </c>
    </row>
    <row r="10" spans="1:5" ht="18.75" outlineLevel="2" x14ac:dyDescent="0.3">
      <c r="A10" s="40" t="s">
        <v>38</v>
      </c>
      <c r="B10" s="45" t="s">
        <v>43</v>
      </c>
      <c r="C10" s="47">
        <v>1</v>
      </c>
      <c r="D10" s="42">
        <f>C10*$D$9</f>
        <v>3</v>
      </c>
      <c r="E10" s="42">
        <f t="shared" si="0"/>
        <v>150</v>
      </c>
    </row>
    <row r="11" spans="1:5" ht="18.75" outlineLevel="3" x14ac:dyDescent="0.3">
      <c r="A11" s="41" t="s">
        <v>39</v>
      </c>
      <c r="B11" s="46" t="s">
        <v>44</v>
      </c>
      <c r="C11" s="47">
        <v>2</v>
      </c>
      <c r="D11" s="42">
        <f>C11*$D$10</f>
        <v>6</v>
      </c>
      <c r="E11" s="42">
        <f t="shared" si="0"/>
        <v>300</v>
      </c>
    </row>
    <row r="12" spans="1:5" ht="18.75" outlineLevel="3" x14ac:dyDescent="0.3">
      <c r="A12" s="41" t="s">
        <v>40</v>
      </c>
      <c r="B12" s="46" t="s">
        <v>44</v>
      </c>
      <c r="C12" s="47">
        <v>2</v>
      </c>
      <c r="D12" s="42">
        <f>C12*$D$10</f>
        <v>6</v>
      </c>
      <c r="E12" s="42">
        <f t="shared" si="0"/>
        <v>300</v>
      </c>
    </row>
    <row r="13" spans="1:5" ht="18.75" outlineLevel="2" x14ac:dyDescent="0.3">
      <c r="A13" s="40" t="s">
        <v>41</v>
      </c>
      <c r="B13" s="45" t="s">
        <v>44</v>
      </c>
      <c r="C13" s="47">
        <v>3</v>
      </c>
      <c r="D13" s="42">
        <f>C13*$D$9</f>
        <v>9</v>
      </c>
      <c r="E13" s="42">
        <f t="shared" si="0"/>
        <v>450</v>
      </c>
    </row>
    <row r="14" spans="1:5" ht="18.75" outlineLevel="2" x14ac:dyDescent="0.3">
      <c r="A14" s="40" t="s">
        <v>93</v>
      </c>
      <c r="B14" s="45" t="s">
        <v>45</v>
      </c>
      <c r="C14" s="47">
        <v>6</v>
      </c>
      <c r="D14" s="42">
        <f>C14*$D$9</f>
        <v>18</v>
      </c>
      <c r="E14" s="42">
        <f t="shared" si="0"/>
        <v>900</v>
      </c>
    </row>
    <row r="15" spans="1:5" ht="18.75" outlineLevel="2" x14ac:dyDescent="0.3">
      <c r="A15" s="40" t="s">
        <v>92</v>
      </c>
      <c r="B15" s="45" t="s">
        <v>45</v>
      </c>
      <c r="C15" s="47">
        <v>6</v>
      </c>
      <c r="D15" s="42">
        <f>C15*$D$9</f>
        <v>18</v>
      </c>
      <c r="E15" s="42">
        <f t="shared" si="0"/>
        <v>900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sqref="A1:A18"/>
    </sheetView>
  </sheetViews>
  <sheetFormatPr defaultRowHeight="15" x14ac:dyDescent="0.25"/>
  <cols>
    <col min="1" max="1" width="176.42578125" style="70" customWidth="1"/>
    <col min="2" max="16384" width="9.140625" style="70"/>
  </cols>
  <sheetData>
    <row r="1" spans="1:1" ht="20.100000000000001" customHeight="1" x14ac:dyDescent="0.25">
      <c r="A1" s="127" t="s">
        <v>122</v>
      </c>
    </row>
    <row r="2" spans="1:1" ht="20.100000000000001" customHeight="1" x14ac:dyDescent="0.25">
      <c r="A2" s="127"/>
    </row>
    <row r="3" spans="1:1" ht="20.100000000000001" customHeight="1" x14ac:dyDescent="0.25">
      <c r="A3" s="127"/>
    </row>
    <row r="4" spans="1:1" ht="20.100000000000001" customHeight="1" x14ac:dyDescent="0.25">
      <c r="A4" s="127"/>
    </row>
    <row r="5" spans="1:1" ht="20.100000000000001" customHeight="1" x14ac:dyDescent="0.25">
      <c r="A5" s="127"/>
    </row>
    <row r="6" spans="1:1" ht="20.100000000000001" customHeight="1" x14ac:dyDescent="0.25">
      <c r="A6" s="127"/>
    </row>
    <row r="7" spans="1:1" ht="20.100000000000001" customHeight="1" x14ac:dyDescent="0.25">
      <c r="A7" s="127"/>
    </row>
    <row r="8" spans="1:1" ht="20.100000000000001" customHeight="1" x14ac:dyDescent="0.25">
      <c r="A8" s="127"/>
    </row>
    <row r="9" spans="1:1" ht="20.100000000000001" customHeight="1" x14ac:dyDescent="0.25">
      <c r="A9" s="127"/>
    </row>
    <row r="10" spans="1:1" ht="20.100000000000001" customHeight="1" x14ac:dyDescent="0.25">
      <c r="A10" s="127"/>
    </row>
    <row r="11" spans="1:1" ht="20.100000000000001" customHeight="1" x14ac:dyDescent="0.25">
      <c r="A11" s="127"/>
    </row>
    <row r="12" spans="1:1" ht="20.100000000000001" customHeight="1" x14ac:dyDescent="0.25">
      <c r="A12" s="127"/>
    </row>
    <row r="13" spans="1:1" ht="20.100000000000001" customHeight="1" x14ac:dyDescent="0.25">
      <c r="A13" s="127"/>
    </row>
    <row r="14" spans="1:1" ht="20.100000000000001" customHeight="1" x14ac:dyDescent="0.25">
      <c r="A14" s="127"/>
    </row>
    <row r="15" spans="1:1" ht="20.100000000000001" customHeight="1" x14ac:dyDescent="0.25">
      <c r="A15" s="127"/>
    </row>
    <row r="16" spans="1:1" ht="20.100000000000001" customHeight="1" x14ac:dyDescent="0.25">
      <c r="A16" s="127"/>
    </row>
    <row r="17" spans="1:1" ht="20.100000000000001" customHeight="1" x14ac:dyDescent="0.25">
      <c r="A17" s="127"/>
    </row>
    <row r="18" spans="1:1" ht="20.100000000000001" customHeight="1" x14ac:dyDescent="0.25">
      <c r="A18" s="127"/>
    </row>
    <row r="19" spans="1:1" ht="20.100000000000001" customHeight="1" x14ac:dyDescent="0.25"/>
    <row r="20" spans="1:1" ht="20.100000000000001" customHeight="1" x14ac:dyDescent="0.25"/>
    <row r="21" spans="1:1" ht="20.100000000000001" customHeight="1" x14ac:dyDescent="0.25"/>
    <row r="22" spans="1:1" ht="20.100000000000001" customHeight="1" x14ac:dyDescent="0.25"/>
    <row r="23" spans="1:1" ht="20.100000000000001" customHeight="1" x14ac:dyDescent="0.25"/>
    <row r="24" spans="1:1" ht="20.100000000000001" customHeight="1" x14ac:dyDescent="0.25"/>
    <row r="25" spans="1:1" ht="20.100000000000001" customHeight="1" x14ac:dyDescent="0.25"/>
    <row r="26" spans="1:1" ht="20.100000000000001" customHeight="1" x14ac:dyDescent="0.25"/>
    <row r="27" spans="1:1" ht="20.100000000000001" customHeight="1" x14ac:dyDescent="0.25"/>
    <row r="28" spans="1:1" ht="20.100000000000001" customHeight="1" x14ac:dyDescent="0.25"/>
    <row r="29" spans="1:1" ht="20.100000000000001" customHeight="1" x14ac:dyDescent="0.25"/>
    <row r="30" spans="1:1" ht="20.100000000000001" customHeight="1" x14ac:dyDescent="0.25"/>
    <row r="31" spans="1:1" ht="20.100000000000001" customHeight="1" x14ac:dyDescent="0.25"/>
    <row r="32" spans="1:1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</sheetData>
  <mergeCells count="1">
    <mergeCell ref="A1:A1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80"/>
  <sheetViews>
    <sheetView tabSelected="1" topLeftCell="J1" workbookViewId="0">
      <pane ySplit="2" topLeftCell="A3" activePane="bottomLeft" state="frozen"/>
      <selection pane="bottomLeft" activeCell="AB3" sqref="AB3"/>
    </sheetView>
  </sheetViews>
  <sheetFormatPr defaultRowHeight="15" outlineLevelCol="1" x14ac:dyDescent="0.25"/>
  <cols>
    <col min="1" max="1" width="7.85546875" style="25" hidden="1" customWidth="1" outlineLevel="1"/>
    <col min="2" max="2" width="35.28515625" style="25" hidden="1" customWidth="1" outlineLevel="1"/>
    <col min="3" max="3" width="17.28515625" style="25" hidden="1" customWidth="1" outlineLevel="1"/>
    <col min="4" max="4" width="16.140625" style="25" hidden="1" customWidth="1" outlineLevel="1"/>
    <col min="5" max="5" width="7.5703125" style="25" hidden="1" customWidth="1" outlineLevel="1"/>
    <col min="6" max="6" width="20.7109375" hidden="1" customWidth="1" outlineLevel="1"/>
    <col min="7" max="7" width="12.85546875" hidden="1" customWidth="1" outlineLevel="1"/>
    <col min="8" max="8" width="14.28515625" hidden="1" customWidth="1" outlineLevel="1"/>
    <col min="9" max="9" width="12.28515625" hidden="1" customWidth="1" outlineLevel="1"/>
    <col min="10" max="10" width="4" customWidth="1" collapsed="1"/>
    <col min="11" max="11" width="6.28515625" customWidth="1"/>
    <col min="12" max="12" width="32.28515625" customWidth="1"/>
    <col min="13" max="13" width="9.140625" customWidth="1"/>
    <col min="14" max="14" width="11.85546875" customWidth="1"/>
    <col min="15" max="15" width="11.140625" customWidth="1"/>
    <col min="16" max="16" width="12.7109375" customWidth="1"/>
    <col min="17" max="17" width="16.5703125" hidden="1" customWidth="1"/>
    <col min="18" max="18" width="33.42578125" customWidth="1"/>
    <col min="19" max="19" width="13.140625" customWidth="1"/>
    <col min="20" max="20" width="9.140625" customWidth="1"/>
    <col min="21" max="21" width="19" hidden="1" customWidth="1"/>
    <col min="22" max="22" width="23.85546875" customWidth="1"/>
    <col min="23" max="23" width="14" customWidth="1"/>
    <col min="24" max="24" width="15.140625" hidden="1" customWidth="1" outlineLevel="1"/>
    <col min="25" max="25" width="14.42578125" hidden="1" customWidth="1" outlineLevel="1"/>
    <col min="26" max="26" width="15.7109375" hidden="1" customWidth="1" outlineLevel="1"/>
    <col min="27" max="27" width="17.7109375" hidden="1" customWidth="1" outlineLevel="1"/>
    <col min="28" max="28" width="12.85546875" customWidth="1" collapsed="1"/>
    <col min="29" max="29" width="14.42578125" customWidth="1"/>
    <col min="30" max="32" width="15.7109375" hidden="1" customWidth="1" outlineLevel="1"/>
    <col min="33" max="33" width="17.7109375" hidden="1" customWidth="1" outlineLevel="1"/>
    <col min="34" max="34" width="15.85546875" hidden="1" customWidth="1" outlineLevel="1"/>
    <col min="35" max="35" width="12.85546875" customWidth="1" collapsed="1"/>
    <col min="37" max="37" width="26.140625" hidden="1" customWidth="1" outlineLevel="1"/>
    <col min="38" max="38" width="11" hidden="1" customWidth="1" outlineLevel="1"/>
    <col min="39" max="39" width="3.85546875" hidden="1" customWidth="1" outlineLevel="1"/>
    <col min="40" max="40" width="13.7109375" hidden="1" customWidth="1" outlineLevel="1"/>
    <col min="41" max="42" width="11.7109375" hidden="1" customWidth="1" outlineLevel="1"/>
    <col min="43" max="43" width="4.42578125" hidden="1" customWidth="1" outlineLevel="1"/>
    <col min="44" max="44" width="11.42578125" hidden="1" customWidth="1" outlineLevel="1"/>
    <col min="45" max="45" width="16" hidden="1" customWidth="1" outlineLevel="1"/>
    <col min="46" max="46" width="15.5703125" hidden="1" customWidth="1" outlineLevel="1"/>
    <col min="47" max="47" width="0" hidden="1" customWidth="1" outlineLevel="1"/>
    <col min="48" max="48" width="26.140625" hidden="1" customWidth="1" outlineLevel="1"/>
    <col min="49" max="49" width="11" hidden="1" customWidth="1" outlineLevel="1"/>
    <col min="50" max="51" width="0" hidden="1" customWidth="1" outlineLevel="1"/>
    <col min="52" max="52" width="9.140625" collapsed="1"/>
  </cols>
  <sheetData>
    <row r="1" spans="1:51" s="57" customFormat="1" ht="35.25" customHeight="1" thickBot="1" x14ac:dyDescent="0.3">
      <c r="A1" s="133" t="s">
        <v>3</v>
      </c>
      <c r="B1" s="134"/>
      <c r="C1" s="134"/>
      <c r="D1" s="134"/>
      <c r="E1" s="134"/>
      <c r="F1" s="134"/>
      <c r="G1" s="134"/>
      <c r="H1" s="134"/>
      <c r="I1" s="135"/>
      <c r="K1" s="139" t="s">
        <v>83</v>
      </c>
      <c r="L1" s="140"/>
      <c r="M1" s="140"/>
      <c r="N1" s="140"/>
      <c r="O1" s="140"/>
      <c r="P1" s="141"/>
      <c r="Q1" s="120" t="s">
        <v>103</v>
      </c>
      <c r="R1" s="132" t="s">
        <v>119</v>
      </c>
      <c r="S1" s="132"/>
      <c r="T1" s="132"/>
      <c r="U1" s="87" t="s">
        <v>106</v>
      </c>
      <c r="V1" s="87" t="s">
        <v>120</v>
      </c>
      <c r="W1" s="87" t="s">
        <v>83</v>
      </c>
      <c r="X1" s="88" t="s">
        <v>85</v>
      </c>
      <c r="Y1" s="88" t="s">
        <v>107</v>
      </c>
      <c r="Z1" s="88" t="s">
        <v>111</v>
      </c>
      <c r="AA1" s="88" t="s">
        <v>86</v>
      </c>
      <c r="AB1" s="89" t="s">
        <v>116</v>
      </c>
      <c r="AC1" s="89" t="s">
        <v>87</v>
      </c>
      <c r="AD1" s="90" t="s">
        <v>109</v>
      </c>
      <c r="AE1" s="90" t="s">
        <v>110</v>
      </c>
      <c r="AF1" s="90" t="s">
        <v>108</v>
      </c>
      <c r="AG1" s="90" t="s">
        <v>84</v>
      </c>
      <c r="AH1" s="90" t="s">
        <v>116</v>
      </c>
      <c r="AI1" s="89" t="s">
        <v>88</v>
      </c>
      <c r="AK1" s="136" t="s">
        <v>17</v>
      </c>
      <c r="AL1" s="137"/>
      <c r="AM1" s="56"/>
      <c r="AN1" s="138" t="s">
        <v>89</v>
      </c>
      <c r="AO1" s="138"/>
      <c r="AP1" s="138"/>
      <c r="AR1" s="138" t="s">
        <v>90</v>
      </c>
      <c r="AS1" s="138"/>
      <c r="AT1" s="138"/>
      <c r="AV1" s="128" t="s">
        <v>12</v>
      </c>
      <c r="AW1" s="128"/>
      <c r="AX1" s="128"/>
      <c r="AY1" s="128"/>
    </row>
    <row r="2" spans="1:51" s="1" customFormat="1" ht="35.25" customHeight="1" thickBot="1" x14ac:dyDescent="0.3">
      <c r="A2" s="10" t="s">
        <v>7</v>
      </c>
      <c r="B2" s="10" t="s">
        <v>15</v>
      </c>
      <c r="C2" s="10" t="s">
        <v>13</v>
      </c>
      <c r="D2" s="10" t="s">
        <v>72</v>
      </c>
      <c r="E2" s="10" t="s">
        <v>117</v>
      </c>
      <c r="F2" s="11" t="s">
        <v>6</v>
      </c>
      <c r="G2" s="11" t="s">
        <v>4</v>
      </c>
      <c r="H2" s="10" t="s">
        <v>26</v>
      </c>
      <c r="I2" s="12" t="s">
        <v>14</v>
      </c>
      <c r="K2" s="92" t="s">
        <v>7</v>
      </c>
      <c r="L2" s="93" t="s">
        <v>42</v>
      </c>
      <c r="M2" s="93" t="s">
        <v>57</v>
      </c>
      <c r="N2" s="129" t="s">
        <v>77</v>
      </c>
      <c r="O2" s="130"/>
      <c r="P2" s="131"/>
      <c r="Q2" s="94" t="s">
        <v>104</v>
      </c>
      <c r="R2" s="93" t="s">
        <v>71</v>
      </c>
      <c r="S2" s="93" t="s">
        <v>13</v>
      </c>
      <c r="T2" s="93" t="s">
        <v>72</v>
      </c>
      <c r="U2" s="94" t="s">
        <v>105</v>
      </c>
      <c r="V2" s="93" t="s">
        <v>6</v>
      </c>
      <c r="W2" s="93" t="s">
        <v>73</v>
      </c>
      <c r="X2" s="95" t="s">
        <v>81</v>
      </c>
      <c r="Y2" s="95" t="s">
        <v>78</v>
      </c>
      <c r="Z2" s="95" t="s">
        <v>79</v>
      </c>
      <c r="AA2" s="95" t="s">
        <v>91</v>
      </c>
      <c r="AB2" s="94" t="s">
        <v>115</v>
      </c>
      <c r="AC2" s="94" t="s">
        <v>113</v>
      </c>
      <c r="AD2" s="96" t="s">
        <v>80</v>
      </c>
      <c r="AE2" s="96" t="s">
        <v>74</v>
      </c>
      <c r="AF2" s="96" t="s">
        <v>75</v>
      </c>
      <c r="AG2" s="96" t="s">
        <v>76</v>
      </c>
      <c r="AH2" s="93" t="s">
        <v>82</v>
      </c>
      <c r="AI2" s="97" t="s">
        <v>114</v>
      </c>
      <c r="AK2" s="4" t="s">
        <v>5</v>
      </c>
      <c r="AL2" s="5" t="s">
        <v>4</v>
      </c>
      <c r="AN2" s="7" t="s">
        <v>22</v>
      </c>
      <c r="AO2" s="8" t="s">
        <v>79</v>
      </c>
      <c r="AP2" s="9" t="s">
        <v>75</v>
      </c>
      <c r="AR2" s="17" t="s">
        <v>2</v>
      </c>
      <c r="AS2" s="18" t="s">
        <v>78</v>
      </c>
      <c r="AT2" s="19" t="s">
        <v>74</v>
      </c>
      <c r="AV2" s="31" t="s">
        <v>10</v>
      </c>
      <c r="AW2" s="31" t="s">
        <v>11</v>
      </c>
      <c r="AX2" s="31" t="s">
        <v>0</v>
      </c>
      <c r="AY2" s="31" t="s">
        <v>1</v>
      </c>
    </row>
    <row r="3" spans="1:51" ht="20.100000000000001" customHeight="1" x14ac:dyDescent="0.25">
      <c r="A3" s="26">
        <v>1</v>
      </c>
      <c r="B3" s="13" t="s">
        <v>20</v>
      </c>
      <c r="C3" s="13" t="s">
        <v>16</v>
      </c>
      <c r="D3" s="34">
        <v>3</v>
      </c>
      <c r="E3" s="34" t="str">
        <f>CONCATENATE(Таблица22[[#This Row],[Операция]],Таблица22[[#This Row],[Материал]],Таблица22[[#This Row],[Толщина до…]])</f>
        <v>Зачистка после сваркиСталь черная3</v>
      </c>
      <c r="F3" s="33" t="s">
        <v>9</v>
      </c>
      <c r="G3" s="35">
        <f t="shared" ref="G3:G34" si="0">IFERROR(VLOOKUP(F3,$AK$3:$AL$8,2,0),"")</f>
        <v>1450</v>
      </c>
      <c r="H3" s="118">
        <f t="shared" ref="H3:H20" si="1">IFERROR(CEILING((G3/3600)*I3,0.5),"")</f>
        <v>6</v>
      </c>
      <c r="I3" s="119">
        <v>14</v>
      </c>
      <c r="K3" s="100">
        <v>1</v>
      </c>
      <c r="L3" s="121" t="s">
        <v>123</v>
      </c>
      <c r="M3" s="124">
        <v>150</v>
      </c>
      <c r="N3" s="76">
        <v>15</v>
      </c>
      <c r="O3" s="76">
        <v>15</v>
      </c>
      <c r="P3" s="76">
        <v>1000</v>
      </c>
      <c r="Q3" s="64">
        <f t="shared" ref="Q3" si="2">MAX(N3,O3,P3)</f>
        <v>1000</v>
      </c>
      <c r="R3" s="81" t="s">
        <v>98</v>
      </c>
      <c r="S3" s="81" t="s">
        <v>16</v>
      </c>
      <c r="T3" s="82">
        <v>3</v>
      </c>
      <c r="U3" s="58" t="str">
        <f t="shared" ref="U3" si="3">CONCATENATE(R3,S3,T3)</f>
        <v>Сверление до Ф12ммСталь черная3</v>
      </c>
      <c r="V3" s="80" t="str">
        <f>IF(R3="","",IFERROR(VLOOKUP(U3,Таблица22[[Сцепка]:[Ставка]],2,0),"NO"))</f>
        <v>МО черный металл</v>
      </c>
      <c r="W3" s="77">
        <v>1</v>
      </c>
      <c r="X3" s="62">
        <f>VLOOKUP(U3,Таблица22[[Сцепка]:[Прайсовая стоимость]],4,0)</f>
        <v>14.5</v>
      </c>
      <c r="Y3" s="65">
        <f>IF(M3="","",VLOOKUP(M3,Таблица54[],2,1))</f>
        <v>-0.05</v>
      </c>
      <c r="Z3" s="65">
        <f t="shared" ref="Z3" si="4">IF(M3="","",VLOOKUP(Q3,$AN$3:$AP$10,2,1))</f>
        <v>0</v>
      </c>
      <c r="AA3" s="65">
        <f t="shared" ref="AA3" si="5">IFERROR(1+Y3+Z3,"")</f>
        <v>0.95</v>
      </c>
      <c r="AB3" s="86">
        <f t="shared" ref="AB3" si="6">IF(M3="","",IFERROR(W3*X3*AA3,0))</f>
        <v>13.774999999999999</v>
      </c>
      <c r="AC3" s="86">
        <f t="shared" ref="AC3" si="7">IFERROR(M3*AB3,"")</f>
        <v>2066.25</v>
      </c>
      <c r="AD3" s="67">
        <f>VLOOKUP(U3,Таблица22[[Сцепка]:[Время, сек]],5,0)</f>
        <v>35</v>
      </c>
      <c r="AE3" s="65">
        <f>VLOOKUP(M3,Таблица54[],3,1)</f>
        <v>-0.02</v>
      </c>
      <c r="AF3" s="65">
        <f t="shared" ref="AF3" si="8">VLOOKUP(Q3,$AN$3:$AP$10,3,1)</f>
        <v>0</v>
      </c>
      <c r="AG3" s="65">
        <f t="shared" ref="AG3" si="9">1+AE3+AF3</f>
        <v>0.98</v>
      </c>
      <c r="AH3" s="67">
        <f t="shared" ref="AH3" si="10">W3*AD3*AG3</f>
        <v>34.299999999999997</v>
      </c>
      <c r="AI3" s="102">
        <f t="shared" ref="AI3" si="11">IF(M3="","",(M3*AH3)/3600)</f>
        <v>1.4291666666666667</v>
      </c>
      <c r="AK3" s="27" t="s">
        <v>9</v>
      </c>
      <c r="AL3" s="3">
        <v>1450</v>
      </c>
      <c r="AN3" s="20">
        <v>0</v>
      </c>
      <c r="AO3" s="6">
        <v>0</v>
      </c>
      <c r="AP3" s="6">
        <v>0</v>
      </c>
      <c r="AR3" s="22">
        <v>0</v>
      </c>
      <c r="AS3" s="6">
        <v>9</v>
      </c>
      <c r="AT3" s="6">
        <v>7</v>
      </c>
      <c r="AV3" s="66" t="s">
        <v>9</v>
      </c>
      <c r="AW3" s="29">
        <f t="shared" ref="AW3:AW4" si="12">AL3</f>
        <v>1450</v>
      </c>
      <c r="AX3" s="30">
        <f t="shared" ref="AX3:AX4" si="13">(AW3/3600)*AY3</f>
        <v>24.166666666666668</v>
      </c>
      <c r="AY3" s="28">
        <v>60</v>
      </c>
    </row>
    <row r="4" spans="1:51" ht="20.100000000000001" customHeight="1" x14ac:dyDescent="0.25">
      <c r="A4" s="26">
        <v>2</v>
      </c>
      <c r="B4" s="13" t="s">
        <v>20</v>
      </c>
      <c r="C4" s="13" t="s">
        <v>16</v>
      </c>
      <c r="D4" s="34">
        <v>6</v>
      </c>
      <c r="E4" s="34" t="str">
        <f>CONCATENATE(Таблица22[[#This Row],[Операция]],Таблица22[[#This Row],[Материал]],Таблица22[[#This Row],[Толщина до…]])</f>
        <v>Зачистка после сваркиСталь черная6</v>
      </c>
      <c r="F4" s="33" t="s">
        <v>9</v>
      </c>
      <c r="G4" s="35">
        <f t="shared" si="0"/>
        <v>1450</v>
      </c>
      <c r="H4" s="118">
        <f t="shared" si="1"/>
        <v>8.5</v>
      </c>
      <c r="I4" s="119">
        <v>20</v>
      </c>
      <c r="K4" s="101">
        <v>2</v>
      </c>
      <c r="L4" s="121"/>
      <c r="M4" s="124"/>
      <c r="N4" s="76"/>
      <c r="O4" s="76"/>
      <c r="P4" s="76"/>
      <c r="Q4" s="64"/>
      <c r="R4" s="81"/>
      <c r="S4" s="81"/>
      <c r="T4" s="82"/>
      <c r="U4" s="58"/>
      <c r="V4" s="80"/>
      <c r="W4" s="77"/>
      <c r="X4" s="62"/>
      <c r="Y4" s="65"/>
      <c r="Z4" s="65"/>
      <c r="AA4" s="65"/>
      <c r="AB4" s="86"/>
      <c r="AC4" s="86"/>
      <c r="AD4" s="67"/>
      <c r="AE4" s="65"/>
      <c r="AF4" s="65"/>
      <c r="AG4" s="65"/>
      <c r="AH4" s="67"/>
      <c r="AI4" s="102"/>
      <c r="AK4" s="27" t="s">
        <v>8</v>
      </c>
      <c r="AL4" s="3">
        <v>1750</v>
      </c>
      <c r="AN4" s="21">
        <v>1000</v>
      </c>
      <c r="AO4" s="2">
        <v>0</v>
      </c>
      <c r="AP4" s="2">
        <v>0</v>
      </c>
      <c r="AR4" s="23">
        <v>3</v>
      </c>
      <c r="AS4" s="2">
        <v>7</v>
      </c>
      <c r="AT4" s="2">
        <v>5</v>
      </c>
      <c r="AV4" s="27" t="s">
        <v>8</v>
      </c>
      <c r="AW4" s="29">
        <f t="shared" si="12"/>
        <v>1750</v>
      </c>
      <c r="AX4" s="30">
        <f t="shared" si="13"/>
        <v>29.166666666666668</v>
      </c>
      <c r="AY4" s="28">
        <v>60</v>
      </c>
    </row>
    <row r="5" spans="1:51" ht="20.100000000000001" customHeight="1" x14ac:dyDescent="0.25">
      <c r="A5" s="26">
        <v>3</v>
      </c>
      <c r="B5" s="13" t="s">
        <v>20</v>
      </c>
      <c r="C5" s="13" t="s">
        <v>16</v>
      </c>
      <c r="D5" s="34">
        <v>8</v>
      </c>
      <c r="E5" s="34" t="str">
        <f>CONCATENATE(Таблица22[[#This Row],[Операция]],Таблица22[[#This Row],[Материал]],Таблица22[[#This Row],[Толщина до…]])</f>
        <v>Зачистка после сваркиСталь черная8</v>
      </c>
      <c r="F5" s="33" t="s">
        <v>9</v>
      </c>
      <c r="G5" s="35">
        <f t="shared" si="0"/>
        <v>1450</v>
      </c>
      <c r="H5" s="118">
        <f t="shared" si="1"/>
        <v>11</v>
      </c>
      <c r="I5" s="119">
        <v>27</v>
      </c>
      <c r="K5" s="103">
        <v>3</v>
      </c>
      <c r="L5" s="122"/>
      <c r="M5" s="125"/>
      <c r="N5" s="63"/>
      <c r="O5" s="63"/>
      <c r="P5" s="63"/>
      <c r="Q5" s="78">
        <f t="shared" ref="Q4:Q22" si="14">MAX(N5,O5,P5)</f>
        <v>0</v>
      </c>
      <c r="R5" s="51"/>
      <c r="S5" s="51"/>
      <c r="T5" s="58"/>
      <c r="U5" s="58" t="str">
        <f t="shared" ref="U4:U22" si="15">CONCATENATE(R5,S5,T5)</f>
        <v/>
      </c>
      <c r="V5" s="79" t="str">
        <f>IF(R5="","",IFERROR(VLOOKUP(U5,Таблица22[[Сцепка]:[Ставка]],2,0),"NO"))</f>
        <v/>
      </c>
      <c r="W5" s="55"/>
      <c r="X5" s="62" t="str">
        <f>VLOOKUP(U5,Таблица22[[Сцепка]:[Прайсовая стоимость]],4,0)</f>
        <v/>
      </c>
      <c r="Y5" s="65" t="str">
        <f>IF(M5="","",VLOOKUP(M5,Таблица54[],2,1))</f>
        <v/>
      </c>
      <c r="Z5" s="65" t="str">
        <f t="shared" ref="Z4:Z22" si="16">IF(M5="","",VLOOKUP(Q5,$AN$3:$AP$10,2,1))</f>
        <v/>
      </c>
      <c r="AA5" s="65" t="str">
        <f t="shared" ref="AA4:AA22" si="17">IFERROR(1+Y5+Z5,"")</f>
        <v/>
      </c>
      <c r="AB5" s="83" t="str">
        <f t="shared" ref="AB4:AB22" si="18">IF(M5="","",IFERROR(W5*X5*AA5,0))</f>
        <v/>
      </c>
      <c r="AC5" s="83" t="str">
        <f t="shared" ref="AC4:AC22" si="19">IFERROR(M5*AB5,"")</f>
        <v/>
      </c>
      <c r="AD5" s="84">
        <f>VLOOKUP(U5,Таблица22[[Сцепка]:[Время, сек]],5,0)</f>
        <v>0</v>
      </c>
      <c r="AE5" s="85">
        <f>VLOOKUP(M5,Таблица54[],3,1)</f>
        <v>7</v>
      </c>
      <c r="AF5" s="85">
        <f t="shared" ref="AF4:AF22" si="20">VLOOKUP(Q5,$AN$3:$AP$10,3,1)</f>
        <v>0</v>
      </c>
      <c r="AG5" s="85">
        <f t="shared" ref="AG4:AG22" si="21">1+AE5+AF5</f>
        <v>8</v>
      </c>
      <c r="AH5" s="84">
        <f t="shared" ref="AH4:AH22" si="22">W5*AD5*AG5</f>
        <v>0</v>
      </c>
      <c r="AI5" s="104" t="str">
        <f t="shared" ref="AI4:AI22" si="23">IF(M5="","",(M5*AH5)/3600)</f>
        <v/>
      </c>
      <c r="AN5" s="21">
        <v>1200</v>
      </c>
      <c r="AO5" s="2">
        <v>0.05</v>
      </c>
      <c r="AP5" s="2">
        <v>0.03</v>
      </c>
      <c r="AR5" s="23">
        <v>6</v>
      </c>
      <c r="AS5" s="2">
        <v>5</v>
      </c>
      <c r="AT5" s="2">
        <v>3</v>
      </c>
    </row>
    <row r="6" spans="1:51" ht="20.100000000000001" customHeight="1" x14ac:dyDescent="0.25">
      <c r="A6" s="26">
        <v>4</v>
      </c>
      <c r="B6" s="13" t="s">
        <v>20</v>
      </c>
      <c r="C6" s="13" t="s">
        <v>16</v>
      </c>
      <c r="D6" s="34">
        <v>12</v>
      </c>
      <c r="E6" s="34" t="str">
        <f>CONCATENATE(Таблица22[[#This Row],[Операция]],Таблица22[[#This Row],[Материал]],Таблица22[[#This Row],[Толщина до…]])</f>
        <v>Зачистка после сваркиСталь черная12</v>
      </c>
      <c r="F6" s="33" t="s">
        <v>9</v>
      </c>
      <c r="G6" s="35">
        <f t="shared" si="0"/>
        <v>1450</v>
      </c>
      <c r="H6" s="118">
        <f>IFERROR(CEILING((G6/3600)*I6,0.5),"")</f>
        <v>16.5</v>
      </c>
      <c r="I6" s="119">
        <v>40</v>
      </c>
      <c r="K6" s="101">
        <v>4</v>
      </c>
      <c r="L6" s="121"/>
      <c r="M6" s="124"/>
      <c r="N6" s="76"/>
      <c r="O6" s="76"/>
      <c r="P6" s="76"/>
      <c r="Q6" s="64">
        <f t="shared" si="14"/>
        <v>0</v>
      </c>
      <c r="R6" s="81"/>
      <c r="S6" s="81"/>
      <c r="T6" s="82"/>
      <c r="U6" s="58" t="str">
        <f t="shared" si="15"/>
        <v/>
      </c>
      <c r="V6" s="80" t="str">
        <f>IF(R6="","",IFERROR(VLOOKUP(U6,Таблица22[[Сцепка]:[Ставка]],2,0),"NO"))</f>
        <v/>
      </c>
      <c r="W6" s="77"/>
      <c r="X6" s="62" t="str">
        <f>VLOOKUP(U6,Таблица22[[Сцепка]:[Прайсовая стоимость]],4,0)</f>
        <v/>
      </c>
      <c r="Y6" s="65" t="str">
        <f>IF(M6="","",VLOOKUP(M6,Таблица54[],2,1))</f>
        <v/>
      </c>
      <c r="Z6" s="65" t="str">
        <f t="shared" si="16"/>
        <v/>
      </c>
      <c r="AA6" s="65" t="str">
        <f t="shared" si="17"/>
        <v/>
      </c>
      <c r="AB6" s="86" t="str">
        <f t="shared" si="18"/>
        <v/>
      </c>
      <c r="AC6" s="86" t="str">
        <f t="shared" si="19"/>
        <v/>
      </c>
      <c r="AD6" s="67">
        <f>VLOOKUP(U6,Таблица22[[Сцепка]:[Время, сек]],5,0)</f>
        <v>0</v>
      </c>
      <c r="AE6" s="65">
        <f>VLOOKUP(M6,Таблица54[],3,1)</f>
        <v>7</v>
      </c>
      <c r="AF6" s="65">
        <f t="shared" si="20"/>
        <v>0</v>
      </c>
      <c r="AG6" s="65">
        <f t="shared" si="21"/>
        <v>8</v>
      </c>
      <c r="AH6" s="67">
        <f t="shared" si="22"/>
        <v>0</v>
      </c>
      <c r="AI6" s="102" t="str">
        <f t="shared" si="23"/>
        <v/>
      </c>
      <c r="AN6" s="21">
        <v>1500</v>
      </c>
      <c r="AO6" s="2">
        <v>0.1</v>
      </c>
      <c r="AP6" s="2">
        <v>0.6</v>
      </c>
      <c r="AR6" s="23">
        <v>11</v>
      </c>
      <c r="AS6" s="2">
        <v>1</v>
      </c>
      <c r="AT6" s="2">
        <v>0.5</v>
      </c>
    </row>
    <row r="7" spans="1:51" ht="20.100000000000001" customHeight="1" x14ac:dyDescent="0.25">
      <c r="A7" s="26">
        <v>5</v>
      </c>
      <c r="B7" s="13" t="s">
        <v>20</v>
      </c>
      <c r="C7" s="13" t="s">
        <v>16</v>
      </c>
      <c r="D7" s="34">
        <v>16</v>
      </c>
      <c r="E7" s="34" t="str">
        <f>CONCATENATE(Таблица22[[#This Row],[Операция]],Таблица22[[#This Row],[Материал]],Таблица22[[#This Row],[Толщина до…]])</f>
        <v>Зачистка после сваркиСталь черная16</v>
      </c>
      <c r="F7" s="33" t="s">
        <v>9</v>
      </c>
      <c r="G7" s="35">
        <f t="shared" si="0"/>
        <v>1450</v>
      </c>
      <c r="H7" s="118">
        <f>IFERROR(CEILING((G7/3600)*I7,0.5),"")</f>
        <v>32.5</v>
      </c>
      <c r="I7" s="119">
        <v>80</v>
      </c>
      <c r="K7" s="103">
        <v>5</v>
      </c>
      <c r="L7" s="122"/>
      <c r="M7" s="125"/>
      <c r="N7" s="63"/>
      <c r="O7" s="63"/>
      <c r="P7" s="63"/>
      <c r="Q7" s="78">
        <f t="shared" si="14"/>
        <v>0</v>
      </c>
      <c r="R7" s="51"/>
      <c r="S7" s="51"/>
      <c r="T7" s="58"/>
      <c r="U7" s="58" t="str">
        <f t="shared" si="15"/>
        <v/>
      </c>
      <c r="V7" s="79" t="str">
        <f>IF(R7="","",IFERROR(VLOOKUP(U7,Таблица22[[Сцепка]:[Ставка]],2,0),"NO"))</f>
        <v/>
      </c>
      <c r="W7" s="55"/>
      <c r="X7" s="62" t="str">
        <f>VLOOKUP(U7,Таблица22[[Сцепка]:[Прайсовая стоимость]],4,0)</f>
        <v/>
      </c>
      <c r="Y7" s="65" t="str">
        <f>IF(M7="","",VLOOKUP(M7,Таблица54[],2,1))</f>
        <v/>
      </c>
      <c r="Z7" s="65" t="str">
        <f t="shared" si="16"/>
        <v/>
      </c>
      <c r="AA7" s="65" t="str">
        <f t="shared" si="17"/>
        <v/>
      </c>
      <c r="AB7" s="83" t="str">
        <f t="shared" si="18"/>
        <v/>
      </c>
      <c r="AC7" s="83" t="str">
        <f t="shared" si="19"/>
        <v/>
      </c>
      <c r="AD7" s="84">
        <f>VLOOKUP(U7,Таблица22[[Сцепка]:[Время, сек]],5,0)</f>
        <v>0</v>
      </c>
      <c r="AE7" s="85">
        <f>VLOOKUP(M7,Таблица54[],3,1)</f>
        <v>7</v>
      </c>
      <c r="AF7" s="85">
        <f t="shared" si="20"/>
        <v>0</v>
      </c>
      <c r="AG7" s="85">
        <f t="shared" si="21"/>
        <v>8</v>
      </c>
      <c r="AH7" s="84">
        <f t="shared" si="22"/>
        <v>0</v>
      </c>
      <c r="AI7" s="104" t="str">
        <f t="shared" si="23"/>
        <v/>
      </c>
      <c r="AN7" s="21">
        <v>1800</v>
      </c>
      <c r="AO7" s="2">
        <v>0.3</v>
      </c>
      <c r="AP7" s="2">
        <v>0.2</v>
      </c>
      <c r="AR7" s="23">
        <v>16</v>
      </c>
      <c r="AS7" s="2">
        <v>0.5</v>
      </c>
      <c r="AT7" s="2">
        <v>0.2</v>
      </c>
    </row>
    <row r="8" spans="1:51" ht="20.100000000000001" customHeight="1" x14ac:dyDescent="0.25">
      <c r="A8" s="26">
        <v>6</v>
      </c>
      <c r="B8" s="13" t="s">
        <v>20</v>
      </c>
      <c r="C8" s="13" t="s">
        <v>18</v>
      </c>
      <c r="D8" s="34">
        <v>3</v>
      </c>
      <c r="E8" s="34" t="str">
        <f>CONCATENATE(Таблица22[[#This Row],[Операция]],Таблица22[[#This Row],[Материал]],Таблица22[[#This Row],[Толщина до…]])</f>
        <v>Зачистка после сваркиАлюминий3</v>
      </c>
      <c r="F8" s="33" t="s">
        <v>8</v>
      </c>
      <c r="G8" s="35">
        <f t="shared" si="0"/>
        <v>1750</v>
      </c>
      <c r="H8" s="118">
        <f t="shared" si="1"/>
        <v>32</v>
      </c>
      <c r="I8" s="119">
        <v>65</v>
      </c>
      <c r="K8" s="101">
        <v>6</v>
      </c>
      <c r="L8" s="121"/>
      <c r="M8" s="124"/>
      <c r="N8" s="76"/>
      <c r="O8" s="76"/>
      <c r="P8" s="76"/>
      <c r="Q8" s="64">
        <f t="shared" si="14"/>
        <v>0</v>
      </c>
      <c r="R8" s="81"/>
      <c r="S8" s="81"/>
      <c r="T8" s="82"/>
      <c r="U8" s="58" t="str">
        <f t="shared" si="15"/>
        <v/>
      </c>
      <c r="V8" s="80" t="str">
        <f>IF(R8="","",IFERROR(VLOOKUP(U8,Таблица22[[Сцепка]:[Ставка]],2,0),"NO"))</f>
        <v/>
      </c>
      <c r="W8" s="77"/>
      <c r="X8" s="62" t="str">
        <f>VLOOKUP(U8,Таблица22[[Сцепка]:[Прайсовая стоимость]],4,0)</f>
        <v/>
      </c>
      <c r="Y8" s="65" t="str">
        <f>IF(M8="","",VLOOKUP(M8,Таблица54[],2,1))</f>
        <v/>
      </c>
      <c r="Z8" s="65" t="str">
        <f t="shared" si="16"/>
        <v/>
      </c>
      <c r="AA8" s="65" t="str">
        <f t="shared" si="17"/>
        <v/>
      </c>
      <c r="AB8" s="86" t="str">
        <f t="shared" si="18"/>
        <v/>
      </c>
      <c r="AC8" s="86" t="str">
        <f t="shared" si="19"/>
        <v/>
      </c>
      <c r="AD8" s="67">
        <f>VLOOKUP(U8,Таблица22[[Сцепка]:[Время, сек]],5,0)</f>
        <v>0</v>
      </c>
      <c r="AE8" s="65">
        <f>VLOOKUP(M8,Таблица54[],3,1)</f>
        <v>7</v>
      </c>
      <c r="AF8" s="65">
        <f t="shared" si="20"/>
        <v>0</v>
      </c>
      <c r="AG8" s="65">
        <f t="shared" si="21"/>
        <v>8</v>
      </c>
      <c r="AH8" s="67">
        <f t="shared" si="22"/>
        <v>0</v>
      </c>
      <c r="AI8" s="102" t="str">
        <f t="shared" si="23"/>
        <v/>
      </c>
      <c r="AN8" s="21">
        <v>2000</v>
      </c>
      <c r="AO8" s="2">
        <v>0.8</v>
      </c>
      <c r="AP8" s="2">
        <v>0.6</v>
      </c>
      <c r="AR8" s="23">
        <v>21</v>
      </c>
      <c r="AS8" s="2">
        <v>0</v>
      </c>
      <c r="AT8" s="2">
        <v>0</v>
      </c>
    </row>
    <row r="9" spans="1:51" ht="20.100000000000001" customHeight="1" x14ac:dyDescent="0.25">
      <c r="A9" s="26">
        <v>7</v>
      </c>
      <c r="B9" s="13" t="s">
        <v>20</v>
      </c>
      <c r="C9" s="13" t="s">
        <v>18</v>
      </c>
      <c r="D9" s="34">
        <v>6</v>
      </c>
      <c r="E9" s="34" t="str">
        <f>CONCATENATE(Таблица22[[#This Row],[Операция]],Таблица22[[#This Row],[Материал]],Таблица22[[#This Row],[Толщина до…]])</f>
        <v>Зачистка после сваркиАлюминий6</v>
      </c>
      <c r="F9" s="33" t="s">
        <v>8</v>
      </c>
      <c r="G9" s="35">
        <f t="shared" si="0"/>
        <v>1750</v>
      </c>
      <c r="H9" s="118">
        <f t="shared" si="1"/>
        <v>39</v>
      </c>
      <c r="I9" s="119">
        <v>80</v>
      </c>
      <c r="K9" s="103">
        <v>7</v>
      </c>
      <c r="L9" s="122"/>
      <c r="M9" s="125"/>
      <c r="N9" s="63"/>
      <c r="O9" s="63"/>
      <c r="P9" s="63"/>
      <c r="Q9" s="78">
        <f t="shared" si="14"/>
        <v>0</v>
      </c>
      <c r="R9" s="51"/>
      <c r="S9" s="51"/>
      <c r="T9" s="58"/>
      <c r="U9" s="58" t="str">
        <f t="shared" si="15"/>
        <v/>
      </c>
      <c r="V9" s="79" t="str">
        <f>IF(R9="","",IFERROR(VLOOKUP(U9,Таблица22[[Сцепка]:[Ставка]],2,0),"NO"))</f>
        <v/>
      </c>
      <c r="W9" s="55"/>
      <c r="X9" s="62" t="str">
        <f>VLOOKUP(U9,Таблица22[[Сцепка]:[Прайсовая стоимость]],4,0)</f>
        <v/>
      </c>
      <c r="Y9" s="65" t="str">
        <f>IF(M9="","",VLOOKUP(M9,Таблица54[],2,1))</f>
        <v/>
      </c>
      <c r="Z9" s="65" t="str">
        <f t="shared" si="16"/>
        <v/>
      </c>
      <c r="AA9" s="65" t="str">
        <f t="shared" si="17"/>
        <v/>
      </c>
      <c r="AB9" s="83" t="str">
        <f t="shared" si="18"/>
        <v/>
      </c>
      <c r="AC9" s="83" t="str">
        <f t="shared" si="19"/>
        <v/>
      </c>
      <c r="AD9" s="84">
        <f>VLOOKUP(U9,Таблица22[[Сцепка]:[Время, сек]],5,0)</f>
        <v>0</v>
      </c>
      <c r="AE9" s="85">
        <f>VLOOKUP(M9,Таблица54[],3,1)</f>
        <v>7</v>
      </c>
      <c r="AF9" s="85">
        <f t="shared" si="20"/>
        <v>0</v>
      </c>
      <c r="AG9" s="85">
        <f t="shared" si="21"/>
        <v>8</v>
      </c>
      <c r="AH9" s="84">
        <f t="shared" si="22"/>
        <v>0</v>
      </c>
      <c r="AI9" s="104" t="str">
        <f t="shared" si="23"/>
        <v/>
      </c>
      <c r="AN9" s="21">
        <v>2500</v>
      </c>
      <c r="AO9" s="2">
        <v>2.5</v>
      </c>
      <c r="AP9" s="2">
        <v>2</v>
      </c>
      <c r="AR9" s="23">
        <v>101</v>
      </c>
      <c r="AS9" s="2">
        <v>-0.05</v>
      </c>
      <c r="AT9" s="2">
        <v>-0.02</v>
      </c>
    </row>
    <row r="10" spans="1:51" ht="20.100000000000001" customHeight="1" x14ac:dyDescent="0.25">
      <c r="A10" s="26">
        <v>8</v>
      </c>
      <c r="B10" s="13" t="s">
        <v>20</v>
      </c>
      <c r="C10" s="13" t="s">
        <v>18</v>
      </c>
      <c r="D10" s="34">
        <v>8</v>
      </c>
      <c r="E10" s="34" t="str">
        <f>CONCATENATE(Таблица22[[#This Row],[Операция]],Таблица22[[#This Row],[Материал]],Таблица22[[#This Row],[Толщина до…]])</f>
        <v>Зачистка после сваркиАлюминий8</v>
      </c>
      <c r="F10" s="33" t="s">
        <v>8</v>
      </c>
      <c r="G10" s="35">
        <f t="shared" si="0"/>
        <v>1750</v>
      </c>
      <c r="H10" s="118">
        <f>IFERROR(CEILING((G10/3600)*I10,0.5),"")</f>
        <v>44</v>
      </c>
      <c r="I10" s="119">
        <v>90</v>
      </c>
      <c r="K10" s="101">
        <v>8</v>
      </c>
      <c r="L10" s="121"/>
      <c r="M10" s="124"/>
      <c r="N10" s="76"/>
      <c r="O10" s="76"/>
      <c r="P10" s="76"/>
      <c r="Q10" s="64">
        <f t="shared" si="14"/>
        <v>0</v>
      </c>
      <c r="R10" s="81"/>
      <c r="S10" s="81"/>
      <c r="T10" s="82"/>
      <c r="U10" s="58" t="str">
        <f t="shared" si="15"/>
        <v/>
      </c>
      <c r="V10" s="80" t="str">
        <f>IF(R10="","",IFERROR(VLOOKUP(U10,Таблица22[[Сцепка]:[Ставка]],2,0),"NO"))</f>
        <v/>
      </c>
      <c r="W10" s="77"/>
      <c r="X10" s="62" t="str">
        <f>VLOOKUP(U10,Таблица22[[Сцепка]:[Прайсовая стоимость]],4,0)</f>
        <v/>
      </c>
      <c r="Y10" s="65" t="str">
        <f>IF(M10="","",VLOOKUP(M10,Таблица54[],2,1))</f>
        <v/>
      </c>
      <c r="Z10" s="65" t="str">
        <f t="shared" si="16"/>
        <v/>
      </c>
      <c r="AA10" s="65" t="str">
        <f t="shared" si="17"/>
        <v/>
      </c>
      <c r="AB10" s="86" t="str">
        <f t="shared" si="18"/>
        <v/>
      </c>
      <c r="AC10" s="86" t="str">
        <f t="shared" si="19"/>
        <v/>
      </c>
      <c r="AD10" s="67">
        <f>VLOOKUP(U10,Таблица22[[Сцепка]:[Время, сек]],5,0)</f>
        <v>0</v>
      </c>
      <c r="AE10" s="65">
        <f>VLOOKUP(M10,Таблица54[],3,1)</f>
        <v>7</v>
      </c>
      <c r="AF10" s="65">
        <f t="shared" si="20"/>
        <v>0</v>
      </c>
      <c r="AG10" s="65">
        <f t="shared" si="21"/>
        <v>8</v>
      </c>
      <c r="AH10" s="67">
        <f t="shared" si="22"/>
        <v>0</v>
      </c>
      <c r="AI10" s="102" t="str">
        <f t="shared" si="23"/>
        <v/>
      </c>
      <c r="AN10" s="21">
        <v>3000</v>
      </c>
      <c r="AO10" s="2">
        <v>5</v>
      </c>
      <c r="AP10" s="2">
        <v>3</v>
      </c>
      <c r="AR10" s="23">
        <v>201</v>
      </c>
      <c r="AS10" s="2">
        <v>-0.1</v>
      </c>
      <c r="AT10" s="2">
        <v>-0.08</v>
      </c>
    </row>
    <row r="11" spans="1:51" ht="20.100000000000001" customHeight="1" x14ac:dyDescent="0.25">
      <c r="A11" s="26">
        <v>9</v>
      </c>
      <c r="B11" s="13" t="s">
        <v>20</v>
      </c>
      <c r="C11" s="13" t="s">
        <v>18</v>
      </c>
      <c r="D11" s="34">
        <v>12</v>
      </c>
      <c r="E11" s="34" t="str">
        <f>CONCATENATE(Таблица22[[#This Row],[Операция]],Таблица22[[#This Row],[Материал]],Таблица22[[#This Row],[Толщина до…]])</f>
        <v>Зачистка после сваркиАлюминий12</v>
      </c>
      <c r="F11" s="33" t="s">
        <v>8</v>
      </c>
      <c r="G11" s="35">
        <f t="shared" si="0"/>
        <v>1750</v>
      </c>
      <c r="H11" s="118">
        <f t="shared" si="1"/>
        <v>58.5</v>
      </c>
      <c r="I11" s="119">
        <v>120</v>
      </c>
      <c r="K11" s="103">
        <v>9</v>
      </c>
      <c r="L11" s="122"/>
      <c r="M11" s="125"/>
      <c r="N11" s="63"/>
      <c r="O11" s="63"/>
      <c r="P11" s="63"/>
      <c r="Q11" s="78">
        <f t="shared" si="14"/>
        <v>0</v>
      </c>
      <c r="R11" s="51"/>
      <c r="S11" s="51"/>
      <c r="T11" s="58"/>
      <c r="U11" s="58" t="str">
        <f t="shared" si="15"/>
        <v/>
      </c>
      <c r="V11" s="79" t="str">
        <f>IF(R11="","",IFERROR(VLOOKUP(U11,Таблица22[[Сцепка]:[Ставка]],2,0),"NO"))</f>
        <v/>
      </c>
      <c r="W11" s="55"/>
      <c r="X11" s="62" t="str">
        <f>VLOOKUP(U11,Таблица22[[Сцепка]:[Прайсовая стоимость]],4,0)</f>
        <v/>
      </c>
      <c r="Y11" s="65" t="str">
        <f>IF(M11="","",VLOOKUP(M11,Таблица54[],2,1))</f>
        <v/>
      </c>
      <c r="Z11" s="65" t="str">
        <f t="shared" si="16"/>
        <v/>
      </c>
      <c r="AA11" s="65" t="str">
        <f t="shared" si="17"/>
        <v/>
      </c>
      <c r="AB11" s="83" t="str">
        <f t="shared" si="18"/>
        <v/>
      </c>
      <c r="AC11" s="83" t="str">
        <f t="shared" si="19"/>
        <v/>
      </c>
      <c r="AD11" s="84">
        <f>VLOOKUP(U11,Таблица22[[Сцепка]:[Время, сек]],5,0)</f>
        <v>0</v>
      </c>
      <c r="AE11" s="85">
        <f>VLOOKUP(M11,Таблица54[],3,1)</f>
        <v>7</v>
      </c>
      <c r="AF11" s="85">
        <f t="shared" si="20"/>
        <v>0</v>
      </c>
      <c r="AG11" s="85">
        <f t="shared" si="21"/>
        <v>8</v>
      </c>
      <c r="AH11" s="84">
        <f t="shared" si="22"/>
        <v>0</v>
      </c>
      <c r="AI11" s="104" t="str">
        <f t="shared" si="23"/>
        <v/>
      </c>
      <c r="AR11" s="24">
        <v>301</v>
      </c>
      <c r="AS11" s="16">
        <v>-0.15</v>
      </c>
      <c r="AT11" s="16">
        <v>-0.1</v>
      </c>
    </row>
    <row r="12" spans="1:51" ht="20.100000000000001" customHeight="1" x14ac:dyDescent="0.25">
      <c r="A12" s="26">
        <v>10</v>
      </c>
      <c r="B12" s="13" t="s">
        <v>20</v>
      </c>
      <c r="C12" s="13" t="s">
        <v>19</v>
      </c>
      <c r="D12" s="34">
        <v>3</v>
      </c>
      <c r="E12" s="34" t="str">
        <f>CONCATENATE(Таблица22[[#This Row],[Операция]],Таблица22[[#This Row],[Материал]],Таблица22[[#This Row],[Толщина до…]])</f>
        <v>Зачистка после сваркиНержавейка3</v>
      </c>
      <c r="F12" s="33" t="s">
        <v>8</v>
      </c>
      <c r="G12" s="35">
        <f t="shared" si="0"/>
        <v>1750</v>
      </c>
      <c r="H12" s="118">
        <f t="shared" si="1"/>
        <v>24.5</v>
      </c>
      <c r="I12" s="119">
        <v>50</v>
      </c>
      <c r="K12" s="101">
        <v>10</v>
      </c>
      <c r="L12" s="121"/>
      <c r="M12" s="124"/>
      <c r="N12" s="76"/>
      <c r="O12" s="76"/>
      <c r="P12" s="76"/>
      <c r="Q12" s="64">
        <f t="shared" si="14"/>
        <v>0</v>
      </c>
      <c r="R12" s="81"/>
      <c r="S12" s="81"/>
      <c r="T12" s="82"/>
      <c r="U12" s="58" t="str">
        <f t="shared" si="15"/>
        <v/>
      </c>
      <c r="V12" s="80" t="str">
        <f>IF(R12="","",IFERROR(VLOOKUP(U12,Таблица22[[Сцепка]:[Ставка]],2,0),"NO"))</f>
        <v/>
      </c>
      <c r="W12" s="77"/>
      <c r="X12" s="62" t="str">
        <f>VLOOKUP(U12,Таблица22[[Сцепка]:[Прайсовая стоимость]],4,0)</f>
        <v/>
      </c>
      <c r="Y12" s="65" t="str">
        <f>IF(M12="","",VLOOKUP(M12,Таблица54[],2,1))</f>
        <v/>
      </c>
      <c r="Z12" s="65" t="str">
        <f t="shared" si="16"/>
        <v/>
      </c>
      <c r="AA12" s="65" t="str">
        <f t="shared" si="17"/>
        <v/>
      </c>
      <c r="AB12" s="86" t="str">
        <f t="shared" si="18"/>
        <v/>
      </c>
      <c r="AC12" s="86" t="str">
        <f t="shared" si="19"/>
        <v/>
      </c>
      <c r="AD12" s="67">
        <f>VLOOKUP(U12,Таблица22[[Сцепка]:[Время, сек]],5,0)</f>
        <v>0</v>
      </c>
      <c r="AE12" s="65">
        <f>VLOOKUP(M12,Таблица54[],3,1)</f>
        <v>7</v>
      </c>
      <c r="AF12" s="65">
        <f t="shared" si="20"/>
        <v>0</v>
      </c>
      <c r="AG12" s="65">
        <f t="shared" si="21"/>
        <v>8</v>
      </c>
      <c r="AH12" s="67">
        <f t="shared" si="22"/>
        <v>0</v>
      </c>
      <c r="AI12" s="102" t="str">
        <f t="shared" si="23"/>
        <v/>
      </c>
    </row>
    <row r="13" spans="1:51" ht="20.100000000000001" customHeight="1" x14ac:dyDescent="0.25">
      <c r="A13" s="26">
        <v>11</v>
      </c>
      <c r="B13" s="13" t="s">
        <v>20</v>
      </c>
      <c r="C13" s="13" t="s">
        <v>19</v>
      </c>
      <c r="D13" s="34">
        <v>6</v>
      </c>
      <c r="E13" s="34" t="str">
        <f>CONCATENATE(Таблица22[[#This Row],[Операция]],Таблица22[[#This Row],[Материал]],Таблица22[[#This Row],[Толщина до…]])</f>
        <v>Зачистка после сваркиНержавейка6</v>
      </c>
      <c r="F13" s="33" t="s">
        <v>8</v>
      </c>
      <c r="G13" s="35">
        <f t="shared" si="0"/>
        <v>1750</v>
      </c>
      <c r="H13" s="118">
        <f t="shared" si="1"/>
        <v>29.5</v>
      </c>
      <c r="I13" s="119">
        <v>60</v>
      </c>
      <c r="K13" s="103">
        <v>11</v>
      </c>
      <c r="L13" s="122"/>
      <c r="M13" s="125"/>
      <c r="N13" s="63"/>
      <c r="O13" s="63"/>
      <c r="P13" s="63"/>
      <c r="Q13" s="78">
        <f t="shared" si="14"/>
        <v>0</v>
      </c>
      <c r="R13" s="51"/>
      <c r="S13" s="51"/>
      <c r="T13" s="58"/>
      <c r="U13" s="58" t="str">
        <f t="shared" si="15"/>
        <v/>
      </c>
      <c r="V13" s="79" t="str">
        <f>IF(R13="","",IFERROR(VLOOKUP(U13,Таблица22[[Сцепка]:[Ставка]],2,0),"NO"))</f>
        <v/>
      </c>
      <c r="W13" s="55"/>
      <c r="X13" s="62" t="str">
        <f>VLOOKUP(U13,Таблица22[[Сцепка]:[Прайсовая стоимость]],4,0)</f>
        <v/>
      </c>
      <c r="Y13" s="65" t="str">
        <f>IF(M13="","",VLOOKUP(M13,Таблица54[],2,1))</f>
        <v/>
      </c>
      <c r="Z13" s="65" t="str">
        <f t="shared" si="16"/>
        <v/>
      </c>
      <c r="AA13" s="65" t="str">
        <f t="shared" si="17"/>
        <v/>
      </c>
      <c r="AB13" s="83" t="str">
        <f t="shared" si="18"/>
        <v/>
      </c>
      <c r="AC13" s="83" t="str">
        <f t="shared" si="19"/>
        <v/>
      </c>
      <c r="AD13" s="84">
        <f>VLOOKUP(U13,Таблица22[[Сцепка]:[Время, сек]],5,0)</f>
        <v>0</v>
      </c>
      <c r="AE13" s="85">
        <f>VLOOKUP(M13,Таблица54[],3,1)</f>
        <v>7</v>
      </c>
      <c r="AF13" s="85">
        <f t="shared" si="20"/>
        <v>0</v>
      </c>
      <c r="AG13" s="85">
        <f t="shared" si="21"/>
        <v>8</v>
      </c>
      <c r="AH13" s="84">
        <f t="shared" si="22"/>
        <v>0</v>
      </c>
      <c r="AI13" s="104" t="str">
        <f t="shared" si="23"/>
        <v/>
      </c>
    </row>
    <row r="14" spans="1:51" ht="20.100000000000001" customHeight="1" x14ac:dyDescent="0.25">
      <c r="A14" s="26">
        <v>12</v>
      </c>
      <c r="B14" s="13" t="s">
        <v>20</v>
      </c>
      <c r="C14" s="13" t="s">
        <v>19</v>
      </c>
      <c r="D14" s="34">
        <v>8</v>
      </c>
      <c r="E14" s="34" t="str">
        <f>CONCATENATE(Таблица22[[#This Row],[Операция]],Таблица22[[#This Row],[Материал]],Таблица22[[#This Row],[Толщина до…]])</f>
        <v>Зачистка после сваркиНержавейка8</v>
      </c>
      <c r="F14" s="33" t="s">
        <v>8</v>
      </c>
      <c r="G14" s="35">
        <f t="shared" si="0"/>
        <v>1750</v>
      </c>
      <c r="H14" s="118">
        <f>IFERROR(CEILING((G14/3600)*I14,0.5),"")</f>
        <v>39</v>
      </c>
      <c r="I14" s="119">
        <v>80</v>
      </c>
      <c r="K14" s="101">
        <v>12</v>
      </c>
      <c r="L14" s="121"/>
      <c r="M14" s="124"/>
      <c r="N14" s="76"/>
      <c r="O14" s="76"/>
      <c r="P14" s="76"/>
      <c r="Q14" s="64">
        <f t="shared" si="14"/>
        <v>0</v>
      </c>
      <c r="R14" s="81"/>
      <c r="S14" s="81"/>
      <c r="T14" s="82"/>
      <c r="U14" s="58" t="str">
        <f t="shared" si="15"/>
        <v/>
      </c>
      <c r="V14" s="80" t="str">
        <f>IF(R14="","",IFERROR(VLOOKUP(U14,Таблица22[[Сцепка]:[Ставка]],2,0),"NO"))</f>
        <v/>
      </c>
      <c r="W14" s="77"/>
      <c r="X14" s="62" t="str">
        <f>VLOOKUP(U14,Таблица22[[Сцепка]:[Прайсовая стоимость]],4,0)</f>
        <v/>
      </c>
      <c r="Y14" s="65" t="str">
        <f>IF(M14="","",VLOOKUP(M14,Таблица54[],2,1))</f>
        <v/>
      </c>
      <c r="Z14" s="65" t="str">
        <f t="shared" si="16"/>
        <v/>
      </c>
      <c r="AA14" s="65" t="str">
        <f t="shared" si="17"/>
        <v/>
      </c>
      <c r="AB14" s="86" t="str">
        <f t="shared" si="18"/>
        <v/>
      </c>
      <c r="AC14" s="86" t="str">
        <f t="shared" si="19"/>
        <v/>
      </c>
      <c r="AD14" s="67">
        <f>VLOOKUP(U14,Таблица22[[Сцепка]:[Время, сек]],5,0)</f>
        <v>0</v>
      </c>
      <c r="AE14" s="65">
        <f>VLOOKUP(M14,Таблица54[],3,1)</f>
        <v>7</v>
      </c>
      <c r="AF14" s="65">
        <f t="shared" si="20"/>
        <v>0</v>
      </c>
      <c r="AG14" s="65">
        <f t="shared" si="21"/>
        <v>8</v>
      </c>
      <c r="AH14" s="67">
        <f t="shared" si="22"/>
        <v>0</v>
      </c>
      <c r="AI14" s="102" t="str">
        <f t="shared" si="23"/>
        <v/>
      </c>
    </row>
    <row r="15" spans="1:51" ht="20.100000000000001" customHeight="1" x14ac:dyDescent="0.25">
      <c r="A15" s="26">
        <v>13</v>
      </c>
      <c r="B15" s="13" t="s">
        <v>20</v>
      </c>
      <c r="C15" s="13" t="s">
        <v>19</v>
      </c>
      <c r="D15" s="34">
        <v>12</v>
      </c>
      <c r="E15" s="34" t="str">
        <f>CONCATENATE(Таблица22[[#This Row],[Операция]],Таблица22[[#This Row],[Материал]],Таблица22[[#This Row],[Толщина до…]])</f>
        <v>Зачистка после сваркиНержавейка12</v>
      </c>
      <c r="F15" s="33" t="s">
        <v>8</v>
      </c>
      <c r="G15" s="35">
        <f t="shared" si="0"/>
        <v>1750</v>
      </c>
      <c r="H15" s="118">
        <f t="shared" si="1"/>
        <v>46.5</v>
      </c>
      <c r="I15" s="119">
        <v>95</v>
      </c>
      <c r="K15" s="103">
        <v>13</v>
      </c>
      <c r="L15" s="122"/>
      <c r="M15" s="125"/>
      <c r="N15" s="63"/>
      <c r="O15" s="63"/>
      <c r="P15" s="63"/>
      <c r="Q15" s="78">
        <f t="shared" si="14"/>
        <v>0</v>
      </c>
      <c r="R15" s="51"/>
      <c r="S15" s="51"/>
      <c r="T15" s="58"/>
      <c r="U15" s="58" t="str">
        <f t="shared" si="15"/>
        <v/>
      </c>
      <c r="V15" s="79" t="str">
        <f>IF(R15="","",IFERROR(VLOOKUP(U15,Таблица22[[Сцепка]:[Ставка]],2,0),"NO"))</f>
        <v/>
      </c>
      <c r="W15" s="55"/>
      <c r="X15" s="62" t="str">
        <f>VLOOKUP(U15,Таблица22[[Сцепка]:[Прайсовая стоимость]],4,0)</f>
        <v/>
      </c>
      <c r="Y15" s="65" t="str">
        <f>IF(M15="","",VLOOKUP(M15,Таблица54[],2,1))</f>
        <v/>
      </c>
      <c r="Z15" s="65" t="str">
        <f t="shared" si="16"/>
        <v/>
      </c>
      <c r="AA15" s="65" t="str">
        <f t="shared" si="17"/>
        <v/>
      </c>
      <c r="AB15" s="83" t="str">
        <f t="shared" si="18"/>
        <v/>
      </c>
      <c r="AC15" s="83" t="str">
        <f t="shared" si="19"/>
        <v/>
      </c>
      <c r="AD15" s="84">
        <f>VLOOKUP(U15,Таблица22[[Сцепка]:[Время, сек]],5,0)</f>
        <v>0</v>
      </c>
      <c r="AE15" s="85">
        <f>VLOOKUP(M15,Таблица54[],3,1)</f>
        <v>7</v>
      </c>
      <c r="AF15" s="85">
        <f t="shared" si="20"/>
        <v>0</v>
      </c>
      <c r="AG15" s="85">
        <f t="shared" si="21"/>
        <v>8</v>
      </c>
      <c r="AH15" s="84">
        <f t="shared" si="22"/>
        <v>0</v>
      </c>
      <c r="AI15" s="104" t="str">
        <f t="shared" si="23"/>
        <v/>
      </c>
    </row>
    <row r="16" spans="1:51" ht="20.100000000000001" customHeight="1" x14ac:dyDescent="0.25">
      <c r="A16" s="26">
        <v>14</v>
      </c>
      <c r="B16" s="13" t="s">
        <v>21</v>
      </c>
      <c r="C16" s="13" t="s">
        <v>16</v>
      </c>
      <c r="D16" s="34">
        <v>6</v>
      </c>
      <c r="E16" s="34" t="str">
        <f>CONCATENATE(Таблица22[[#This Row],[Операция]],Таблица22[[#This Row],[Материал]],Таблица22[[#This Row],[Толщина до…]])</f>
        <v>Разделка кромки под сваркуСталь черная6</v>
      </c>
      <c r="F16" s="33" t="s">
        <v>9</v>
      </c>
      <c r="G16" s="35">
        <f t="shared" si="0"/>
        <v>1450</v>
      </c>
      <c r="H16" s="118">
        <f t="shared" si="1"/>
        <v>6.5</v>
      </c>
      <c r="I16" s="119">
        <v>16</v>
      </c>
      <c r="K16" s="101">
        <v>14</v>
      </c>
      <c r="L16" s="121"/>
      <c r="M16" s="124"/>
      <c r="N16" s="76"/>
      <c r="O16" s="76"/>
      <c r="P16" s="76"/>
      <c r="Q16" s="64">
        <f t="shared" si="14"/>
        <v>0</v>
      </c>
      <c r="R16" s="81"/>
      <c r="S16" s="81"/>
      <c r="T16" s="82"/>
      <c r="U16" s="58" t="str">
        <f t="shared" si="15"/>
        <v/>
      </c>
      <c r="V16" s="80" t="str">
        <f>IF(R16="","",IFERROR(VLOOKUP(U16,Таблица22[[Сцепка]:[Ставка]],2,0),"NO"))</f>
        <v/>
      </c>
      <c r="W16" s="77"/>
      <c r="X16" s="62" t="str">
        <f>VLOOKUP(U16,Таблица22[[Сцепка]:[Прайсовая стоимость]],4,0)</f>
        <v/>
      </c>
      <c r="Y16" s="65" t="str">
        <f>IF(M16="","",VLOOKUP(M16,Таблица54[],2,1))</f>
        <v/>
      </c>
      <c r="Z16" s="65" t="str">
        <f t="shared" si="16"/>
        <v/>
      </c>
      <c r="AA16" s="65" t="str">
        <f t="shared" si="17"/>
        <v/>
      </c>
      <c r="AB16" s="86" t="str">
        <f t="shared" si="18"/>
        <v/>
      </c>
      <c r="AC16" s="86" t="str">
        <f t="shared" si="19"/>
        <v/>
      </c>
      <c r="AD16" s="67">
        <f>VLOOKUP(U16,Таблица22[[Сцепка]:[Время, сек]],5,0)</f>
        <v>0</v>
      </c>
      <c r="AE16" s="65">
        <f>VLOOKUP(M16,Таблица54[],3,1)</f>
        <v>7</v>
      </c>
      <c r="AF16" s="65">
        <f t="shared" si="20"/>
        <v>0</v>
      </c>
      <c r="AG16" s="65">
        <f t="shared" si="21"/>
        <v>8</v>
      </c>
      <c r="AH16" s="67">
        <f t="shared" si="22"/>
        <v>0</v>
      </c>
      <c r="AI16" s="102" t="str">
        <f t="shared" si="23"/>
        <v/>
      </c>
    </row>
    <row r="17" spans="1:35" ht="20.100000000000001" customHeight="1" x14ac:dyDescent="0.25">
      <c r="A17" s="26">
        <v>15</v>
      </c>
      <c r="B17" s="13" t="s">
        <v>21</v>
      </c>
      <c r="C17" s="13" t="s">
        <v>16</v>
      </c>
      <c r="D17" s="34">
        <v>8</v>
      </c>
      <c r="E17" s="34" t="str">
        <f>CONCATENATE(Таблица22[[#This Row],[Операция]],Таблица22[[#This Row],[Материал]],Таблица22[[#This Row],[Толщина до…]])</f>
        <v>Разделка кромки под сваркуСталь черная8</v>
      </c>
      <c r="F17" s="33" t="s">
        <v>9</v>
      </c>
      <c r="G17" s="35">
        <f t="shared" si="0"/>
        <v>1450</v>
      </c>
      <c r="H17" s="118">
        <f>IFERROR(CEILING((G17/3600)*I17,0.5),"")</f>
        <v>10</v>
      </c>
      <c r="I17" s="119">
        <v>24</v>
      </c>
      <c r="K17" s="103">
        <v>15</v>
      </c>
      <c r="L17" s="122"/>
      <c r="M17" s="125"/>
      <c r="N17" s="63"/>
      <c r="O17" s="63"/>
      <c r="P17" s="63"/>
      <c r="Q17" s="78">
        <f t="shared" si="14"/>
        <v>0</v>
      </c>
      <c r="R17" s="51"/>
      <c r="S17" s="51"/>
      <c r="T17" s="58"/>
      <c r="U17" s="58" t="str">
        <f t="shared" si="15"/>
        <v/>
      </c>
      <c r="V17" s="79" t="str">
        <f>IF(R17="","",IFERROR(VLOOKUP(U17,Таблица22[[Сцепка]:[Ставка]],2,0),"NO"))</f>
        <v/>
      </c>
      <c r="W17" s="55"/>
      <c r="X17" s="62" t="str">
        <f>VLOOKUP(U17,Таблица22[[Сцепка]:[Прайсовая стоимость]],4,0)</f>
        <v/>
      </c>
      <c r="Y17" s="65" t="str">
        <f>IF(M17="","",VLOOKUP(M17,Таблица54[],2,1))</f>
        <v/>
      </c>
      <c r="Z17" s="65" t="str">
        <f t="shared" si="16"/>
        <v/>
      </c>
      <c r="AA17" s="65" t="str">
        <f t="shared" si="17"/>
        <v/>
      </c>
      <c r="AB17" s="83" t="str">
        <f t="shared" si="18"/>
        <v/>
      </c>
      <c r="AC17" s="83" t="str">
        <f t="shared" si="19"/>
        <v/>
      </c>
      <c r="AD17" s="84">
        <f>VLOOKUP(U17,Таблица22[[Сцепка]:[Время, сек]],5,0)</f>
        <v>0</v>
      </c>
      <c r="AE17" s="85">
        <f>VLOOKUP(M17,Таблица54[],3,1)</f>
        <v>7</v>
      </c>
      <c r="AF17" s="85">
        <f t="shared" si="20"/>
        <v>0</v>
      </c>
      <c r="AG17" s="85">
        <f t="shared" si="21"/>
        <v>8</v>
      </c>
      <c r="AH17" s="84">
        <f t="shared" si="22"/>
        <v>0</v>
      </c>
      <c r="AI17" s="104" t="str">
        <f t="shared" si="23"/>
        <v/>
      </c>
    </row>
    <row r="18" spans="1:35" ht="20.100000000000001" customHeight="1" x14ac:dyDescent="0.25">
      <c r="A18" s="26">
        <v>16</v>
      </c>
      <c r="B18" s="13" t="s">
        <v>21</v>
      </c>
      <c r="C18" s="13" t="s">
        <v>16</v>
      </c>
      <c r="D18" s="34">
        <v>12</v>
      </c>
      <c r="E18" s="34" t="str">
        <f>CONCATENATE(Таблица22[[#This Row],[Операция]],Таблица22[[#This Row],[Материал]],Таблица22[[#This Row],[Толщина до…]])</f>
        <v>Разделка кромки под сваркуСталь черная12</v>
      </c>
      <c r="F18" s="33" t="s">
        <v>9</v>
      </c>
      <c r="G18" s="35">
        <f t="shared" si="0"/>
        <v>1450</v>
      </c>
      <c r="H18" s="118">
        <f>IFERROR(CEILING((G18/3600)*I18,0.5),"")</f>
        <v>13</v>
      </c>
      <c r="I18" s="119">
        <v>32</v>
      </c>
      <c r="K18" s="101">
        <v>16</v>
      </c>
      <c r="L18" s="121"/>
      <c r="M18" s="124"/>
      <c r="N18" s="76"/>
      <c r="O18" s="76"/>
      <c r="P18" s="76"/>
      <c r="Q18" s="64">
        <f t="shared" si="14"/>
        <v>0</v>
      </c>
      <c r="R18" s="81"/>
      <c r="S18" s="81"/>
      <c r="T18" s="82"/>
      <c r="U18" s="58" t="str">
        <f t="shared" si="15"/>
        <v/>
      </c>
      <c r="V18" s="80" t="str">
        <f>IF(R18="","",IFERROR(VLOOKUP(U18,Таблица22[[Сцепка]:[Ставка]],2,0),"NO"))</f>
        <v/>
      </c>
      <c r="W18" s="77"/>
      <c r="X18" s="62" t="str">
        <f>VLOOKUP(U18,Таблица22[[Сцепка]:[Прайсовая стоимость]],4,0)</f>
        <v/>
      </c>
      <c r="Y18" s="65" t="str">
        <f>IF(M18="","",VLOOKUP(M18,Таблица54[],2,1))</f>
        <v/>
      </c>
      <c r="Z18" s="65" t="str">
        <f t="shared" si="16"/>
        <v/>
      </c>
      <c r="AA18" s="65" t="str">
        <f t="shared" si="17"/>
        <v/>
      </c>
      <c r="AB18" s="86" t="str">
        <f t="shared" si="18"/>
        <v/>
      </c>
      <c r="AC18" s="86" t="str">
        <f t="shared" si="19"/>
        <v/>
      </c>
      <c r="AD18" s="67">
        <f>VLOOKUP(U18,Таблица22[[Сцепка]:[Время, сек]],5,0)</f>
        <v>0</v>
      </c>
      <c r="AE18" s="65">
        <f>VLOOKUP(M18,Таблица54[],3,1)</f>
        <v>7</v>
      </c>
      <c r="AF18" s="65">
        <f t="shared" si="20"/>
        <v>0</v>
      </c>
      <c r="AG18" s="65">
        <f t="shared" si="21"/>
        <v>8</v>
      </c>
      <c r="AH18" s="67">
        <f t="shared" si="22"/>
        <v>0</v>
      </c>
      <c r="AI18" s="102" t="str">
        <f t="shared" si="23"/>
        <v/>
      </c>
    </row>
    <row r="19" spans="1:35" ht="20.100000000000001" customHeight="1" x14ac:dyDescent="0.25">
      <c r="A19" s="26">
        <v>17</v>
      </c>
      <c r="B19" s="13" t="s">
        <v>21</v>
      </c>
      <c r="C19" s="13" t="s">
        <v>16</v>
      </c>
      <c r="D19" s="34">
        <v>16</v>
      </c>
      <c r="E19" s="34" t="str">
        <f>CONCATENATE(Таблица22[[#This Row],[Операция]],Таблица22[[#This Row],[Материал]],Таблица22[[#This Row],[Толщина до…]])</f>
        <v>Разделка кромки под сваркуСталь черная16</v>
      </c>
      <c r="F19" s="33" t="s">
        <v>9</v>
      </c>
      <c r="G19" s="35">
        <f t="shared" si="0"/>
        <v>1450</v>
      </c>
      <c r="H19" s="118">
        <f t="shared" si="1"/>
        <v>16.5</v>
      </c>
      <c r="I19" s="119">
        <v>40</v>
      </c>
      <c r="K19" s="103">
        <v>17</v>
      </c>
      <c r="L19" s="122"/>
      <c r="M19" s="125"/>
      <c r="N19" s="63"/>
      <c r="O19" s="63"/>
      <c r="P19" s="63"/>
      <c r="Q19" s="78">
        <f t="shared" si="14"/>
        <v>0</v>
      </c>
      <c r="R19" s="51"/>
      <c r="S19" s="51"/>
      <c r="T19" s="58"/>
      <c r="U19" s="58" t="str">
        <f t="shared" si="15"/>
        <v/>
      </c>
      <c r="V19" s="79" t="str">
        <f>IF(R19="","",IFERROR(VLOOKUP(U19,Таблица22[[Сцепка]:[Ставка]],2,0),"NO"))</f>
        <v/>
      </c>
      <c r="W19" s="55"/>
      <c r="X19" s="62" t="str">
        <f>VLOOKUP(U19,Таблица22[[Сцепка]:[Прайсовая стоимость]],4,0)</f>
        <v/>
      </c>
      <c r="Y19" s="65" t="str">
        <f>IF(M19="","",VLOOKUP(M19,Таблица54[],2,1))</f>
        <v/>
      </c>
      <c r="Z19" s="65" t="str">
        <f t="shared" si="16"/>
        <v/>
      </c>
      <c r="AA19" s="65" t="str">
        <f t="shared" si="17"/>
        <v/>
      </c>
      <c r="AB19" s="83" t="str">
        <f t="shared" si="18"/>
        <v/>
      </c>
      <c r="AC19" s="83" t="str">
        <f t="shared" si="19"/>
        <v/>
      </c>
      <c r="AD19" s="84">
        <f>VLOOKUP(U19,Таблица22[[Сцепка]:[Время, сек]],5,0)</f>
        <v>0</v>
      </c>
      <c r="AE19" s="85">
        <f>VLOOKUP(M19,Таблица54[],3,1)</f>
        <v>7</v>
      </c>
      <c r="AF19" s="85">
        <f t="shared" si="20"/>
        <v>0</v>
      </c>
      <c r="AG19" s="85">
        <f t="shared" si="21"/>
        <v>8</v>
      </c>
      <c r="AH19" s="84">
        <f t="shared" si="22"/>
        <v>0</v>
      </c>
      <c r="AI19" s="104" t="str">
        <f t="shared" si="23"/>
        <v/>
      </c>
    </row>
    <row r="20" spans="1:35" ht="20.100000000000001" customHeight="1" x14ac:dyDescent="0.25">
      <c r="A20" s="26">
        <v>18</v>
      </c>
      <c r="B20" s="13" t="s">
        <v>21</v>
      </c>
      <c r="C20" s="13" t="s">
        <v>18</v>
      </c>
      <c r="D20" s="34">
        <v>6</v>
      </c>
      <c r="E20" s="34" t="str">
        <f>CONCATENATE(Таблица22[[#This Row],[Операция]],Таблица22[[#This Row],[Материал]],Таблица22[[#This Row],[Толщина до…]])</f>
        <v>Разделка кромки под сваркуАлюминий6</v>
      </c>
      <c r="F20" s="33" t="s">
        <v>8</v>
      </c>
      <c r="G20" s="35">
        <f t="shared" si="0"/>
        <v>1750</v>
      </c>
      <c r="H20" s="118">
        <f t="shared" si="1"/>
        <v>17.5</v>
      </c>
      <c r="I20" s="119">
        <v>35</v>
      </c>
      <c r="K20" s="101">
        <v>18</v>
      </c>
      <c r="L20" s="121"/>
      <c r="M20" s="124"/>
      <c r="N20" s="76"/>
      <c r="O20" s="76"/>
      <c r="P20" s="76"/>
      <c r="Q20" s="64">
        <f t="shared" si="14"/>
        <v>0</v>
      </c>
      <c r="R20" s="81"/>
      <c r="S20" s="81"/>
      <c r="T20" s="82"/>
      <c r="U20" s="58" t="str">
        <f t="shared" si="15"/>
        <v/>
      </c>
      <c r="V20" s="80" t="str">
        <f>IF(R20="","",IFERROR(VLOOKUP(U20,Таблица22[[Сцепка]:[Ставка]],2,0),"NO"))</f>
        <v/>
      </c>
      <c r="W20" s="77"/>
      <c r="X20" s="62" t="str">
        <f>VLOOKUP(U20,Таблица22[[Сцепка]:[Прайсовая стоимость]],4,0)</f>
        <v/>
      </c>
      <c r="Y20" s="65" t="str">
        <f>IF(M20="","",VLOOKUP(M20,Таблица54[],2,1))</f>
        <v/>
      </c>
      <c r="Z20" s="65" t="str">
        <f t="shared" si="16"/>
        <v/>
      </c>
      <c r="AA20" s="65" t="str">
        <f t="shared" si="17"/>
        <v/>
      </c>
      <c r="AB20" s="86" t="str">
        <f t="shared" si="18"/>
        <v/>
      </c>
      <c r="AC20" s="86" t="str">
        <f t="shared" si="19"/>
        <v/>
      </c>
      <c r="AD20" s="67">
        <f>VLOOKUP(U20,Таблица22[[Сцепка]:[Время, сек]],5,0)</f>
        <v>0</v>
      </c>
      <c r="AE20" s="65">
        <f>VLOOKUP(M20,Таблица54[],3,1)</f>
        <v>7</v>
      </c>
      <c r="AF20" s="65">
        <f t="shared" si="20"/>
        <v>0</v>
      </c>
      <c r="AG20" s="65">
        <f t="shared" si="21"/>
        <v>8</v>
      </c>
      <c r="AH20" s="67">
        <f t="shared" si="22"/>
        <v>0</v>
      </c>
      <c r="AI20" s="102" t="str">
        <f t="shared" si="23"/>
        <v/>
      </c>
    </row>
    <row r="21" spans="1:35" ht="20.100000000000001" customHeight="1" x14ac:dyDescent="0.25">
      <c r="A21" s="26">
        <v>19</v>
      </c>
      <c r="B21" s="13" t="s">
        <v>21</v>
      </c>
      <c r="C21" s="13" t="s">
        <v>18</v>
      </c>
      <c r="D21" s="34">
        <v>8</v>
      </c>
      <c r="E21" s="34" t="str">
        <f>CONCATENATE(Таблица22[[#This Row],[Операция]],Таблица22[[#This Row],[Материал]],Таблица22[[#This Row],[Толщина до…]])</f>
        <v>Разделка кромки под сваркуАлюминий8</v>
      </c>
      <c r="F21" s="33" t="s">
        <v>8</v>
      </c>
      <c r="G21" s="35">
        <f t="shared" si="0"/>
        <v>1750</v>
      </c>
      <c r="H21" s="118">
        <f>IFERROR(CEILING((G21/3600)*I21,0.5),"")</f>
        <v>22</v>
      </c>
      <c r="I21" s="119">
        <v>45</v>
      </c>
      <c r="K21" s="103">
        <v>19</v>
      </c>
      <c r="L21" s="122"/>
      <c r="M21" s="125"/>
      <c r="N21" s="63"/>
      <c r="O21" s="63"/>
      <c r="P21" s="63"/>
      <c r="Q21" s="78">
        <f t="shared" si="14"/>
        <v>0</v>
      </c>
      <c r="R21" s="51"/>
      <c r="S21" s="51"/>
      <c r="T21" s="58"/>
      <c r="U21" s="58" t="str">
        <f t="shared" si="15"/>
        <v/>
      </c>
      <c r="V21" s="79" t="str">
        <f>IF(R21="","",IFERROR(VLOOKUP(U21,Таблица22[[Сцепка]:[Ставка]],2,0),"NO"))</f>
        <v/>
      </c>
      <c r="W21" s="55"/>
      <c r="X21" s="62" t="str">
        <f>VLOOKUP(U21,Таблица22[[Сцепка]:[Прайсовая стоимость]],4,0)</f>
        <v/>
      </c>
      <c r="Y21" s="65" t="str">
        <f>IF(M21="","",VLOOKUP(M21,Таблица54[],2,1))</f>
        <v/>
      </c>
      <c r="Z21" s="65" t="str">
        <f t="shared" si="16"/>
        <v/>
      </c>
      <c r="AA21" s="65" t="str">
        <f t="shared" si="17"/>
        <v/>
      </c>
      <c r="AB21" s="83" t="str">
        <f t="shared" si="18"/>
        <v/>
      </c>
      <c r="AC21" s="83" t="str">
        <f t="shared" si="19"/>
        <v/>
      </c>
      <c r="AD21" s="84">
        <f>VLOOKUP(U21,Таблица22[[Сцепка]:[Время, сек]],5,0)</f>
        <v>0</v>
      </c>
      <c r="AE21" s="85">
        <f>VLOOKUP(M21,Таблица54[],3,1)</f>
        <v>7</v>
      </c>
      <c r="AF21" s="85">
        <f t="shared" si="20"/>
        <v>0</v>
      </c>
      <c r="AG21" s="85">
        <f t="shared" si="21"/>
        <v>8</v>
      </c>
      <c r="AH21" s="84">
        <f t="shared" si="22"/>
        <v>0</v>
      </c>
      <c r="AI21" s="104" t="str">
        <f t="shared" si="23"/>
        <v/>
      </c>
    </row>
    <row r="22" spans="1:35" ht="20.100000000000001" customHeight="1" thickBot="1" x14ac:dyDescent="0.3">
      <c r="A22" s="26">
        <v>20</v>
      </c>
      <c r="B22" s="13" t="s">
        <v>21</v>
      </c>
      <c r="C22" s="13" t="s">
        <v>18</v>
      </c>
      <c r="D22" s="34">
        <v>12</v>
      </c>
      <c r="E22" s="34" t="str">
        <f>CONCATENATE(Таблица22[[#This Row],[Операция]],Таблица22[[#This Row],[Материал]],Таблица22[[#This Row],[Толщина до…]])</f>
        <v>Разделка кромки под сваркуАлюминий12</v>
      </c>
      <c r="F22" s="33" t="s">
        <v>8</v>
      </c>
      <c r="G22" s="35">
        <f t="shared" si="0"/>
        <v>1750</v>
      </c>
      <c r="H22" s="118">
        <f t="shared" ref="H22:H66" si="24">IFERROR(CEILING((G22/3600)*I22,0.5),"")</f>
        <v>29.5</v>
      </c>
      <c r="I22" s="119">
        <v>60</v>
      </c>
      <c r="K22" s="105">
        <v>20</v>
      </c>
      <c r="L22" s="123"/>
      <c r="M22" s="126"/>
      <c r="N22" s="106"/>
      <c r="O22" s="106"/>
      <c r="P22" s="106"/>
      <c r="Q22" s="107">
        <f t="shared" si="14"/>
        <v>0</v>
      </c>
      <c r="R22" s="108"/>
      <c r="S22" s="108"/>
      <c r="T22" s="109"/>
      <c r="U22" s="110" t="str">
        <f t="shared" si="15"/>
        <v/>
      </c>
      <c r="V22" s="111" t="str">
        <f>IF(R22="","",IFERROR(VLOOKUP(U22,Таблица22[[Сцепка]:[Ставка]],2,0),"NO"))</f>
        <v/>
      </c>
      <c r="W22" s="112"/>
      <c r="X22" s="113" t="str">
        <f>VLOOKUP(U22,Таблица22[[Сцепка]:[Прайсовая стоимость]],4,0)</f>
        <v/>
      </c>
      <c r="Y22" s="114" t="str">
        <f>IF(M22="","",VLOOKUP(M22,Таблица54[],2,1))</f>
        <v/>
      </c>
      <c r="Z22" s="114" t="str">
        <f t="shared" si="16"/>
        <v/>
      </c>
      <c r="AA22" s="114" t="str">
        <f t="shared" si="17"/>
        <v/>
      </c>
      <c r="AB22" s="115" t="str">
        <f t="shared" si="18"/>
        <v/>
      </c>
      <c r="AC22" s="115" t="str">
        <f t="shared" si="19"/>
        <v/>
      </c>
      <c r="AD22" s="116">
        <f>VLOOKUP(U22,Таблица22[[Сцепка]:[Время, сек]],5,0)</f>
        <v>0</v>
      </c>
      <c r="AE22" s="114">
        <f>VLOOKUP(M22,Таблица54[],3,1)</f>
        <v>7</v>
      </c>
      <c r="AF22" s="114">
        <f t="shared" si="20"/>
        <v>0</v>
      </c>
      <c r="AG22" s="114">
        <f t="shared" si="21"/>
        <v>8</v>
      </c>
      <c r="AH22" s="116">
        <f t="shared" si="22"/>
        <v>0</v>
      </c>
      <c r="AI22" s="117" t="str">
        <f t="shared" si="23"/>
        <v/>
      </c>
    </row>
    <row r="23" spans="1:35" ht="20.100000000000001" customHeight="1" x14ac:dyDescent="0.25">
      <c r="A23" s="26">
        <v>21</v>
      </c>
      <c r="B23" s="13" t="s">
        <v>21</v>
      </c>
      <c r="C23" s="13" t="s">
        <v>19</v>
      </c>
      <c r="D23" s="34">
        <v>6</v>
      </c>
      <c r="E23" s="34" t="str">
        <f>CONCATENATE(Таблица22[[#This Row],[Операция]],Таблица22[[#This Row],[Материал]],Таблица22[[#This Row],[Толщина до…]])</f>
        <v>Разделка кромки под сваркуНержавейка6</v>
      </c>
      <c r="F23" s="33" t="s">
        <v>8</v>
      </c>
      <c r="G23" s="35">
        <f t="shared" si="0"/>
        <v>1750</v>
      </c>
      <c r="H23" s="118">
        <f t="shared" si="24"/>
        <v>19.5</v>
      </c>
      <c r="I23" s="119">
        <v>40</v>
      </c>
      <c r="T23" s="54"/>
      <c r="U23" s="54"/>
      <c r="AB23" s="98">
        <f>SUM(AB3:AB22)</f>
        <v>13.774999999999999</v>
      </c>
      <c r="AC23" s="98">
        <f>SUM(AC3:AC22)</f>
        <v>2066.25</v>
      </c>
      <c r="AD23" s="91"/>
      <c r="AE23" s="91"/>
      <c r="AF23" s="91"/>
      <c r="AG23" s="91"/>
      <c r="AH23" s="91"/>
      <c r="AI23" s="99">
        <f>SUM(AI3:AI22)</f>
        <v>1.4291666666666667</v>
      </c>
    </row>
    <row r="24" spans="1:35" ht="20.100000000000001" customHeight="1" x14ac:dyDescent="0.25">
      <c r="A24" s="26">
        <v>22</v>
      </c>
      <c r="B24" s="13" t="s">
        <v>21</v>
      </c>
      <c r="C24" s="13" t="s">
        <v>19</v>
      </c>
      <c r="D24" s="34">
        <v>8</v>
      </c>
      <c r="E24" s="34" t="str">
        <f>CONCATENATE(Таблица22[[#This Row],[Операция]],Таблица22[[#This Row],[Материал]],Таблица22[[#This Row],[Толщина до…]])</f>
        <v>Разделка кромки под сваркуНержавейка8</v>
      </c>
      <c r="F24" s="33" t="s">
        <v>8</v>
      </c>
      <c r="G24" s="35">
        <f t="shared" si="0"/>
        <v>1750</v>
      </c>
      <c r="H24" s="118">
        <f>IFERROR(CEILING((G24/3600)*I24,0.5),"")</f>
        <v>29.5</v>
      </c>
      <c r="I24" s="119">
        <v>60</v>
      </c>
      <c r="T24" s="54"/>
      <c r="U24" s="54"/>
    </row>
    <row r="25" spans="1:35" ht="20.100000000000001" customHeight="1" x14ac:dyDescent="0.25">
      <c r="A25" s="26">
        <v>23</v>
      </c>
      <c r="B25" s="13" t="s">
        <v>21</v>
      </c>
      <c r="C25" s="13" t="s">
        <v>19</v>
      </c>
      <c r="D25" s="34">
        <v>12</v>
      </c>
      <c r="E25" s="34" t="str">
        <f>CONCATENATE(Таблица22[[#This Row],[Операция]],Таблица22[[#This Row],[Материал]],Таблица22[[#This Row],[Толщина до…]])</f>
        <v>Разделка кромки под сваркуНержавейка12</v>
      </c>
      <c r="F25" s="33" t="s">
        <v>8</v>
      </c>
      <c r="G25" s="35">
        <f t="shared" si="0"/>
        <v>1750</v>
      </c>
      <c r="H25" s="118">
        <f t="shared" si="24"/>
        <v>34.5</v>
      </c>
      <c r="I25" s="119">
        <v>70</v>
      </c>
      <c r="R25" s="61" t="s">
        <v>121</v>
      </c>
      <c r="S25" s="61" t="s">
        <v>94</v>
      </c>
      <c r="T25" s="61" t="s">
        <v>72</v>
      </c>
      <c r="U25" s="54"/>
      <c r="AI25" s="69">
        <f>AC23/AI23</f>
        <v>1445.7725947521865</v>
      </c>
    </row>
    <row r="26" spans="1:35" ht="20.100000000000001" customHeight="1" x14ac:dyDescent="0.25">
      <c r="A26" s="26">
        <v>24</v>
      </c>
      <c r="B26" s="13" t="s">
        <v>23</v>
      </c>
      <c r="C26" s="13" t="s">
        <v>16</v>
      </c>
      <c r="D26" s="34">
        <v>3</v>
      </c>
      <c r="E26" s="34" t="str">
        <f>CONCATENATE(Таблица22[[#This Row],[Операция]],Таблица22[[#This Row],[Материал]],Таблица22[[#This Row],[Толщина до…]])</f>
        <v>Сверление до Ф5ммСталь черная3</v>
      </c>
      <c r="F26" s="33" t="s">
        <v>9</v>
      </c>
      <c r="G26" s="35">
        <f t="shared" si="0"/>
        <v>1450</v>
      </c>
      <c r="H26" s="14">
        <f t="shared" si="24"/>
        <v>12.5</v>
      </c>
      <c r="I26" s="15">
        <v>30</v>
      </c>
      <c r="R26" s="73" t="s">
        <v>35</v>
      </c>
      <c r="S26" s="74" t="s">
        <v>18</v>
      </c>
      <c r="T26" s="75">
        <v>3</v>
      </c>
      <c r="U26" s="54"/>
    </row>
    <row r="27" spans="1:35" s="25" customFormat="1" ht="20.100000000000001" customHeight="1" x14ac:dyDescent="0.25">
      <c r="A27" s="26">
        <v>25</v>
      </c>
      <c r="B27" s="13" t="s">
        <v>24</v>
      </c>
      <c r="C27" s="13" t="s">
        <v>16</v>
      </c>
      <c r="D27" s="34">
        <v>3</v>
      </c>
      <c r="E27" s="34" t="str">
        <f>CONCATENATE(Таблица22[[#This Row],[Операция]],Таблица22[[#This Row],[Материал]],Таблица22[[#This Row],[Толщина до…]])</f>
        <v>Сверление до Ф12ммСталь черная3</v>
      </c>
      <c r="F27" s="33" t="s">
        <v>9</v>
      </c>
      <c r="G27" s="35">
        <f t="shared" si="0"/>
        <v>1450</v>
      </c>
      <c r="H27" s="14">
        <f t="shared" si="24"/>
        <v>14.5</v>
      </c>
      <c r="I27" s="15">
        <v>35</v>
      </c>
      <c r="K27"/>
      <c r="L27"/>
      <c r="M27"/>
      <c r="N27"/>
      <c r="O27"/>
      <c r="P27"/>
      <c r="Q27"/>
      <c r="R27" s="73" t="s">
        <v>20</v>
      </c>
      <c r="S27" s="74" t="s">
        <v>19</v>
      </c>
      <c r="T27" s="75">
        <v>6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s="25" customFormat="1" ht="20.100000000000001" customHeight="1" x14ac:dyDescent="0.25">
      <c r="A28" s="26">
        <v>26</v>
      </c>
      <c r="B28" s="13" t="s">
        <v>32</v>
      </c>
      <c r="C28" s="13" t="s">
        <v>16</v>
      </c>
      <c r="D28" s="34">
        <v>3</v>
      </c>
      <c r="E28" s="34" t="str">
        <f>CONCATENATE(Таблица22[[#This Row],[Операция]],Таблица22[[#This Row],[Материал]],Таблица22[[#This Row],[Толщина до…]])</f>
        <v>Сверление до Ф20ммСталь черная3</v>
      </c>
      <c r="F28" s="33" t="s">
        <v>9</v>
      </c>
      <c r="G28" s="35">
        <f t="shared" si="0"/>
        <v>1450</v>
      </c>
      <c r="H28" s="14">
        <f t="shared" si="24"/>
        <v>18.5</v>
      </c>
      <c r="I28" s="15">
        <v>45</v>
      </c>
      <c r="K28"/>
      <c r="L28"/>
      <c r="M28"/>
      <c r="N28"/>
      <c r="O28"/>
      <c r="P28"/>
      <c r="Q28"/>
      <c r="R28" s="73" t="s">
        <v>95</v>
      </c>
      <c r="S28" s="74" t="s">
        <v>16</v>
      </c>
      <c r="T28" s="75">
        <v>8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s="25" customFormat="1" ht="20.100000000000001" customHeight="1" x14ac:dyDescent="0.25">
      <c r="A29" s="26">
        <v>27</v>
      </c>
      <c r="B29" s="13" t="s">
        <v>23</v>
      </c>
      <c r="C29" s="13" t="s">
        <v>16</v>
      </c>
      <c r="D29" s="34">
        <v>6</v>
      </c>
      <c r="E29" s="34" t="str">
        <f>CONCATENATE(Таблица22[[#This Row],[Операция]],Таблица22[[#This Row],[Материал]],Таблица22[[#This Row],[Толщина до…]])</f>
        <v>Сверление до Ф5ммСталь черная6</v>
      </c>
      <c r="F29" s="33" t="s">
        <v>9</v>
      </c>
      <c r="G29" s="35">
        <f t="shared" si="0"/>
        <v>1450</v>
      </c>
      <c r="H29" s="14">
        <f>IFERROR(CEILING((G29/3600)*I29,0.5),"")</f>
        <v>24.5</v>
      </c>
      <c r="I29" s="15">
        <v>60</v>
      </c>
      <c r="K29"/>
      <c r="L29"/>
      <c r="M29"/>
      <c r="N29"/>
      <c r="O29"/>
      <c r="P29"/>
      <c r="Q29"/>
      <c r="R29" s="73" t="s">
        <v>96</v>
      </c>
      <c r="S29" s="72" t="s">
        <v>102</v>
      </c>
      <c r="T29" s="75">
        <v>12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s="25" customFormat="1" ht="20.100000000000001" customHeight="1" x14ac:dyDescent="0.25">
      <c r="A30" s="26">
        <v>28</v>
      </c>
      <c r="B30" s="13" t="s">
        <v>24</v>
      </c>
      <c r="C30" s="13" t="s">
        <v>16</v>
      </c>
      <c r="D30" s="34">
        <v>6</v>
      </c>
      <c r="E30" s="34" t="str">
        <f>CONCATENATE(Таблица22[[#This Row],[Операция]],Таблица22[[#This Row],[Материал]],Таблица22[[#This Row],[Толщина до…]])</f>
        <v>Сверление до Ф12ммСталь черная6</v>
      </c>
      <c r="F30" s="33" t="s">
        <v>9</v>
      </c>
      <c r="G30" s="35">
        <f t="shared" si="0"/>
        <v>1450</v>
      </c>
      <c r="H30" s="14">
        <f>IFERROR(CEILING((G30/3600)*I30,0.5),"")</f>
        <v>36.5</v>
      </c>
      <c r="I30" s="15">
        <v>90</v>
      </c>
      <c r="K30"/>
      <c r="L30"/>
      <c r="M30"/>
      <c r="N30"/>
      <c r="O30"/>
      <c r="P30"/>
      <c r="Q30"/>
      <c r="R30" s="73" t="s">
        <v>97</v>
      </c>
      <c r="S30"/>
      <c r="T30" s="75">
        <v>16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s="25" customFormat="1" ht="20.100000000000001" customHeight="1" x14ac:dyDescent="0.25">
      <c r="A31" s="26">
        <v>29</v>
      </c>
      <c r="B31" s="13" t="s">
        <v>32</v>
      </c>
      <c r="C31" s="13" t="s">
        <v>16</v>
      </c>
      <c r="D31" s="34">
        <v>6</v>
      </c>
      <c r="E31" s="34" t="str">
        <f>CONCATENATE(Таблица22[[#This Row],[Операция]],Таблица22[[#This Row],[Материал]],Таблица22[[#This Row],[Толщина до…]])</f>
        <v>Сверление до Ф20ммСталь черная6</v>
      </c>
      <c r="F31" s="33" t="s">
        <v>9</v>
      </c>
      <c r="G31" s="35">
        <f t="shared" si="0"/>
        <v>1450</v>
      </c>
      <c r="H31" s="14">
        <f>IFERROR(CEILING((G31/3600)*I31,0.5),"")</f>
        <v>48.5</v>
      </c>
      <c r="I31" s="15">
        <v>120</v>
      </c>
      <c r="K31"/>
      <c r="L31"/>
      <c r="M31"/>
      <c r="N31"/>
      <c r="O31"/>
      <c r="P31"/>
      <c r="Q31"/>
      <c r="R31" s="73" t="s">
        <v>29</v>
      </c>
      <c r="S31"/>
      <c r="T31" s="71" t="s">
        <v>102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s="25" customFormat="1" ht="20.100000000000001" customHeight="1" x14ac:dyDescent="0.25">
      <c r="A32" s="26">
        <v>30</v>
      </c>
      <c r="B32" s="13" t="s">
        <v>23</v>
      </c>
      <c r="C32" s="13" t="s">
        <v>16</v>
      </c>
      <c r="D32" s="34">
        <v>8</v>
      </c>
      <c r="E32" s="34" t="str">
        <f>CONCATENATE(Таблица22[[#This Row],[Операция]],Таблица22[[#This Row],[Материал]],Таблица22[[#This Row],[Толщина до…]])</f>
        <v>Сверление до Ф5ммСталь черная8</v>
      </c>
      <c r="F32" s="33" t="s">
        <v>9</v>
      </c>
      <c r="G32" s="35">
        <f t="shared" si="0"/>
        <v>1450</v>
      </c>
      <c r="H32" s="14">
        <f t="shared" si="24"/>
        <v>26.5</v>
      </c>
      <c r="I32" s="15">
        <v>65</v>
      </c>
      <c r="K32"/>
      <c r="L32"/>
      <c r="M32"/>
      <c r="N32"/>
      <c r="O32"/>
      <c r="P32"/>
      <c r="Q32"/>
      <c r="R32" s="73" t="s">
        <v>112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s="25" customFormat="1" ht="20.100000000000001" customHeight="1" x14ac:dyDescent="0.25">
      <c r="A33" s="26">
        <v>31</v>
      </c>
      <c r="B33" s="13" t="s">
        <v>24</v>
      </c>
      <c r="C33" s="13" t="s">
        <v>16</v>
      </c>
      <c r="D33" s="34">
        <v>8</v>
      </c>
      <c r="E33" s="34" t="str">
        <f>CONCATENATE(Таблица22[[#This Row],[Операция]],Таблица22[[#This Row],[Материал]],Таблица22[[#This Row],[Толщина до…]])</f>
        <v>Сверление до Ф12ммСталь черная8</v>
      </c>
      <c r="F33" s="33" t="s">
        <v>9</v>
      </c>
      <c r="G33" s="35">
        <f t="shared" si="0"/>
        <v>1450</v>
      </c>
      <c r="H33" s="14">
        <f t="shared" si="24"/>
        <v>38.5</v>
      </c>
      <c r="I33" s="15">
        <v>95</v>
      </c>
      <c r="K33"/>
      <c r="L33"/>
      <c r="M33"/>
      <c r="N33"/>
      <c r="O33"/>
      <c r="P33"/>
      <c r="Q33"/>
      <c r="R33" s="73" t="s">
        <v>30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s="25" customFormat="1" ht="20.100000000000001" customHeight="1" x14ac:dyDescent="0.25">
      <c r="A34" s="26">
        <v>32</v>
      </c>
      <c r="B34" s="13" t="s">
        <v>25</v>
      </c>
      <c r="C34" s="13" t="s">
        <v>16</v>
      </c>
      <c r="D34" s="34">
        <v>8</v>
      </c>
      <c r="E34" s="34" t="str">
        <f>CONCATENATE(Таблица22[[#This Row],[Операция]],Таблица22[[#This Row],[Материал]],Таблица22[[#This Row],[Толщина до…]])</f>
        <v>Сверление до Ф18ммСталь черная8</v>
      </c>
      <c r="F34" s="33" t="s">
        <v>9</v>
      </c>
      <c r="G34" s="35">
        <f t="shared" si="0"/>
        <v>1450</v>
      </c>
      <c r="H34" s="14">
        <f t="shared" si="24"/>
        <v>50.5</v>
      </c>
      <c r="I34" s="15">
        <v>125</v>
      </c>
      <c r="K34"/>
      <c r="L34"/>
      <c r="M34"/>
      <c r="N34"/>
      <c r="O34"/>
      <c r="P34"/>
      <c r="Q34"/>
      <c r="R34" s="73" t="s">
        <v>21</v>
      </c>
      <c r="S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s="25" customFormat="1" ht="20.100000000000001" customHeight="1" x14ac:dyDescent="0.25">
      <c r="A35" s="26">
        <v>33</v>
      </c>
      <c r="B35" s="13" t="s">
        <v>23</v>
      </c>
      <c r="C35" s="13" t="s">
        <v>16</v>
      </c>
      <c r="D35" s="34">
        <v>12</v>
      </c>
      <c r="E35" s="34" t="str">
        <f>CONCATENATE(Таблица22[[#This Row],[Операция]],Таблица22[[#This Row],[Материал]],Таблица22[[#This Row],[Толщина до…]])</f>
        <v>Сверление до Ф5ммСталь черная12</v>
      </c>
      <c r="F35" s="33" t="s">
        <v>9</v>
      </c>
      <c r="G35" s="35">
        <f t="shared" ref="G35:G57" si="25">IFERROR(VLOOKUP(F35,$AK$3:$AL$8,2,0),"")</f>
        <v>1450</v>
      </c>
      <c r="H35" s="14">
        <f t="shared" ref="H35:H40" si="26">IFERROR(CEILING((G35/3600)*I35,0.5),"")</f>
        <v>32.5</v>
      </c>
      <c r="I35" s="15">
        <v>80</v>
      </c>
      <c r="R35" s="73" t="s">
        <v>68</v>
      </c>
      <c r="S35"/>
    </row>
    <row r="36" spans="1:35" s="25" customFormat="1" ht="20.100000000000001" customHeight="1" x14ac:dyDescent="0.25">
      <c r="A36" s="26">
        <v>34</v>
      </c>
      <c r="B36" s="13" t="s">
        <v>24</v>
      </c>
      <c r="C36" s="13" t="s">
        <v>16</v>
      </c>
      <c r="D36" s="34">
        <v>12</v>
      </c>
      <c r="E36" s="34" t="str">
        <f>CONCATENATE(Таблица22[[#This Row],[Операция]],Таблица22[[#This Row],[Материал]],Таблица22[[#This Row],[Толщина до…]])</f>
        <v>Сверление до Ф12ммСталь черная12</v>
      </c>
      <c r="F36" s="33" t="s">
        <v>9</v>
      </c>
      <c r="G36" s="35">
        <f t="shared" si="25"/>
        <v>1450</v>
      </c>
      <c r="H36" s="14">
        <f t="shared" si="26"/>
        <v>44.5</v>
      </c>
      <c r="I36" s="15">
        <v>110</v>
      </c>
      <c r="R36" s="73" t="s">
        <v>63</v>
      </c>
      <c r="S36"/>
      <c r="T36"/>
    </row>
    <row r="37" spans="1:35" s="25" customFormat="1" ht="20.100000000000001" customHeight="1" x14ac:dyDescent="0.25">
      <c r="A37" s="26">
        <v>35</v>
      </c>
      <c r="B37" s="13" t="s">
        <v>25</v>
      </c>
      <c r="C37" s="13" t="s">
        <v>16</v>
      </c>
      <c r="D37" s="34">
        <v>12</v>
      </c>
      <c r="E37" s="34" t="str">
        <f>CONCATENATE(Таблица22[[#This Row],[Операция]],Таблица22[[#This Row],[Материал]],Таблица22[[#This Row],[Толщина до…]])</f>
        <v>Сверление до Ф18ммСталь черная12</v>
      </c>
      <c r="F37" s="33" t="s">
        <v>9</v>
      </c>
      <c r="G37" s="35">
        <f t="shared" si="25"/>
        <v>1450</v>
      </c>
      <c r="H37" s="14">
        <f t="shared" si="26"/>
        <v>56.5</v>
      </c>
      <c r="I37" s="15">
        <v>140</v>
      </c>
      <c r="R37" s="73" t="s">
        <v>69</v>
      </c>
      <c r="S37"/>
      <c r="T37"/>
    </row>
    <row r="38" spans="1:35" s="25" customFormat="1" ht="20.100000000000001" customHeight="1" x14ac:dyDescent="0.25">
      <c r="A38" s="26">
        <v>36</v>
      </c>
      <c r="B38" s="13" t="s">
        <v>23</v>
      </c>
      <c r="C38" s="13" t="s">
        <v>16</v>
      </c>
      <c r="D38" s="34">
        <v>16</v>
      </c>
      <c r="E38" s="34" t="str">
        <f>CONCATENATE(Таблица22[[#This Row],[Операция]],Таблица22[[#This Row],[Материал]],Таблица22[[#This Row],[Толщина до…]])</f>
        <v>Сверление до Ф5ммСталь черная16</v>
      </c>
      <c r="F38" s="33" t="s">
        <v>9</v>
      </c>
      <c r="G38" s="35">
        <f t="shared" si="25"/>
        <v>1450</v>
      </c>
      <c r="H38" s="14">
        <f t="shared" si="26"/>
        <v>48.5</v>
      </c>
      <c r="I38" s="15">
        <v>120</v>
      </c>
      <c r="R38" s="73" t="s">
        <v>64</v>
      </c>
      <c r="S38"/>
      <c r="T38"/>
    </row>
    <row r="39" spans="1:35" s="25" customFormat="1" ht="20.100000000000001" customHeight="1" x14ac:dyDescent="0.25">
      <c r="A39" s="26">
        <v>37</v>
      </c>
      <c r="B39" s="13" t="s">
        <v>24</v>
      </c>
      <c r="C39" s="13" t="s">
        <v>16</v>
      </c>
      <c r="D39" s="34">
        <v>16</v>
      </c>
      <c r="E39" s="34" t="str">
        <f>CONCATENATE(Таблица22[[#This Row],[Операция]],Таблица22[[#This Row],[Материал]],Таблица22[[#This Row],[Толщина до…]])</f>
        <v>Сверление до Ф12ммСталь черная16</v>
      </c>
      <c r="F39" s="33" t="s">
        <v>9</v>
      </c>
      <c r="G39" s="35">
        <f t="shared" si="25"/>
        <v>1450</v>
      </c>
      <c r="H39" s="14">
        <f t="shared" si="26"/>
        <v>60.5</v>
      </c>
      <c r="I39" s="15">
        <v>150</v>
      </c>
      <c r="R39" s="73" t="s">
        <v>70</v>
      </c>
      <c r="S39"/>
      <c r="T39"/>
    </row>
    <row r="40" spans="1:35" s="25" customFormat="1" ht="20.100000000000001" customHeight="1" x14ac:dyDescent="0.25">
      <c r="A40" s="26">
        <v>38</v>
      </c>
      <c r="B40" s="13" t="s">
        <v>25</v>
      </c>
      <c r="C40" s="13" t="s">
        <v>16</v>
      </c>
      <c r="D40" s="34">
        <v>16</v>
      </c>
      <c r="E40" s="34" t="str">
        <f>CONCATENATE(Таблица22[[#This Row],[Операция]],Таблица22[[#This Row],[Материал]],Таблица22[[#This Row],[Толщина до…]])</f>
        <v>Сверление до Ф18ммСталь черная16</v>
      </c>
      <c r="F40" s="33" t="s">
        <v>9</v>
      </c>
      <c r="G40" s="35">
        <f t="shared" si="25"/>
        <v>1450</v>
      </c>
      <c r="H40" s="14">
        <f t="shared" si="26"/>
        <v>72.5</v>
      </c>
      <c r="I40" s="15">
        <v>180</v>
      </c>
      <c r="R40" s="73" t="s">
        <v>65</v>
      </c>
      <c r="S40"/>
      <c r="T40"/>
    </row>
    <row r="41" spans="1:35" s="25" customFormat="1" ht="20.100000000000001" customHeight="1" x14ac:dyDescent="0.25">
      <c r="A41" s="26">
        <v>39</v>
      </c>
      <c r="B41" s="13" t="s">
        <v>23</v>
      </c>
      <c r="C41" s="13" t="s">
        <v>18</v>
      </c>
      <c r="D41" s="34">
        <v>3</v>
      </c>
      <c r="E41" s="34" t="str">
        <f>CONCATENATE(Таблица22[[#This Row],[Операция]],Таблица22[[#This Row],[Материал]],Таблица22[[#This Row],[Толщина до…]])</f>
        <v>Сверление до Ф5ммАлюминий3</v>
      </c>
      <c r="F41" s="33" t="s">
        <v>8</v>
      </c>
      <c r="G41" s="35">
        <f t="shared" si="25"/>
        <v>1750</v>
      </c>
      <c r="H41" s="14">
        <f t="shared" si="24"/>
        <v>19.5</v>
      </c>
      <c r="I41" s="15">
        <v>40</v>
      </c>
      <c r="R41" s="73" t="s">
        <v>58</v>
      </c>
      <c r="S41"/>
      <c r="T41"/>
    </row>
    <row r="42" spans="1:35" s="25" customFormat="1" ht="20.100000000000001" customHeight="1" x14ac:dyDescent="0.25">
      <c r="A42" s="26">
        <v>40</v>
      </c>
      <c r="B42" s="13" t="s">
        <v>24</v>
      </c>
      <c r="C42" s="13" t="s">
        <v>18</v>
      </c>
      <c r="D42" s="34">
        <v>3</v>
      </c>
      <c r="E42" s="34" t="str">
        <f>CONCATENATE(Таблица22[[#This Row],[Операция]],Таблица22[[#This Row],[Материал]],Таблица22[[#This Row],[Толщина до…]])</f>
        <v>Сверление до Ф12ммАлюминий3</v>
      </c>
      <c r="F42" s="33" t="s">
        <v>8</v>
      </c>
      <c r="G42" s="35">
        <f t="shared" si="25"/>
        <v>1750</v>
      </c>
      <c r="H42" s="14">
        <f t="shared" si="24"/>
        <v>22</v>
      </c>
      <c r="I42" s="15">
        <v>45</v>
      </c>
      <c r="R42" s="73" t="s">
        <v>59</v>
      </c>
      <c r="S42"/>
      <c r="T42"/>
    </row>
    <row r="43" spans="1:35" s="25" customFormat="1" ht="20.100000000000001" customHeight="1" x14ac:dyDescent="0.25">
      <c r="A43" s="26">
        <v>41</v>
      </c>
      <c r="B43" s="13" t="s">
        <v>25</v>
      </c>
      <c r="C43" s="13" t="s">
        <v>18</v>
      </c>
      <c r="D43" s="34">
        <v>3</v>
      </c>
      <c r="E43" s="34" t="str">
        <f>CONCATENATE(Таблица22[[#This Row],[Операция]],Таблица22[[#This Row],[Материал]],Таблица22[[#This Row],[Толщина до…]])</f>
        <v>Сверление до Ф18ммАлюминий3</v>
      </c>
      <c r="F43" s="33" t="s">
        <v>8</v>
      </c>
      <c r="G43" s="35">
        <f t="shared" si="25"/>
        <v>1750</v>
      </c>
      <c r="H43" s="14">
        <f t="shared" si="24"/>
        <v>24.5</v>
      </c>
      <c r="I43" s="15">
        <v>50</v>
      </c>
      <c r="R43" s="73" t="s">
        <v>66</v>
      </c>
    </row>
    <row r="44" spans="1:35" s="25" customFormat="1" ht="20.100000000000001" customHeight="1" x14ac:dyDescent="0.25">
      <c r="A44" s="26">
        <v>42</v>
      </c>
      <c r="B44" s="13" t="s">
        <v>23</v>
      </c>
      <c r="C44" s="13" t="s">
        <v>18</v>
      </c>
      <c r="D44" s="34">
        <v>6</v>
      </c>
      <c r="E44" s="34" t="str">
        <f>CONCATENATE(Таблица22[[#This Row],[Операция]],Таблица22[[#This Row],[Материал]],Таблица22[[#This Row],[Толщина до…]])</f>
        <v>Сверление до Ф5ммАлюминий6</v>
      </c>
      <c r="F44" s="33" t="s">
        <v>8</v>
      </c>
      <c r="G44" s="35">
        <f t="shared" si="25"/>
        <v>1750</v>
      </c>
      <c r="H44" s="14">
        <f t="shared" ref="H44:H55" si="27">IFERROR(CEILING((G44/3600)*I44,0.5),"")</f>
        <v>22</v>
      </c>
      <c r="I44" s="15">
        <v>45</v>
      </c>
      <c r="R44" s="73" t="s">
        <v>61</v>
      </c>
    </row>
    <row r="45" spans="1:35" s="25" customFormat="1" ht="20.100000000000001" customHeight="1" x14ac:dyDescent="0.25">
      <c r="A45" s="26">
        <v>43</v>
      </c>
      <c r="B45" s="13" t="s">
        <v>24</v>
      </c>
      <c r="C45" s="13" t="s">
        <v>18</v>
      </c>
      <c r="D45" s="34">
        <v>6</v>
      </c>
      <c r="E45" s="34" t="str">
        <f>CONCATENATE(Таблица22[[#This Row],[Операция]],Таблица22[[#This Row],[Материал]],Таблица22[[#This Row],[Толщина до…]])</f>
        <v>Сверление до Ф12ммАлюминий6</v>
      </c>
      <c r="F45" s="33" t="s">
        <v>8</v>
      </c>
      <c r="G45" s="35">
        <f t="shared" si="25"/>
        <v>1750</v>
      </c>
      <c r="H45" s="14">
        <f t="shared" si="27"/>
        <v>24.5</v>
      </c>
      <c r="I45" s="15">
        <v>50</v>
      </c>
      <c r="R45" s="73" t="s">
        <v>60</v>
      </c>
    </row>
    <row r="46" spans="1:35" s="25" customFormat="1" ht="20.100000000000001" customHeight="1" x14ac:dyDescent="0.25">
      <c r="A46" s="26">
        <v>44</v>
      </c>
      <c r="B46" s="13" t="s">
        <v>25</v>
      </c>
      <c r="C46" s="13" t="s">
        <v>18</v>
      </c>
      <c r="D46" s="34">
        <v>6</v>
      </c>
      <c r="E46" s="34" t="str">
        <f>CONCATENATE(Таблица22[[#This Row],[Операция]],Таблица22[[#This Row],[Материал]],Таблица22[[#This Row],[Толщина до…]])</f>
        <v>Сверление до Ф18ммАлюминий6</v>
      </c>
      <c r="F46" s="33" t="s">
        <v>8</v>
      </c>
      <c r="G46" s="35">
        <f t="shared" si="25"/>
        <v>1750</v>
      </c>
      <c r="H46" s="14">
        <f t="shared" si="27"/>
        <v>34.5</v>
      </c>
      <c r="I46" s="15">
        <v>70</v>
      </c>
      <c r="R46" s="73" t="s">
        <v>67</v>
      </c>
    </row>
    <row r="47" spans="1:35" s="25" customFormat="1" ht="20.100000000000001" customHeight="1" x14ac:dyDescent="0.25">
      <c r="A47" s="26">
        <v>45</v>
      </c>
      <c r="B47" s="13" t="s">
        <v>23</v>
      </c>
      <c r="C47" s="13" t="s">
        <v>18</v>
      </c>
      <c r="D47" s="34">
        <v>8</v>
      </c>
      <c r="E47" s="34" t="str">
        <f>CONCATENATE(Таблица22[[#This Row],[Операция]],Таблица22[[#This Row],[Материал]],Таблица22[[#This Row],[Толщина до…]])</f>
        <v>Сверление до Ф5ммАлюминий8</v>
      </c>
      <c r="F47" s="33" t="s">
        <v>8</v>
      </c>
      <c r="G47" s="35">
        <f t="shared" si="25"/>
        <v>1750</v>
      </c>
      <c r="H47" s="14">
        <f t="shared" si="27"/>
        <v>24.5</v>
      </c>
      <c r="I47" s="15">
        <v>50</v>
      </c>
      <c r="R47" s="73" t="s">
        <v>62</v>
      </c>
    </row>
    <row r="48" spans="1:35" s="25" customFormat="1" ht="20.100000000000001" customHeight="1" x14ac:dyDescent="0.25">
      <c r="A48" s="26">
        <v>46</v>
      </c>
      <c r="B48" s="13" t="s">
        <v>24</v>
      </c>
      <c r="C48" s="13" t="s">
        <v>18</v>
      </c>
      <c r="D48" s="34">
        <v>8</v>
      </c>
      <c r="E48" s="34" t="str">
        <f>CONCATENATE(Таблица22[[#This Row],[Операция]],Таблица22[[#This Row],[Материал]],Таблица22[[#This Row],[Толщина до…]])</f>
        <v>Сверление до Ф12ммАлюминий8</v>
      </c>
      <c r="F48" s="33" t="s">
        <v>8</v>
      </c>
      <c r="G48" s="35">
        <f t="shared" si="25"/>
        <v>1750</v>
      </c>
      <c r="H48" s="14">
        <f t="shared" si="27"/>
        <v>29.5</v>
      </c>
      <c r="I48" s="15">
        <v>60</v>
      </c>
      <c r="R48" s="73" t="s">
        <v>34</v>
      </c>
    </row>
    <row r="49" spans="1:18" s="25" customFormat="1" ht="20.100000000000001" customHeight="1" x14ac:dyDescent="0.25">
      <c r="A49" s="26">
        <v>47</v>
      </c>
      <c r="B49" s="13" t="s">
        <v>25</v>
      </c>
      <c r="C49" s="13" t="s">
        <v>18</v>
      </c>
      <c r="D49" s="34">
        <v>8</v>
      </c>
      <c r="E49" s="34" t="str">
        <f>CONCATENATE(Таблица22[[#This Row],[Операция]],Таблица22[[#This Row],[Материал]],Таблица22[[#This Row],[Толщина до…]])</f>
        <v>Сверление до Ф18ммАлюминий8</v>
      </c>
      <c r="F49" s="33" t="s">
        <v>8</v>
      </c>
      <c r="G49" s="35">
        <f t="shared" si="25"/>
        <v>1750</v>
      </c>
      <c r="H49" s="14">
        <f t="shared" si="27"/>
        <v>39</v>
      </c>
      <c r="I49" s="15">
        <v>80</v>
      </c>
      <c r="R49" s="73" t="s">
        <v>118</v>
      </c>
    </row>
    <row r="50" spans="1:18" s="25" customFormat="1" ht="20.100000000000001" customHeight="1" x14ac:dyDescent="0.25">
      <c r="A50" s="26">
        <v>48</v>
      </c>
      <c r="B50" s="13" t="s">
        <v>23</v>
      </c>
      <c r="C50" s="13" t="s">
        <v>18</v>
      </c>
      <c r="D50" s="34">
        <v>12</v>
      </c>
      <c r="E50" s="34" t="str">
        <f>CONCATENATE(Таблица22[[#This Row],[Операция]],Таблица22[[#This Row],[Материал]],Таблица22[[#This Row],[Толщина до…]])</f>
        <v>Сверление до Ф5ммАлюминий12</v>
      </c>
      <c r="F50" s="33" t="s">
        <v>8</v>
      </c>
      <c r="G50" s="35">
        <f t="shared" si="25"/>
        <v>1750</v>
      </c>
      <c r="H50" s="14">
        <f t="shared" si="27"/>
        <v>32</v>
      </c>
      <c r="I50" s="15">
        <v>65</v>
      </c>
      <c r="R50" s="73" t="s">
        <v>31</v>
      </c>
    </row>
    <row r="51" spans="1:18" s="25" customFormat="1" ht="20.100000000000001" customHeight="1" x14ac:dyDescent="0.25">
      <c r="A51" s="26">
        <v>49</v>
      </c>
      <c r="B51" s="13" t="s">
        <v>24</v>
      </c>
      <c r="C51" s="13" t="s">
        <v>18</v>
      </c>
      <c r="D51" s="34">
        <v>12</v>
      </c>
      <c r="E51" s="34" t="str">
        <f>CONCATENATE(Таблица22[[#This Row],[Операция]],Таблица22[[#This Row],[Материал]],Таблица22[[#This Row],[Толщина до…]])</f>
        <v>Сверление до Ф12ммАлюминий12</v>
      </c>
      <c r="F51" s="33" t="s">
        <v>8</v>
      </c>
      <c r="G51" s="35">
        <f t="shared" si="25"/>
        <v>1750</v>
      </c>
      <c r="H51" s="14">
        <f t="shared" si="27"/>
        <v>36.5</v>
      </c>
      <c r="I51" s="15">
        <v>75</v>
      </c>
      <c r="R51" s="73" t="s">
        <v>98</v>
      </c>
    </row>
    <row r="52" spans="1:18" s="25" customFormat="1" ht="20.100000000000001" customHeight="1" x14ac:dyDescent="0.25">
      <c r="A52" s="26">
        <v>50</v>
      </c>
      <c r="B52" s="13" t="s">
        <v>25</v>
      </c>
      <c r="C52" s="13" t="s">
        <v>18</v>
      </c>
      <c r="D52" s="34">
        <v>12</v>
      </c>
      <c r="E52" s="34" t="str">
        <f>CONCATENATE(Таблица22[[#This Row],[Операция]],Таблица22[[#This Row],[Материал]],Таблица22[[#This Row],[Толщина до…]])</f>
        <v>Сверление до Ф18ммАлюминий12</v>
      </c>
      <c r="F52" s="33" t="s">
        <v>8</v>
      </c>
      <c r="G52" s="35">
        <f t="shared" si="25"/>
        <v>1750</v>
      </c>
      <c r="H52" s="14">
        <f t="shared" si="27"/>
        <v>46.5</v>
      </c>
      <c r="I52" s="15">
        <v>95</v>
      </c>
      <c r="R52" s="73" t="s">
        <v>99</v>
      </c>
    </row>
    <row r="53" spans="1:18" s="25" customFormat="1" ht="20.100000000000001" customHeight="1" x14ac:dyDescent="0.25">
      <c r="A53" s="26">
        <v>51</v>
      </c>
      <c r="B53" s="13" t="s">
        <v>23</v>
      </c>
      <c r="C53" s="13" t="s">
        <v>18</v>
      </c>
      <c r="D53" s="34">
        <v>16</v>
      </c>
      <c r="E53" s="34" t="str">
        <f>CONCATENATE(Таблица22[[#This Row],[Операция]],Таблица22[[#This Row],[Материал]],Таблица22[[#This Row],[Толщина до…]])</f>
        <v>Сверление до Ф5ммАлюминий16</v>
      </c>
      <c r="F53" s="33" t="s">
        <v>8</v>
      </c>
      <c r="G53" s="35">
        <f t="shared" si="25"/>
        <v>1750</v>
      </c>
      <c r="H53" s="14">
        <f t="shared" si="27"/>
        <v>36.5</v>
      </c>
      <c r="I53" s="15">
        <v>75</v>
      </c>
      <c r="R53" s="73" t="s">
        <v>100</v>
      </c>
    </row>
    <row r="54" spans="1:18" s="25" customFormat="1" ht="20.100000000000001" customHeight="1" x14ac:dyDescent="0.25">
      <c r="A54" s="26">
        <v>52</v>
      </c>
      <c r="B54" s="13" t="s">
        <v>24</v>
      </c>
      <c r="C54" s="13" t="s">
        <v>18</v>
      </c>
      <c r="D54" s="34">
        <v>16</v>
      </c>
      <c r="E54" s="34" t="str">
        <f>CONCATENATE(Таблица22[[#This Row],[Операция]],Таблица22[[#This Row],[Материал]],Таблица22[[#This Row],[Толщина до…]])</f>
        <v>Сверление до Ф12ммАлюминий16</v>
      </c>
      <c r="F54" s="33" t="s">
        <v>8</v>
      </c>
      <c r="G54" s="35">
        <f t="shared" si="25"/>
        <v>1750</v>
      </c>
      <c r="H54" s="14">
        <f t="shared" si="27"/>
        <v>44</v>
      </c>
      <c r="I54" s="15">
        <v>90</v>
      </c>
      <c r="R54" s="73" t="s">
        <v>101</v>
      </c>
    </row>
    <row r="55" spans="1:18" s="25" customFormat="1" ht="20.100000000000001" customHeight="1" x14ac:dyDescent="0.25">
      <c r="A55" s="26">
        <v>53</v>
      </c>
      <c r="B55" s="13" t="s">
        <v>25</v>
      </c>
      <c r="C55" s="13" t="s">
        <v>18</v>
      </c>
      <c r="D55" s="34">
        <v>16</v>
      </c>
      <c r="E55" s="34" t="str">
        <f>CONCATENATE(Таблица22[[#This Row],[Операция]],Таблица22[[#This Row],[Материал]],Таблица22[[#This Row],[Толщина до…]])</f>
        <v>Сверление до Ф18ммАлюминий16</v>
      </c>
      <c r="F55" s="33" t="s">
        <v>8</v>
      </c>
      <c r="G55" s="35">
        <f t="shared" si="25"/>
        <v>1750</v>
      </c>
      <c r="H55" s="14">
        <f t="shared" si="27"/>
        <v>51.5</v>
      </c>
      <c r="I55" s="15">
        <v>105</v>
      </c>
      <c r="R55" s="73" t="s">
        <v>36</v>
      </c>
    </row>
    <row r="56" spans="1:18" s="25" customFormat="1" ht="20.100000000000001" customHeight="1" x14ac:dyDescent="0.25">
      <c r="A56" s="26">
        <v>54</v>
      </c>
      <c r="B56" s="13" t="s">
        <v>23</v>
      </c>
      <c r="C56" s="13" t="s">
        <v>19</v>
      </c>
      <c r="D56" s="34">
        <v>3</v>
      </c>
      <c r="E56" s="34" t="str">
        <f>CONCATENATE(Таблица22[[#This Row],[Операция]],Таблица22[[#This Row],[Материал]],Таблица22[[#This Row],[Толщина до…]])</f>
        <v>Сверление до Ф5ммНержавейка3</v>
      </c>
      <c r="F56" s="33" t="s">
        <v>8</v>
      </c>
      <c r="G56" s="35">
        <f t="shared" si="25"/>
        <v>1750</v>
      </c>
      <c r="H56" s="14">
        <f t="shared" si="24"/>
        <v>19.5</v>
      </c>
      <c r="I56" s="15">
        <v>40</v>
      </c>
      <c r="R56" s="73" t="s">
        <v>37</v>
      </c>
    </row>
    <row r="57" spans="1:18" s="25" customFormat="1" ht="20.100000000000001" customHeight="1" x14ac:dyDescent="0.25">
      <c r="A57" s="26">
        <v>55</v>
      </c>
      <c r="B57" s="13" t="s">
        <v>24</v>
      </c>
      <c r="C57" s="13" t="s">
        <v>19</v>
      </c>
      <c r="D57" s="34">
        <v>3</v>
      </c>
      <c r="E57" s="34" t="str">
        <f>CONCATENATE(Таблица22[[#This Row],[Операция]],Таблица22[[#This Row],[Материал]],Таблица22[[#This Row],[Толщина до…]])</f>
        <v>Сверление до Ф12ммНержавейка3</v>
      </c>
      <c r="F57" s="33" t="s">
        <v>8</v>
      </c>
      <c r="G57" s="35">
        <f t="shared" si="25"/>
        <v>1750</v>
      </c>
      <c r="H57" s="14">
        <f t="shared" si="24"/>
        <v>24.5</v>
      </c>
      <c r="I57" s="15">
        <v>50</v>
      </c>
      <c r="R57" s="71" t="s">
        <v>102</v>
      </c>
    </row>
    <row r="58" spans="1:18" s="25" customFormat="1" ht="20.100000000000001" customHeight="1" x14ac:dyDescent="0.25">
      <c r="A58" s="26">
        <v>56</v>
      </c>
      <c r="B58" s="13" t="s">
        <v>25</v>
      </c>
      <c r="C58" s="13" t="s">
        <v>19</v>
      </c>
      <c r="D58" s="34">
        <v>3</v>
      </c>
      <c r="E58" s="34" t="str">
        <f>CONCATENATE(Таблица22[[#This Row],[Операция]],Таблица22[[#This Row],[Материал]],Таблица22[[#This Row],[Толщина до…]])</f>
        <v>Сверление до Ф18ммНержавейка3</v>
      </c>
      <c r="F58" s="33" t="s">
        <v>8</v>
      </c>
      <c r="G58" s="35">
        <f t="shared" ref="G58:G131" si="28">IFERROR(VLOOKUP(F58,$AK$3:$AL$8,2,0),"")</f>
        <v>1750</v>
      </c>
      <c r="H58" s="14">
        <f t="shared" si="24"/>
        <v>34.5</v>
      </c>
      <c r="I58" s="15">
        <v>70</v>
      </c>
    </row>
    <row r="59" spans="1:18" s="25" customFormat="1" ht="20.100000000000001" customHeight="1" x14ac:dyDescent="0.25">
      <c r="A59" s="26">
        <v>57</v>
      </c>
      <c r="B59" s="13" t="s">
        <v>23</v>
      </c>
      <c r="C59" s="13" t="s">
        <v>19</v>
      </c>
      <c r="D59" s="34">
        <v>6</v>
      </c>
      <c r="E59" s="34" t="str">
        <f>CONCATENATE(Таблица22[[#This Row],[Операция]],Таблица22[[#This Row],[Материал]],Таблица22[[#This Row],[Толщина до…]])</f>
        <v>Сверление до Ф5ммНержавейка6</v>
      </c>
      <c r="F59" s="33" t="s">
        <v>8</v>
      </c>
      <c r="G59" s="35">
        <f t="shared" ref="G59:G64" si="29">IFERROR(VLOOKUP(F59,$AK$3:$AL$8,2,0),"")</f>
        <v>1750</v>
      </c>
      <c r="H59" s="14">
        <f t="shared" ref="H59:H64" si="30">IFERROR(CEILING((G59/3600)*I59,0.5),"")</f>
        <v>24.5</v>
      </c>
      <c r="I59" s="15">
        <v>50</v>
      </c>
    </row>
    <row r="60" spans="1:18" s="25" customFormat="1" ht="20.100000000000001" customHeight="1" x14ac:dyDescent="0.25">
      <c r="A60" s="26">
        <v>58</v>
      </c>
      <c r="B60" s="13" t="s">
        <v>24</v>
      </c>
      <c r="C60" s="13" t="s">
        <v>19</v>
      </c>
      <c r="D60" s="34">
        <v>6</v>
      </c>
      <c r="E60" s="34" t="str">
        <f>CONCATENATE(Таблица22[[#This Row],[Операция]],Таблица22[[#This Row],[Материал]],Таблица22[[#This Row],[Толщина до…]])</f>
        <v>Сверление до Ф12ммНержавейка6</v>
      </c>
      <c r="F60" s="33" t="s">
        <v>8</v>
      </c>
      <c r="G60" s="35">
        <f t="shared" si="29"/>
        <v>1750</v>
      </c>
      <c r="H60" s="14">
        <f t="shared" si="30"/>
        <v>29.5</v>
      </c>
      <c r="I60" s="15">
        <v>60</v>
      </c>
    </row>
    <row r="61" spans="1:18" s="25" customFormat="1" ht="20.100000000000001" customHeight="1" x14ac:dyDescent="0.25">
      <c r="A61" s="26">
        <v>59</v>
      </c>
      <c r="B61" s="13" t="s">
        <v>25</v>
      </c>
      <c r="C61" s="13" t="s">
        <v>19</v>
      </c>
      <c r="D61" s="34">
        <v>6</v>
      </c>
      <c r="E61" s="34" t="str">
        <f>CONCATENATE(Таблица22[[#This Row],[Операция]],Таблица22[[#This Row],[Материал]],Таблица22[[#This Row],[Толщина до…]])</f>
        <v>Сверление до Ф18ммНержавейка6</v>
      </c>
      <c r="F61" s="33" t="s">
        <v>8</v>
      </c>
      <c r="G61" s="35">
        <f t="shared" si="29"/>
        <v>1750</v>
      </c>
      <c r="H61" s="14">
        <f t="shared" si="30"/>
        <v>39</v>
      </c>
      <c r="I61" s="15">
        <v>80</v>
      </c>
    </row>
    <row r="62" spans="1:18" s="25" customFormat="1" ht="20.100000000000001" customHeight="1" x14ac:dyDescent="0.25">
      <c r="A62" s="26">
        <v>60</v>
      </c>
      <c r="B62" s="13" t="s">
        <v>23</v>
      </c>
      <c r="C62" s="13" t="s">
        <v>19</v>
      </c>
      <c r="D62" s="34">
        <v>8</v>
      </c>
      <c r="E62" s="34" t="str">
        <f>CONCATENATE(Таблица22[[#This Row],[Операция]],Таблица22[[#This Row],[Материал]],Таблица22[[#This Row],[Толщина до…]])</f>
        <v>Сверление до Ф5ммНержавейка8</v>
      </c>
      <c r="F62" s="33" t="s">
        <v>8</v>
      </c>
      <c r="G62" s="35">
        <f t="shared" si="29"/>
        <v>1750</v>
      </c>
      <c r="H62" s="14">
        <f t="shared" si="30"/>
        <v>32</v>
      </c>
      <c r="I62" s="15">
        <v>65</v>
      </c>
    </row>
    <row r="63" spans="1:18" s="25" customFormat="1" ht="20.100000000000001" customHeight="1" x14ac:dyDescent="0.25">
      <c r="A63" s="26">
        <v>61</v>
      </c>
      <c r="B63" s="13" t="s">
        <v>24</v>
      </c>
      <c r="C63" s="13" t="s">
        <v>19</v>
      </c>
      <c r="D63" s="34">
        <v>8</v>
      </c>
      <c r="E63" s="34" t="str">
        <f>CONCATENATE(Таблица22[[#This Row],[Операция]],Таблица22[[#This Row],[Материал]],Таблица22[[#This Row],[Толщина до…]])</f>
        <v>Сверление до Ф12ммНержавейка8</v>
      </c>
      <c r="F63" s="33" t="s">
        <v>8</v>
      </c>
      <c r="G63" s="35">
        <f t="shared" si="29"/>
        <v>1750</v>
      </c>
      <c r="H63" s="14">
        <f t="shared" si="30"/>
        <v>36.5</v>
      </c>
      <c r="I63" s="15">
        <v>75</v>
      </c>
    </row>
    <row r="64" spans="1:18" s="25" customFormat="1" ht="20.100000000000001" customHeight="1" x14ac:dyDescent="0.25">
      <c r="A64" s="26">
        <v>62</v>
      </c>
      <c r="B64" s="13" t="s">
        <v>25</v>
      </c>
      <c r="C64" s="13" t="s">
        <v>19</v>
      </c>
      <c r="D64" s="34">
        <v>8</v>
      </c>
      <c r="E64" s="34" t="str">
        <f>CONCATENATE(Таблица22[[#This Row],[Операция]],Таблица22[[#This Row],[Материал]],Таблица22[[#This Row],[Толщина до…]])</f>
        <v>Сверление до Ф18ммНержавейка8</v>
      </c>
      <c r="F64" s="33" t="s">
        <v>8</v>
      </c>
      <c r="G64" s="35">
        <f t="shared" si="29"/>
        <v>1750</v>
      </c>
      <c r="H64" s="14">
        <f t="shared" si="30"/>
        <v>46.5</v>
      </c>
      <c r="I64" s="15">
        <v>95</v>
      </c>
    </row>
    <row r="65" spans="1:35" s="25" customFormat="1" ht="20.100000000000001" customHeight="1" x14ac:dyDescent="0.25">
      <c r="A65" s="26">
        <v>63</v>
      </c>
      <c r="B65" s="13" t="s">
        <v>23</v>
      </c>
      <c r="C65" s="13" t="s">
        <v>19</v>
      </c>
      <c r="D65" s="34">
        <v>12</v>
      </c>
      <c r="E65" s="34" t="str">
        <f>CONCATENATE(Таблица22[[#This Row],[Операция]],Таблица22[[#This Row],[Материал]],Таблица22[[#This Row],[Толщина до…]])</f>
        <v>Сверление до Ф5ммНержавейка12</v>
      </c>
      <c r="F65" s="33" t="s">
        <v>8</v>
      </c>
      <c r="G65" s="35">
        <f t="shared" si="28"/>
        <v>1750</v>
      </c>
      <c r="H65" s="14">
        <f t="shared" si="24"/>
        <v>34.5</v>
      </c>
      <c r="I65" s="15">
        <v>70</v>
      </c>
    </row>
    <row r="66" spans="1:35" s="25" customFormat="1" ht="20.100000000000001" customHeight="1" x14ac:dyDescent="0.25">
      <c r="A66" s="26">
        <v>64</v>
      </c>
      <c r="B66" s="13" t="s">
        <v>24</v>
      </c>
      <c r="C66" s="13" t="s">
        <v>19</v>
      </c>
      <c r="D66" s="34">
        <v>12</v>
      </c>
      <c r="E66" s="34" t="str">
        <f>CONCATENATE(Таблица22[[#This Row],[Операция]],Таблица22[[#This Row],[Материал]],Таблица22[[#This Row],[Толщина до…]])</f>
        <v>Сверление до Ф12ммНержавейка12</v>
      </c>
      <c r="F66" s="33" t="s">
        <v>8</v>
      </c>
      <c r="G66" s="35">
        <f t="shared" si="28"/>
        <v>1750</v>
      </c>
      <c r="H66" s="14">
        <f t="shared" si="24"/>
        <v>44</v>
      </c>
      <c r="I66" s="15">
        <v>90</v>
      </c>
    </row>
    <row r="67" spans="1:35" s="25" customFormat="1" ht="20.100000000000001" customHeight="1" x14ac:dyDescent="0.25">
      <c r="A67" s="26">
        <v>65</v>
      </c>
      <c r="B67" s="13" t="s">
        <v>25</v>
      </c>
      <c r="C67" s="13" t="s">
        <v>19</v>
      </c>
      <c r="D67" s="34">
        <v>12</v>
      </c>
      <c r="E67" s="34" t="str">
        <f>CONCATENATE(Таблица22[[#This Row],[Операция]],Таблица22[[#This Row],[Материал]],Таблица22[[#This Row],[Толщина до…]])</f>
        <v>Сверление до Ф18ммНержавейка12</v>
      </c>
      <c r="F67" s="33" t="s">
        <v>8</v>
      </c>
      <c r="G67" s="35">
        <f t="shared" si="28"/>
        <v>1750</v>
      </c>
      <c r="H67" s="14">
        <f t="shared" ref="H67:H138" si="31">IFERROR(CEILING((G67/3600)*I67,0.5),"")</f>
        <v>58.5</v>
      </c>
      <c r="I67" s="15">
        <v>120</v>
      </c>
    </row>
    <row r="68" spans="1:35" s="25" customFormat="1" ht="20.100000000000001" customHeight="1" x14ac:dyDescent="0.25">
      <c r="A68" s="26">
        <v>66</v>
      </c>
      <c r="B68" s="13" t="s">
        <v>27</v>
      </c>
      <c r="C68" s="13" t="s">
        <v>16</v>
      </c>
      <c r="D68" s="34">
        <v>3</v>
      </c>
      <c r="E68" s="34" t="str">
        <f>CONCATENATE(Таблица22[[#This Row],[Операция]],Таблица22[[#This Row],[Материал]],Таблица22[[#This Row],[Толщина до…]])</f>
        <v>Зенкование до Ф5ммСталь черная3</v>
      </c>
      <c r="F68" s="33" t="s">
        <v>9</v>
      </c>
      <c r="G68" s="35">
        <f t="shared" si="28"/>
        <v>1450</v>
      </c>
      <c r="H68" s="14">
        <f t="shared" si="31"/>
        <v>8.5</v>
      </c>
      <c r="I68" s="15">
        <v>20</v>
      </c>
    </row>
    <row r="69" spans="1:35" s="25" customFormat="1" ht="20.100000000000001" customHeight="1" x14ac:dyDescent="0.25">
      <c r="A69" s="26">
        <v>67</v>
      </c>
      <c r="B69" s="13" t="s">
        <v>28</v>
      </c>
      <c r="C69" s="13" t="s">
        <v>16</v>
      </c>
      <c r="D69" s="34">
        <v>3</v>
      </c>
      <c r="E69" s="34" t="str">
        <f>CONCATENATE(Таблица22[[#This Row],[Операция]],Таблица22[[#This Row],[Материал]],Таблица22[[#This Row],[Толщина до…]])</f>
        <v>Зенкование до Ф12ммСталь черная3</v>
      </c>
      <c r="F69" s="33" t="s">
        <v>9</v>
      </c>
      <c r="G69" s="35">
        <f t="shared" si="28"/>
        <v>1450</v>
      </c>
      <c r="H69" s="14">
        <f t="shared" si="31"/>
        <v>10.5</v>
      </c>
      <c r="I69" s="15">
        <v>25</v>
      </c>
    </row>
    <row r="70" spans="1:35" s="25" customFormat="1" ht="20.100000000000001" customHeight="1" x14ac:dyDescent="0.25">
      <c r="A70" s="26">
        <v>68</v>
      </c>
      <c r="B70" s="13" t="s">
        <v>33</v>
      </c>
      <c r="C70" s="13" t="s">
        <v>16</v>
      </c>
      <c r="D70" s="34">
        <v>3</v>
      </c>
      <c r="E70" s="34" t="str">
        <f>CONCATENATE(Таблица22[[#This Row],[Операция]],Таблица22[[#This Row],[Материал]],Таблица22[[#This Row],[Толщина до…]])</f>
        <v>Зенкование  до Ф20ммСталь черная3</v>
      </c>
      <c r="F70" s="33" t="s">
        <v>9</v>
      </c>
      <c r="G70" s="35">
        <f t="shared" si="28"/>
        <v>1450</v>
      </c>
      <c r="H70" s="14">
        <f t="shared" si="31"/>
        <v>12.5</v>
      </c>
      <c r="I70" s="15">
        <v>30</v>
      </c>
    </row>
    <row r="71" spans="1:35" s="25" customFormat="1" ht="20.100000000000001" customHeight="1" x14ac:dyDescent="0.25">
      <c r="A71" s="26">
        <v>69</v>
      </c>
      <c r="B71" s="13" t="s">
        <v>27</v>
      </c>
      <c r="C71" s="13" t="s">
        <v>16</v>
      </c>
      <c r="D71" s="34">
        <v>6</v>
      </c>
      <c r="E71" s="34" t="str">
        <f>CONCATENATE(Таблица22[[#This Row],[Операция]],Таблица22[[#This Row],[Материал]],Таблица22[[#This Row],[Толщина до…]])</f>
        <v>Зенкование до Ф5ммСталь черная6</v>
      </c>
      <c r="F71" s="33" t="s">
        <v>9</v>
      </c>
      <c r="G71" s="35">
        <f t="shared" ref="G71:G79" si="32">IFERROR(VLOOKUP(F71,$AK$3:$AL$8,2,0),"")</f>
        <v>1450</v>
      </c>
      <c r="H71" s="14">
        <f t="shared" ref="H71:H79" si="33">IFERROR(CEILING((G71/3600)*I71,0.5),"")</f>
        <v>12.5</v>
      </c>
      <c r="I71" s="15">
        <v>30</v>
      </c>
    </row>
    <row r="72" spans="1:35" s="25" customFormat="1" ht="20.100000000000001" customHeight="1" x14ac:dyDescent="0.25">
      <c r="A72" s="26">
        <v>70</v>
      </c>
      <c r="B72" s="13" t="s">
        <v>28</v>
      </c>
      <c r="C72" s="13" t="s">
        <v>16</v>
      </c>
      <c r="D72" s="34">
        <v>6</v>
      </c>
      <c r="E72" s="34" t="str">
        <f>CONCATENATE(Таблица22[[#This Row],[Операция]],Таблица22[[#This Row],[Материал]],Таблица22[[#This Row],[Толщина до…]])</f>
        <v>Зенкование до Ф12ммСталь черная6</v>
      </c>
      <c r="F72" s="33" t="s">
        <v>9</v>
      </c>
      <c r="G72" s="35">
        <f t="shared" si="32"/>
        <v>1450</v>
      </c>
      <c r="H72" s="14">
        <f t="shared" si="33"/>
        <v>14.5</v>
      </c>
      <c r="I72" s="15">
        <v>35</v>
      </c>
    </row>
    <row r="73" spans="1:35" s="25" customFormat="1" ht="20.100000000000001" customHeight="1" x14ac:dyDescent="0.25">
      <c r="A73" s="26">
        <v>71</v>
      </c>
      <c r="B73" s="13" t="s">
        <v>33</v>
      </c>
      <c r="C73" s="13" t="s">
        <v>16</v>
      </c>
      <c r="D73" s="34">
        <v>6</v>
      </c>
      <c r="E73" s="34" t="str">
        <f>CONCATENATE(Таблица22[[#This Row],[Операция]],Таблица22[[#This Row],[Материал]],Таблица22[[#This Row],[Толщина до…]])</f>
        <v>Зенкование  до Ф20ммСталь черная6</v>
      </c>
      <c r="F73" s="33" t="s">
        <v>9</v>
      </c>
      <c r="G73" s="35">
        <f t="shared" si="32"/>
        <v>1450</v>
      </c>
      <c r="H73" s="14">
        <f t="shared" si="33"/>
        <v>16.5</v>
      </c>
      <c r="I73" s="15">
        <v>40</v>
      </c>
    </row>
    <row r="74" spans="1:35" s="25" customFormat="1" ht="20.100000000000001" customHeight="1" x14ac:dyDescent="0.25">
      <c r="A74" s="26">
        <v>72</v>
      </c>
      <c r="B74" s="13" t="s">
        <v>27</v>
      </c>
      <c r="C74" s="13" t="s">
        <v>16</v>
      </c>
      <c r="D74" s="34">
        <v>8</v>
      </c>
      <c r="E74" s="34" t="str">
        <f>CONCATENATE(Таблица22[[#This Row],[Операция]],Таблица22[[#This Row],[Материал]],Таблица22[[#This Row],[Толщина до…]])</f>
        <v>Зенкование до Ф5ммСталь черная8</v>
      </c>
      <c r="F74" s="33" t="s">
        <v>9</v>
      </c>
      <c r="G74" s="35">
        <f t="shared" si="32"/>
        <v>1450</v>
      </c>
      <c r="H74" s="14">
        <f t="shared" si="33"/>
        <v>16.5</v>
      </c>
      <c r="I74" s="15">
        <v>40</v>
      </c>
    </row>
    <row r="75" spans="1:35" s="25" customFormat="1" ht="20.100000000000001" customHeight="1" x14ac:dyDescent="0.25">
      <c r="A75" s="26">
        <v>73</v>
      </c>
      <c r="B75" s="13" t="s">
        <v>28</v>
      </c>
      <c r="C75" s="13" t="s">
        <v>16</v>
      </c>
      <c r="D75" s="34">
        <v>8</v>
      </c>
      <c r="E75" s="34" t="str">
        <f>CONCATENATE(Таблица22[[#This Row],[Операция]],Таблица22[[#This Row],[Материал]],Таблица22[[#This Row],[Толщина до…]])</f>
        <v>Зенкование до Ф12ммСталь черная8</v>
      </c>
      <c r="F75" s="33" t="s">
        <v>9</v>
      </c>
      <c r="G75" s="35">
        <f t="shared" si="32"/>
        <v>1450</v>
      </c>
      <c r="H75" s="14">
        <f t="shared" si="33"/>
        <v>18.5</v>
      </c>
      <c r="I75" s="15">
        <v>45</v>
      </c>
    </row>
    <row r="76" spans="1:35" s="25" customFormat="1" ht="20.100000000000001" customHeight="1" x14ac:dyDescent="0.25">
      <c r="A76" s="26">
        <v>74</v>
      </c>
      <c r="B76" s="13" t="s">
        <v>33</v>
      </c>
      <c r="C76" s="13" t="s">
        <v>16</v>
      </c>
      <c r="D76" s="34">
        <v>8</v>
      </c>
      <c r="E76" s="34" t="str">
        <f>CONCATENATE(Таблица22[[#This Row],[Операция]],Таблица22[[#This Row],[Материал]],Таблица22[[#This Row],[Толщина до…]])</f>
        <v>Зенкование  до Ф20ммСталь черная8</v>
      </c>
      <c r="F76" s="33" t="s">
        <v>9</v>
      </c>
      <c r="G76" s="35">
        <f t="shared" si="32"/>
        <v>1450</v>
      </c>
      <c r="H76" s="14">
        <f t="shared" si="33"/>
        <v>20.5</v>
      </c>
      <c r="I76" s="15">
        <v>50</v>
      </c>
    </row>
    <row r="77" spans="1:35" s="25" customFormat="1" ht="20.100000000000001" customHeight="1" x14ac:dyDescent="0.25">
      <c r="A77" s="26">
        <v>75</v>
      </c>
      <c r="B77" s="13" t="s">
        <v>27</v>
      </c>
      <c r="C77" s="13" t="s">
        <v>16</v>
      </c>
      <c r="D77" s="34">
        <v>12</v>
      </c>
      <c r="E77" s="34" t="str">
        <f>CONCATENATE(Таблица22[[#This Row],[Операция]],Таблица22[[#This Row],[Материал]],Таблица22[[#This Row],[Толщина до…]])</f>
        <v>Зенкование до Ф5ммСталь черная12</v>
      </c>
      <c r="F77" s="33" t="s">
        <v>9</v>
      </c>
      <c r="G77" s="35">
        <f t="shared" si="32"/>
        <v>1450</v>
      </c>
      <c r="H77" s="14">
        <f t="shared" si="33"/>
        <v>20.5</v>
      </c>
      <c r="I77" s="15">
        <v>50</v>
      </c>
    </row>
    <row r="78" spans="1:35" s="25" customFormat="1" ht="20.100000000000001" customHeight="1" x14ac:dyDescent="0.25">
      <c r="A78" s="26">
        <v>76</v>
      </c>
      <c r="B78" s="13" t="s">
        <v>28</v>
      </c>
      <c r="C78" s="13" t="s">
        <v>16</v>
      </c>
      <c r="D78" s="34">
        <v>12</v>
      </c>
      <c r="E78" s="34" t="str">
        <f>CONCATENATE(Таблица22[[#This Row],[Операция]],Таблица22[[#This Row],[Материал]],Таблица22[[#This Row],[Толщина до…]])</f>
        <v>Зенкование до Ф12ммСталь черная12</v>
      </c>
      <c r="F78" s="33" t="s">
        <v>9</v>
      </c>
      <c r="G78" s="35">
        <f t="shared" si="32"/>
        <v>1450</v>
      </c>
      <c r="H78" s="14">
        <f t="shared" si="33"/>
        <v>22.5</v>
      </c>
      <c r="I78" s="15">
        <v>55</v>
      </c>
    </row>
    <row r="79" spans="1:35" ht="20.100000000000001" customHeight="1" x14ac:dyDescent="0.25">
      <c r="A79" s="26">
        <v>77</v>
      </c>
      <c r="B79" s="13" t="s">
        <v>33</v>
      </c>
      <c r="C79" s="13" t="s">
        <v>16</v>
      </c>
      <c r="D79" s="34">
        <v>12</v>
      </c>
      <c r="E79" s="34" t="str">
        <f>CONCATENATE(Таблица22[[#This Row],[Операция]],Таблица22[[#This Row],[Материал]],Таблица22[[#This Row],[Толщина до…]])</f>
        <v>Зенкование  до Ф20ммСталь черная12</v>
      </c>
      <c r="F79" s="33" t="s">
        <v>9</v>
      </c>
      <c r="G79" s="35">
        <f t="shared" si="32"/>
        <v>1450</v>
      </c>
      <c r="H79" s="14">
        <f t="shared" si="33"/>
        <v>24.5</v>
      </c>
      <c r="I79" s="15">
        <v>60</v>
      </c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ht="20.100000000000001" customHeight="1" x14ac:dyDescent="0.25">
      <c r="A80" s="26">
        <v>78</v>
      </c>
      <c r="B80" s="13" t="s">
        <v>27</v>
      </c>
      <c r="C80" s="13" t="s">
        <v>16</v>
      </c>
      <c r="D80" s="34">
        <v>16</v>
      </c>
      <c r="E80" s="34" t="str">
        <f>CONCATENATE(Таблица22[[#This Row],[Операция]],Таблица22[[#This Row],[Материал]],Таблица22[[#This Row],[Толщина до…]])</f>
        <v>Зенкование до Ф5ммСталь черная16</v>
      </c>
      <c r="F80" s="33" t="s">
        <v>9</v>
      </c>
      <c r="G80" s="35">
        <f t="shared" si="28"/>
        <v>1450</v>
      </c>
      <c r="H80" s="14">
        <f t="shared" si="31"/>
        <v>24.5</v>
      </c>
      <c r="I80" s="15">
        <v>60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ht="20.100000000000001" customHeight="1" x14ac:dyDescent="0.25">
      <c r="A81" s="26">
        <v>79</v>
      </c>
      <c r="B81" s="13" t="s">
        <v>28</v>
      </c>
      <c r="C81" s="13" t="s">
        <v>16</v>
      </c>
      <c r="D81" s="34">
        <v>16</v>
      </c>
      <c r="E81" s="34" t="str">
        <f>CONCATENATE(Таблица22[[#This Row],[Операция]],Таблица22[[#This Row],[Материал]],Таблица22[[#This Row],[Толщина до…]])</f>
        <v>Зенкование до Ф12ммСталь черная16</v>
      </c>
      <c r="F81" s="33" t="s">
        <v>9</v>
      </c>
      <c r="G81" s="35">
        <f t="shared" si="28"/>
        <v>1450</v>
      </c>
      <c r="H81" s="14">
        <f t="shared" si="31"/>
        <v>26.5</v>
      </c>
      <c r="I81" s="15">
        <v>65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ht="20.100000000000001" customHeight="1" x14ac:dyDescent="0.25">
      <c r="A82" s="26">
        <v>80</v>
      </c>
      <c r="B82" s="13" t="s">
        <v>33</v>
      </c>
      <c r="C82" s="13" t="s">
        <v>16</v>
      </c>
      <c r="D82" s="34">
        <v>16</v>
      </c>
      <c r="E82" s="34" t="str">
        <f>CONCATENATE(Таблица22[[#This Row],[Операция]],Таблица22[[#This Row],[Материал]],Таблица22[[#This Row],[Толщина до…]])</f>
        <v>Зенкование  до Ф20ммСталь черная16</v>
      </c>
      <c r="F82" s="33" t="s">
        <v>9</v>
      </c>
      <c r="G82" s="35">
        <f t="shared" si="28"/>
        <v>1450</v>
      </c>
      <c r="H82" s="14">
        <f t="shared" si="31"/>
        <v>28.5</v>
      </c>
      <c r="I82" s="15">
        <v>70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ht="20.100000000000001" customHeight="1" x14ac:dyDescent="0.25">
      <c r="A83" s="26">
        <v>81</v>
      </c>
      <c r="B83" s="13" t="s">
        <v>27</v>
      </c>
      <c r="C83" s="13" t="s">
        <v>18</v>
      </c>
      <c r="D83" s="34">
        <v>3</v>
      </c>
      <c r="E83" s="34" t="str">
        <f>CONCATENATE(Таблица22[[#This Row],[Операция]],Таблица22[[#This Row],[Материал]],Таблица22[[#This Row],[Толщина до…]])</f>
        <v>Зенкование до Ф5ммАлюминий3</v>
      </c>
      <c r="F83" s="33" t="s">
        <v>8</v>
      </c>
      <c r="G83" s="35">
        <f t="shared" si="28"/>
        <v>1750</v>
      </c>
      <c r="H83" s="14">
        <f t="shared" si="31"/>
        <v>17.5</v>
      </c>
      <c r="I83" s="15">
        <v>35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ht="20.100000000000001" customHeight="1" x14ac:dyDescent="0.25">
      <c r="A84" s="26">
        <v>82</v>
      </c>
      <c r="B84" s="13" t="s">
        <v>28</v>
      </c>
      <c r="C84" s="13" t="s">
        <v>18</v>
      </c>
      <c r="D84" s="34">
        <v>3</v>
      </c>
      <c r="E84" s="34" t="str">
        <f>CONCATENATE(Таблица22[[#This Row],[Операция]],Таблица22[[#This Row],[Материал]],Таблица22[[#This Row],[Толщина до…]])</f>
        <v>Зенкование до Ф12ммАлюминий3</v>
      </c>
      <c r="F84" s="33" t="s">
        <v>8</v>
      </c>
      <c r="G84" s="35">
        <f t="shared" si="28"/>
        <v>1750</v>
      </c>
      <c r="H84" s="14">
        <f t="shared" si="31"/>
        <v>19.5</v>
      </c>
      <c r="I84" s="15">
        <v>40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ht="20.100000000000001" customHeight="1" x14ac:dyDescent="0.25">
      <c r="A85" s="26">
        <v>83</v>
      </c>
      <c r="B85" s="13" t="s">
        <v>33</v>
      </c>
      <c r="C85" s="13" t="s">
        <v>18</v>
      </c>
      <c r="D85" s="34">
        <v>3</v>
      </c>
      <c r="E85" s="34" t="str">
        <f>CONCATENATE(Таблица22[[#This Row],[Операция]],Таблица22[[#This Row],[Материал]],Таблица22[[#This Row],[Толщина до…]])</f>
        <v>Зенкование  до Ф20ммАлюминий3</v>
      </c>
      <c r="F85" s="33" t="s">
        <v>8</v>
      </c>
      <c r="G85" s="35">
        <f t="shared" si="28"/>
        <v>1750</v>
      </c>
      <c r="H85" s="14">
        <f t="shared" si="31"/>
        <v>22</v>
      </c>
      <c r="I85" s="15">
        <v>45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ht="20.100000000000001" customHeight="1" x14ac:dyDescent="0.25">
      <c r="A86" s="26">
        <v>84</v>
      </c>
      <c r="B86" s="13" t="s">
        <v>27</v>
      </c>
      <c r="C86" s="13" t="s">
        <v>18</v>
      </c>
      <c r="D86" s="34">
        <v>6</v>
      </c>
      <c r="E86" s="34" t="str">
        <f>CONCATENATE(Таблица22[[#This Row],[Операция]],Таблица22[[#This Row],[Материал]],Таблица22[[#This Row],[Толщина до…]])</f>
        <v>Зенкование до Ф5ммАлюминий6</v>
      </c>
      <c r="F86" s="33" t="s">
        <v>8</v>
      </c>
      <c r="G86" s="35">
        <f t="shared" ref="G86:G94" si="34">IFERROR(VLOOKUP(F86,$AK$3:$AL$8,2,0),"")</f>
        <v>1750</v>
      </c>
      <c r="H86" s="14">
        <f t="shared" ref="H86:H94" si="35">IFERROR(CEILING((G86/3600)*I86,0.5),"")</f>
        <v>19.5</v>
      </c>
      <c r="I86" s="15">
        <v>40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ht="20.100000000000001" customHeight="1" x14ac:dyDescent="0.25">
      <c r="A87" s="26">
        <v>85</v>
      </c>
      <c r="B87" s="13" t="s">
        <v>28</v>
      </c>
      <c r="C87" s="13" t="s">
        <v>18</v>
      </c>
      <c r="D87" s="34">
        <v>6</v>
      </c>
      <c r="E87" s="34" t="str">
        <f>CONCATENATE(Таблица22[[#This Row],[Операция]],Таблица22[[#This Row],[Материал]],Таблица22[[#This Row],[Толщина до…]])</f>
        <v>Зенкование до Ф12ммАлюминий6</v>
      </c>
      <c r="F87" s="33" t="s">
        <v>8</v>
      </c>
      <c r="G87" s="35">
        <f t="shared" si="34"/>
        <v>1750</v>
      </c>
      <c r="H87" s="14">
        <f t="shared" si="35"/>
        <v>22</v>
      </c>
      <c r="I87" s="15">
        <v>45</v>
      </c>
      <c r="K87" s="25"/>
      <c r="L87" s="25"/>
    </row>
    <row r="88" spans="1:35" ht="20.100000000000001" customHeight="1" x14ac:dyDescent="0.25">
      <c r="A88" s="26">
        <v>86</v>
      </c>
      <c r="B88" s="13" t="s">
        <v>33</v>
      </c>
      <c r="C88" s="13" t="s">
        <v>18</v>
      </c>
      <c r="D88" s="34">
        <v>6</v>
      </c>
      <c r="E88" s="34" t="str">
        <f>CONCATENATE(Таблица22[[#This Row],[Операция]],Таблица22[[#This Row],[Материал]],Таблица22[[#This Row],[Толщина до…]])</f>
        <v>Зенкование  до Ф20ммАлюминий6</v>
      </c>
      <c r="F88" s="33" t="s">
        <v>8</v>
      </c>
      <c r="G88" s="35">
        <f t="shared" si="34"/>
        <v>1750</v>
      </c>
      <c r="H88" s="14">
        <f t="shared" si="35"/>
        <v>24.5</v>
      </c>
      <c r="I88" s="15">
        <v>50</v>
      </c>
    </row>
    <row r="89" spans="1:35" ht="20.100000000000001" customHeight="1" x14ac:dyDescent="0.25">
      <c r="A89" s="26">
        <v>87</v>
      </c>
      <c r="B89" s="13" t="s">
        <v>27</v>
      </c>
      <c r="C89" s="13" t="s">
        <v>18</v>
      </c>
      <c r="D89" s="34">
        <v>8</v>
      </c>
      <c r="E89" s="34" t="str">
        <f>CONCATENATE(Таблица22[[#This Row],[Операция]],Таблица22[[#This Row],[Материал]],Таблица22[[#This Row],[Толщина до…]])</f>
        <v>Зенкование до Ф5ммАлюминий8</v>
      </c>
      <c r="F89" s="33" t="s">
        <v>8</v>
      </c>
      <c r="G89" s="35">
        <f t="shared" si="34"/>
        <v>1750</v>
      </c>
      <c r="H89" s="14">
        <f t="shared" si="35"/>
        <v>22</v>
      </c>
      <c r="I89" s="15">
        <v>45</v>
      </c>
    </row>
    <row r="90" spans="1:35" ht="20.100000000000001" customHeight="1" x14ac:dyDescent="0.25">
      <c r="A90" s="26">
        <v>88</v>
      </c>
      <c r="B90" s="13" t="s">
        <v>28</v>
      </c>
      <c r="C90" s="13" t="s">
        <v>18</v>
      </c>
      <c r="D90" s="34">
        <v>8</v>
      </c>
      <c r="E90" s="34" t="str">
        <f>CONCATENATE(Таблица22[[#This Row],[Операция]],Таблица22[[#This Row],[Материал]],Таблица22[[#This Row],[Толщина до…]])</f>
        <v>Зенкование до Ф12ммАлюминий8</v>
      </c>
      <c r="F90" s="33" t="s">
        <v>8</v>
      </c>
      <c r="G90" s="35">
        <f t="shared" si="34"/>
        <v>1750</v>
      </c>
      <c r="H90" s="14">
        <f t="shared" si="35"/>
        <v>24.5</v>
      </c>
      <c r="I90" s="15">
        <v>50</v>
      </c>
    </row>
    <row r="91" spans="1:35" ht="20.100000000000001" customHeight="1" x14ac:dyDescent="0.25">
      <c r="A91" s="26">
        <v>89</v>
      </c>
      <c r="B91" s="13" t="s">
        <v>33</v>
      </c>
      <c r="C91" s="13" t="s">
        <v>18</v>
      </c>
      <c r="D91" s="34">
        <v>8</v>
      </c>
      <c r="E91" s="34" t="str">
        <f>CONCATENATE(Таблица22[[#This Row],[Операция]],Таблица22[[#This Row],[Материал]],Таблица22[[#This Row],[Толщина до…]])</f>
        <v>Зенкование  до Ф20ммАлюминий8</v>
      </c>
      <c r="F91" s="33" t="s">
        <v>8</v>
      </c>
      <c r="G91" s="35">
        <f t="shared" si="34"/>
        <v>1750</v>
      </c>
      <c r="H91" s="14">
        <f t="shared" si="35"/>
        <v>27</v>
      </c>
      <c r="I91" s="15">
        <v>55</v>
      </c>
    </row>
    <row r="92" spans="1:35" ht="20.100000000000001" customHeight="1" x14ac:dyDescent="0.25">
      <c r="A92" s="26">
        <v>90</v>
      </c>
      <c r="B92" s="13" t="s">
        <v>27</v>
      </c>
      <c r="C92" s="13" t="s">
        <v>18</v>
      </c>
      <c r="D92" s="34">
        <v>12</v>
      </c>
      <c r="E92" s="34" t="str">
        <f>CONCATENATE(Таблица22[[#This Row],[Операция]],Таблица22[[#This Row],[Материал]],Таблица22[[#This Row],[Толщина до…]])</f>
        <v>Зенкование до Ф5ммАлюминий12</v>
      </c>
      <c r="F92" s="33" t="s">
        <v>8</v>
      </c>
      <c r="G92" s="35">
        <f t="shared" si="34"/>
        <v>1750</v>
      </c>
      <c r="H92" s="14">
        <f t="shared" si="35"/>
        <v>24.5</v>
      </c>
      <c r="I92" s="15">
        <v>50</v>
      </c>
    </row>
    <row r="93" spans="1:35" ht="20.100000000000001" customHeight="1" x14ac:dyDescent="0.25">
      <c r="A93" s="26">
        <v>91</v>
      </c>
      <c r="B93" s="13" t="s">
        <v>28</v>
      </c>
      <c r="C93" s="13" t="s">
        <v>18</v>
      </c>
      <c r="D93" s="34">
        <v>12</v>
      </c>
      <c r="E93" s="34" t="str">
        <f>CONCATENATE(Таблица22[[#This Row],[Операция]],Таблица22[[#This Row],[Материал]],Таблица22[[#This Row],[Толщина до…]])</f>
        <v>Зенкование до Ф12ммАлюминий12</v>
      </c>
      <c r="F93" s="33" t="s">
        <v>8</v>
      </c>
      <c r="G93" s="35">
        <f t="shared" si="34"/>
        <v>1750</v>
      </c>
      <c r="H93" s="14">
        <f t="shared" si="35"/>
        <v>27</v>
      </c>
      <c r="I93" s="15">
        <v>55</v>
      </c>
    </row>
    <row r="94" spans="1:35" ht="20.100000000000001" customHeight="1" x14ac:dyDescent="0.25">
      <c r="A94" s="26">
        <v>92</v>
      </c>
      <c r="B94" s="13" t="s">
        <v>33</v>
      </c>
      <c r="C94" s="13" t="s">
        <v>18</v>
      </c>
      <c r="D94" s="34">
        <v>12</v>
      </c>
      <c r="E94" s="34" t="str">
        <f>CONCATENATE(Таблица22[[#This Row],[Операция]],Таблица22[[#This Row],[Материал]],Таблица22[[#This Row],[Толщина до…]])</f>
        <v>Зенкование  до Ф20ммАлюминий12</v>
      </c>
      <c r="F94" s="33" t="s">
        <v>8</v>
      </c>
      <c r="G94" s="35">
        <f t="shared" si="34"/>
        <v>1750</v>
      </c>
      <c r="H94" s="14">
        <f t="shared" si="35"/>
        <v>29.5</v>
      </c>
      <c r="I94" s="15">
        <v>60</v>
      </c>
    </row>
    <row r="95" spans="1:35" ht="20.100000000000001" customHeight="1" x14ac:dyDescent="0.25">
      <c r="A95" s="26">
        <v>93</v>
      </c>
      <c r="B95" s="13" t="s">
        <v>27</v>
      </c>
      <c r="C95" s="13" t="s">
        <v>18</v>
      </c>
      <c r="D95" s="34">
        <v>16</v>
      </c>
      <c r="E95" s="34" t="str">
        <f>CONCATENATE(Таблица22[[#This Row],[Операция]],Таблица22[[#This Row],[Материал]],Таблица22[[#This Row],[Толщина до…]])</f>
        <v>Зенкование до Ф5ммАлюминий16</v>
      </c>
      <c r="F95" s="33" t="s">
        <v>8</v>
      </c>
      <c r="G95" s="35">
        <f t="shared" si="28"/>
        <v>1750</v>
      </c>
      <c r="H95" s="14">
        <f t="shared" si="31"/>
        <v>17.5</v>
      </c>
      <c r="I95" s="15">
        <v>35</v>
      </c>
    </row>
    <row r="96" spans="1:35" ht="20.100000000000001" customHeight="1" x14ac:dyDescent="0.25">
      <c r="A96" s="26">
        <v>94</v>
      </c>
      <c r="B96" s="13" t="s">
        <v>28</v>
      </c>
      <c r="C96" s="13" t="s">
        <v>18</v>
      </c>
      <c r="D96" s="34">
        <v>16</v>
      </c>
      <c r="E96" s="34" t="str">
        <f>CONCATENATE(Таблица22[[#This Row],[Операция]],Таблица22[[#This Row],[Материал]],Таблица22[[#This Row],[Толщина до…]])</f>
        <v>Зенкование до Ф12ммАлюминий16</v>
      </c>
      <c r="F96" s="33" t="s">
        <v>8</v>
      </c>
      <c r="G96" s="35">
        <f t="shared" si="28"/>
        <v>1750</v>
      </c>
      <c r="H96" s="14">
        <f t="shared" si="31"/>
        <v>17.5</v>
      </c>
      <c r="I96" s="15">
        <v>35</v>
      </c>
    </row>
    <row r="97" spans="1:9" ht="20.100000000000001" customHeight="1" x14ac:dyDescent="0.25">
      <c r="A97" s="26">
        <v>95</v>
      </c>
      <c r="B97" s="13" t="s">
        <v>33</v>
      </c>
      <c r="C97" s="13" t="s">
        <v>18</v>
      </c>
      <c r="D97" s="34">
        <v>16</v>
      </c>
      <c r="E97" s="34" t="str">
        <f>CONCATENATE(Таблица22[[#This Row],[Операция]],Таблица22[[#This Row],[Материал]],Таблица22[[#This Row],[Толщина до…]])</f>
        <v>Зенкование  до Ф20ммАлюминий16</v>
      </c>
      <c r="F97" s="33" t="s">
        <v>8</v>
      </c>
      <c r="G97" s="35">
        <f t="shared" si="28"/>
        <v>1750</v>
      </c>
      <c r="H97" s="14">
        <f t="shared" si="31"/>
        <v>17.5</v>
      </c>
      <c r="I97" s="15">
        <v>35</v>
      </c>
    </row>
    <row r="98" spans="1:9" ht="20.100000000000001" customHeight="1" x14ac:dyDescent="0.25">
      <c r="A98" s="26">
        <v>96</v>
      </c>
      <c r="B98" s="13" t="s">
        <v>27</v>
      </c>
      <c r="C98" s="13" t="s">
        <v>19</v>
      </c>
      <c r="D98" s="34">
        <v>3</v>
      </c>
      <c r="E98" s="34" t="str">
        <f>CONCATENATE(Таблица22[[#This Row],[Операция]],Таблица22[[#This Row],[Материал]],Таблица22[[#This Row],[Толщина до…]])</f>
        <v>Зенкование до Ф5ммНержавейка3</v>
      </c>
      <c r="F98" s="33" t="s">
        <v>8</v>
      </c>
      <c r="G98" s="35">
        <f t="shared" si="28"/>
        <v>1750</v>
      </c>
      <c r="H98" s="14">
        <f t="shared" si="31"/>
        <v>19.5</v>
      </c>
      <c r="I98" s="15">
        <v>40</v>
      </c>
    </row>
    <row r="99" spans="1:9" ht="20.100000000000001" customHeight="1" x14ac:dyDescent="0.25">
      <c r="A99" s="26">
        <v>97</v>
      </c>
      <c r="B99" s="13" t="s">
        <v>28</v>
      </c>
      <c r="C99" s="13" t="s">
        <v>19</v>
      </c>
      <c r="D99" s="34">
        <v>3</v>
      </c>
      <c r="E99" s="34" t="str">
        <f>CONCATENATE(Таблица22[[#This Row],[Операция]],Таблица22[[#This Row],[Материал]],Таблица22[[#This Row],[Толщина до…]])</f>
        <v>Зенкование до Ф12ммНержавейка3</v>
      </c>
      <c r="F99" s="33" t="s">
        <v>8</v>
      </c>
      <c r="G99" s="35">
        <f t="shared" si="28"/>
        <v>1750</v>
      </c>
      <c r="H99" s="14">
        <f t="shared" si="31"/>
        <v>22</v>
      </c>
      <c r="I99" s="15">
        <v>45</v>
      </c>
    </row>
    <row r="100" spans="1:9" ht="20.100000000000001" customHeight="1" x14ac:dyDescent="0.25">
      <c r="A100" s="26">
        <v>98</v>
      </c>
      <c r="B100" s="13" t="s">
        <v>33</v>
      </c>
      <c r="C100" s="13" t="s">
        <v>19</v>
      </c>
      <c r="D100" s="34">
        <v>3</v>
      </c>
      <c r="E100" s="34" t="str">
        <f>CONCATENATE(Таблица22[[#This Row],[Операция]],Таблица22[[#This Row],[Материал]],Таблица22[[#This Row],[Толщина до…]])</f>
        <v>Зенкование  до Ф20ммНержавейка3</v>
      </c>
      <c r="F100" s="33" t="s">
        <v>8</v>
      </c>
      <c r="G100" s="35">
        <f t="shared" si="28"/>
        <v>1750</v>
      </c>
      <c r="H100" s="14">
        <f t="shared" si="31"/>
        <v>24.5</v>
      </c>
      <c r="I100" s="15">
        <v>50</v>
      </c>
    </row>
    <row r="101" spans="1:9" ht="20.100000000000001" customHeight="1" x14ac:dyDescent="0.25">
      <c r="A101" s="26">
        <v>99</v>
      </c>
      <c r="B101" s="13" t="s">
        <v>27</v>
      </c>
      <c r="C101" s="13" t="s">
        <v>19</v>
      </c>
      <c r="D101" s="34">
        <v>6</v>
      </c>
      <c r="E101" s="34" t="str">
        <f>CONCATENATE(Таблица22[[#This Row],[Операция]],Таблица22[[#This Row],[Материал]],Таблица22[[#This Row],[Толщина до…]])</f>
        <v>Зенкование до Ф5ммНержавейка6</v>
      </c>
      <c r="F101" s="33" t="s">
        <v>8</v>
      </c>
      <c r="G101" s="35">
        <f t="shared" ref="G101:G106" si="36">IFERROR(VLOOKUP(F101,$AK$3:$AL$8,2,0),"")</f>
        <v>1750</v>
      </c>
      <c r="H101" s="14">
        <f t="shared" ref="H101:H106" si="37">IFERROR(CEILING((G101/3600)*I101,0.5),"")</f>
        <v>22</v>
      </c>
      <c r="I101" s="15">
        <v>45</v>
      </c>
    </row>
    <row r="102" spans="1:9" ht="20.100000000000001" customHeight="1" x14ac:dyDescent="0.25">
      <c r="A102" s="26">
        <v>100</v>
      </c>
      <c r="B102" s="13" t="s">
        <v>28</v>
      </c>
      <c r="C102" s="13" t="s">
        <v>19</v>
      </c>
      <c r="D102" s="34">
        <v>6</v>
      </c>
      <c r="E102" s="34" t="str">
        <f>CONCATENATE(Таблица22[[#This Row],[Операция]],Таблица22[[#This Row],[Материал]],Таблица22[[#This Row],[Толщина до…]])</f>
        <v>Зенкование до Ф12ммНержавейка6</v>
      </c>
      <c r="F102" s="33" t="s">
        <v>8</v>
      </c>
      <c r="G102" s="35">
        <f t="shared" si="36"/>
        <v>1750</v>
      </c>
      <c r="H102" s="14">
        <f t="shared" si="37"/>
        <v>24.5</v>
      </c>
      <c r="I102" s="15">
        <v>50</v>
      </c>
    </row>
    <row r="103" spans="1:9" ht="20.100000000000001" customHeight="1" x14ac:dyDescent="0.25">
      <c r="A103" s="26">
        <v>101</v>
      </c>
      <c r="B103" s="13" t="s">
        <v>33</v>
      </c>
      <c r="C103" s="13" t="s">
        <v>19</v>
      </c>
      <c r="D103" s="34">
        <v>6</v>
      </c>
      <c r="E103" s="34" t="str">
        <f>CONCATENATE(Таблица22[[#This Row],[Операция]],Таблица22[[#This Row],[Материал]],Таблица22[[#This Row],[Толщина до…]])</f>
        <v>Зенкование  до Ф20ммНержавейка6</v>
      </c>
      <c r="F103" s="33" t="s">
        <v>8</v>
      </c>
      <c r="G103" s="35">
        <f t="shared" si="36"/>
        <v>1750</v>
      </c>
      <c r="H103" s="14">
        <f t="shared" si="37"/>
        <v>27</v>
      </c>
      <c r="I103" s="15">
        <v>55</v>
      </c>
    </row>
    <row r="104" spans="1:9" ht="20.100000000000001" customHeight="1" x14ac:dyDescent="0.25">
      <c r="A104" s="26">
        <v>102</v>
      </c>
      <c r="B104" s="13" t="s">
        <v>27</v>
      </c>
      <c r="C104" s="13" t="s">
        <v>19</v>
      </c>
      <c r="D104" s="34">
        <v>8</v>
      </c>
      <c r="E104" s="34" t="str">
        <f>CONCATENATE(Таблица22[[#This Row],[Операция]],Таблица22[[#This Row],[Материал]],Таблица22[[#This Row],[Толщина до…]])</f>
        <v>Зенкование до Ф5ммНержавейка8</v>
      </c>
      <c r="F104" s="33" t="s">
        <v>8</v>
      </c>
      <c r="G104" s="35">
        <f t="shared" si="36"/>
        <v>1750</v>
      </c>
      <c r="H104" s="14">
        <f t="shared" si="37"/>
        <v>24.5</v>
      </c>
      <c r="I104" s="15">
        <v>50</v>
      </c>
    </row>
    <row r="105" spans="1:9" ht="20.100000000000001" customHeight="1" x14ac:dyDescent="0.25">
      <c r="A105" s="26">
        <v>103</v>
      </c>
      <c r="B105" s="13" t="s">
        <v>28</v>
      </c>
      <c r="C105" s="13" t="s">
        <v>19</v>
      </c>
      <c r="D105" s="34">
        <v>8</v>
      </c>
      <c r="E105" s="34" t="str">
        <f>CONCATENATE(Таблица22[[#This Row],[Операция]],Таблица22[[#This Row],[Материал]],Таблица22[[#This Row],[Толщина до…]])</f>
        <v>Зенкование до Ф12ммНержавейка8</v>
      </c>
      <c r="F105" s="33" t="s">
        <v>8</v>
      </c>
      <c r="G105" s="35">
        <f t="shared" si="36"/>
        <v>1750</v>
      </c>
      <c r="H105" s="14">
        <f t="shared" si="37"/>
        <v>27</v>
      </c>
      <c r="I105" s="15">
        <v>55</v>
      </c>
    </row>
    <row r="106" spans="1:9" ht="20.100000000000001" customHeight="1" x14ac:dyDescent="0.25">
      <c r="A106" s="26">
        <v>104</v>
      </c>
      <c r="B106" s="13" t="s">
        <v>33</v>
      </c>
      <c r="C106" s="13" t="s">
        <v>19</v>
      </c>
      <c r="D106" s="34">
        <v>8</v>
      </c>
      <c r="E106" s="34" t="str">
        <f>CONCATENATE(Таблица22[[#This Row],[Операция]],Таблица22[[#This Row],[Материал]],Таблица22[[#This Row],[Толщина до…]])</f>
        <v>Зенкование  до Ф20ммНержавейка8</v>
      </c>
      <c r="F106" s="33" t="s">
        <v>8</v>
      </c>
      <c r="G106" s="35">
        <f t="shared" si="36"/>
        <v>1750</v>
      </c>
      <c r="H106" s="14">
        <f t="shared" si="37"/>
        <v>29.5</v>
      </c>
      <c r="I106" s="15">
        <v>60</v>
      </c>
    </row>
    <row r="107" spans="1:9" ht="20.100000000000001" customHeight="1" x14ac:dyDescent="0.25">
      <c r="A107" s="26">
        <v>105</v>
      </c>
      <c r="B107" s="13" t="s">
        <v>27</v>
      </c>
      <c r="C107" s="13" t="s">
        <v>19</v>
      </c>
      <c r="D107" s="34">
        <v>12</v>
      </c>
      <c r="E107" s="34" t="str">
        <f>CONCATENATE(Таблица22[[#This Row],[Операция]],Таблица22[[#This Row],[Материал]],Таблица22[[#This Row],[Толщина до…]])</f>
        <v>Зенкование до Ф5ммНержавейка12</v>
      </c>
      <c r="F107" s="33" t="s">
        <v>8</v>
      </c>
      <c r="G107" s="35">
        <f t="shared" si="28"/>
        <v>1750</v>
      </c>
      <c r="H107" s="14">
        <f t="shared" si="31"/>
        <v>32</v>
      </c>
      <c r="I107" s="15">
        <v>65</v>
      </c>
    </row>
    <row r="108" spans="1:9" ht="20.100000000000001" customHeight="1" x14ac:dyDescent="0.25">
      <c r="A108" s="26">
        <v>106</v>
      </c>
      <c r="B108" s="13" t="s">
        <v>28</v>
      </c>
      <c r="C108" s="13" t="s">
        <v>19</v>
      </c>
      <c r="D108" s="34">
        <v>12</v>
      </c>
      <c r="E108" s="34" t="str">
        <f>CONCATENATE(Таблица22[[#This Row],[Операция]],Таблица22[[#This Row],[Материал]],Таблица22[[#This Row],[Толщина до…]])</f>
        <v>Зенкование до Ф12ммНержавейка12</v>
      </c>
      <c r="F108" s="33" t="s">
        <v>8</v>
      </c>
      <c r="G108" s="35">
        <f t="shared" si="28"/>
        <v>1750</v>
      </c>
      <c r="H108" s="14">
        <f t="shared" si="31"/>
        <v>34.5</v>
      </c>
      <c r="I108" s="15">
        <v>70</v>
      </c>
    </row>
    <row r="109" spans="1:9" ht="20.100000000000001" customHeight="1" x14ac:dyDescent="0.25">
      <c r="A109" s="26">
        <v>107</v>
      </c>
      <c r="B109" s="13" t="s">
        <v>33</v>
      </c>
      <c r="C109" s="13" t="s">
        <v>19</v>
      </c>
      <c r="D109" s="34">
        <v>12</v>
      </c>
      <c r="E109" s="34" t="str">
        <f>CONCATENATE(Таблица22[[#This Row],[Операция]],Таблица22[[#This Row],[Материал]],Таблица22[[#This Row],[Толщина до…]])</f>
        <v>Зенкование  до Ф20ммНержавейка12</v>
      </c>
      <c r="F109" s="33" t="s">
        <v>8</v>
      </c>
      <c r="G109" s="35">
        <f t="shared" si="28"/>
        <v>1750</v>
      </c>
      <c r="H109" s="14">
        <f t="shared" si="31"/>
        <v>36.5</v>
      </c>
      <c r="I109" s="15">
        <v>75</v>
      </c>
    </row>
    <row r="110" spans="1:9" ht="20.100000000000001" customHeight="1" x14ac:dyDescent="0.25">
      <c r="A110" s="26">
        <v>108</v>
      </c>
      <c r="B110" s="13" t="s">
        <v>112</v>
      </c>
      <c r="C110" s="13" t="s">
        <v>16</v>
      </c>
      <c r="D110" s="34">
        <v>3</v>
      </c>
      <c r="E110" s="34" t="str">
        <f>CONCATENATE(Таблица22[[#This Row],[Операция]],Таблица22[[#This Row],[Материал]],Таблица22[[#This Row],[Толщина до…]])</f>
        <v>Нарезание резьбы до М6Сталь черная3</v>
      </c>
      <c r="F110" s="33" t="s">
        <v>9</v>
      </c>
      <c r="G110" s="35">
        <f t="shared" si="28"/>
        <v>1450</v>
      </c>
      <c r="H110" s="14">
        <f t="shared" si="31"/>
        <v>14.5</v>
      </c>
      <c r="I110" s="15">
        <v>35</v>
      </c>
    </row>
    <row r="111" spans="1:9" ht="20.100000000000001" customHeight="1" x14ac:dyDescent="0.25">
      <c r="A111" s="26">
        <v>109</v>
      </c>
      <c r="B111" s="13" t="s">
        <v>112</v>
      </c>
      <c r="C111" s="13" t="s">
        <v>16</v>
      </c>
      <c r="D111" s="34">
        <v>6</v>
      </c>
      <c r="E111" s="34" t="str">
        <f>CONCATENATE(Таблица22[[#This Row],[Операция]],Таблица22[[#This Row],[Материал]],Таблица22[[#This Row],[Толщина до…]])</f>
        <v>Нарезание резьбы до М6Сталь черная6</v>
      </c>
      <c r="F111" s="33" t="s">
        <v>9</v>
      </c>
      <c r="G111" s="35">
        <f>IFERROR(VLOOKUP(F111,$AK$3:$AL$8,2,0),"")</f>
        <v>1450</v>
      </c>
      <c r="H111" s="14">
        <f>IFERROR(CEILING((G111/3600)*I111,0.5),"")</f>
        <v>18.5</v>
      </c>
      <c r="I111" s="15">
        <v>45</v>
      </c>
    </row>
    <row r="112" spans="1:9" ht="20.100000000000001" customHeight="1" x14ac:dyDescent="0.25">
      <c r="A112" s="26">
        <v>110</v>
      </c>
      <c r="B112" s="13" t="s">
        <v>112</v>
      </c>
      <c r="C112" s="13" t="s">
        <v>16</v>
      </c>
      <c r="D112" s="34">
        <v>8</v>
      </c>
      <c r="E112" s="34" t="str">
        <f>CONCATENATE(Таблица22[[#This Row],[Операция]],Таблица22[[#This Row],[Материал]],Таблица22[[#This Row],[Толщина до…]])</f>
        <v>Нарезание резьбы до М6Сталь черная8</v>
      </c>
      <c r="F112" s="33" t="s">
        <v>9</v>
      </c>
      <c r="G112" s="35">
        <f>IFERROR(VLOOKUP(F112,$AK$3:$AL$8,2,0),"")</f>
        <v>1450</v>
      </c>
      <c r="H112" s="14">
        <f>IFERROR(CEILING((G112/3600)*I112,0.5),"")</f>
        <v>24.5</v>
      </c>
      <c r="I112" s="15">
        <v>60</v>
      </c>
    </row>
    <row r="113" spans="1:9" ht="20.100000000000001" customHeight="1" x14ac:dyDescent="0.25">
      <c r="A113" s="26">
        <v>111</v>
      </c>
      <c r="B113" s="13" t="s">
        <v>112</v>
      </c>
      <c r="C113" s="13" t="s">
        <v>16</v>
      </c>
      <c r="D113" s="34">
        <v>12</v>
      </c>
      <c r="E113" s="34" t="str">
        <f>CONCATENATE(Таблица22[[#This Row],[Операция]],Таблица22[[#This Row],[Материал]],Таблица22[[#This Row],[Толщина до…]])</f>
        <v>Нарезание резьбы до М6Сталь черная12</v>
      </c>
      <c r="F113" s="33" t="s">
        <v>9</v>
      </c>
      <c r="G113" s="35">
        <f>IFERROR(VLOOKUP(F113,$AK$3:$AL$8,2,0),"")</f>
        <v>1450</v>
      </c>
      <c r="H113" s="14">
        <f>IFERROR(CEILING((G113/3600)*I113,0.5),"")</f>
        <v>32.5</v>
      </c>
      <c r="I113" s="15">
        <v>80</v>
      </c>
    </row>
    <row r="114" spans="1:9" ht="20.100000000000001" customHeight="1" x14ac:dyDescent="0.25">
      <c r="A114" s="26">
        <v>112</v>
      </c>
      <c r="B114" s="13" t="s">
        <v>30</v>
      </c>
      <c r="C114" s="13" t="s">
        <v>16</v>
      </c>
      <c r="D114" s="34">
        <v>6</v>
      </c>
      <c r="E114" s="34" t="str">
        <f>CONCATENATE(Таблица22[[#This Row],[Операция]],Таблица22[[#This Row],[Материал]],Таблица22[[#This Row],[Толщина до…]])</f>
        <v>Нарезание резьбы до М8Сталь черная6</v>
      </c>
      <c r="F114" s="33" t="s">
        <v>9</v>
      </c>
      <c r="G114" s="35">
        <f>IFERROR(VLOOKUP(F114,$AK$3:$AL$8,2,0),"")</f>
        <v>1450</v>
      </c>
      <c r="H114" s="14">
        <f>IFERROR(CEILING((G114/3600)*I114,0.5),"")</f>
        <v>22.5</v>
      </c>
      <c r="I114" s="15">
        <v>55</v>
      </c>
    </row>
    <row r="115" spans="1:9" ht="20.100000000000001" customHeight="1" x14ac:dyDescent="0.25">
      <c r="A115" s="26">
        <v>113</v>
      </c>
      <c r="B115" s="13" t="s">
        <v>30</v>
      </c>
      <c r="C115" s="13" t="s">
        <v>16</v>
      </c>
      <c r="D115" s="34">
        <v>8</v>
      </c>
      <c r="E115" s="34" t="str">
        <f>CONCATENATE(Таблица22[[#This Row],[Операция]],Таблица22[[#This Row],[Материал]],Таблица22[[#This Row],[Толщина до…]])</f>
        <v>Нарезание резьбы до М8Сталь черная8</v>
      </c>
      <c r="F115" s="33" t="s">
        <v>9</v>
      </c>
      <c r="G115" s="35">
        <f t="shared" si="28"/>
        <v>1450</v>
      </c>
      <c r="H115" s="14">
        <f t="shared" si="31"/>
        <v>16.5</v>
      </c>
      <c r="I115" s="15">
        <v>40</v>
      </c>
    </row>
    <row r="116" spans="1:9" ht="20.100000000000001" customHeight="1" x14ac:dyDescent="0.25">
      <c r="A116" s="26">
        <v>114</v>
      </c>
      <c r="B116" s="13" t="s">
        <v>30</v>
      </c>
      <c r="C116" s="13" t="s">
        <v>16</v>
      </c>
      <c r="D116" s="34">
        <v>12</v>
      </c>
      <c r="E116" s="34" t="str">
        <f>CONCATENATE(Таблица22[[#This Row],[Операция]],Таблица22[[#This Row],[Материал]],Таблица22[[#This Row],[Толщина до…]])</f>
        <v>Нарезание резьбы до М8Сталь черная12</v>
      </c>
      <c r="F116" s="33" t="s">
        <v>9</v>
      </c>
      <c r="G116" s="35">
        <f>IFERROR(VLOOKUP(F116,$AK$3:$AL$8,2,0),"")</f>
        <v>1450</v>
      </c>
      <c r="H116" s="14">
        <f>IFERROR(CEILING((G116/3600)*I116,0.5),"")</f>
        <v>18.5</v>
      </c>
      <c r="I116" s="15">
        <v>45</v>
      </c>
    </row>
    <row r="117" spans="1:9" ht="20.100000000000001" customHeight="1" x14ac:dyDescent="0.25">
      <c r="A117" s="26">
        <v>115</v>
      </c>
      <c r="B117" s="13" t="s">
        <v>30</v>
      </c>
      <c r="C117" s="13" t="s">
        <v>16</v>
      </c>
      <c r="D117" s="34">
        <v>16</v>
      </c>
      <c r="E117" s="34" t="str">
        <f>CONCATENATE(Таблица22[[#This Row],[Операция]],Таблица22[[#This Row],[Материал]],Таблица22[[#This Row],[Толщина до…]])</f>
        <v>Нарезание резьбы до М8Сталь черная16</v>
      </c>
      <c r="F117" s="33" t="s">
        <v>9</v>
      </c>
      <c r="G117" s="35">
        <f>IFERROR(VLOOKUP(F117,$AK$3:$AL$8,2,0),"")</f>
        <v>1450</v>
      </c>
      <c r="H117" s="14">
        <f>IFERROR(CEILING((G117/3600)*I117,0.5),"")</f>
        <v>20.5</v>
      </c>
      <c r="I117" s="15">
        <v>50</v>
      </c>
    </row>
    <row r="118" spans="1:9" ht="20.100000000000001" customHeight="1" x14ac:dyDescent="0.25">
      <c r="A118" s="26">
        <v>116</v>
      </c>
      <c r="B118" s="13" t="s">
        <v>29</v>
      </c>
      <c r="C118" s="13" t="s">
        <v>16</v>
      </c>
      <c r="D118" s="34">
        <v>8</v>
      </c>
      <c r="E118" s="34" t="str">
        <f>CONCATENATE(Таблица22[[#This Row],[Операция]],Таблица22[[#This Row],[Материал]],Таблица22[[#This Row],[Толщина до…]])</f>
        <v>Нарезание резьбы до М12Сталь черная8</v>
      </c>
      <c r="F118" s="33" t="s">
        <v>9</v>
      </c>
      <c r="G118" s="35">
        <f t="shared" si="28"/>
        <v>1450</v>
      </c>
      <c r="H118" s="14">
        <f t="shared" si="31"/>
        <v>24.5</v>
      </c>
      <c r="I118" s="15">
        <v>60</v>
      </c>
    </row>
    <row r="119" spans="1:9" ht="20.100000000000001" customHeight="1" x14ac:dyDescent="0.25">
      <c r="A119" s="26">
        <v>117</v>
      </c>
      <c r="B119" s="13" t="s">
        <v>29</v>
      </c>
      <c r="C119" s="13" t="s">
        <v>16</v>
      </c>
      <c r="D119" s="34">
        <v>12</v>
      </c>
      <c r="E119" s="34" t="str">
        <f>CONCATENATE(Таблица22[[#This Row],[Операция]],Таблица22[[#This Row],[Материал]],Таблица22[[#This Row],[Толщина до…]])</f>
        <v>Нарезание резьбы до М12Сталь черная12</v>
      </c>
      <c r="F119" s="33" t="s">
        <v>9</v>
      </c>
      <c r="G119" s="35">
        <f>IFERROR(VLOOKUP(F119,$AK$3:$AL$8,2,0),"")</f>
        <v>1450</v>
      </c>
      <c r="H119" s="14">
        <f>IFERROR(CEILING((G119/3600)*I119,0.5),"")</f>
        <v>32.5</v>
      </c>
      <c r="I119" s="15">
        <v>80</v>
      </c>
    </row>
    <row r="120" spans="1:9" ht="20.100000000000001" customHeight="1" x14ac:dyDescent="0.25">
      <c r="A120" s="26">
        <v>118</v>
      </c>
      <c r="B120" s="13" t="s">
        <v>29</v>
      </c>
      <c r="C120" s="13" t="s">
        <v>16</v>
      </c>
      <c r="D120" s="34">
        <v>16</v>
      </c>
      <c r="E120" s="34" t="str">
        <f>CONCATENATE(Таблица22[[#This Row],[Операция]],Таблица22[[#This Row],[Материал]],Таблица22[[#This Row],[Толщина до…]])</f>
        <v>Нарезание резьбы до М12Сталь черная16</v>
      </c>
      <c r="F120" s="33" t="s">
        <v>9</v>
      </c>
      <c r="G120" s="35">
        <f t="shared" si="28"/>
        <v>1450</v>
      </c>
      <c r="H120" s="14">
        <f t="shared" si="31"/>
        <v>48.5</v>
      </c>
      <c r="I120" s="15">
        <v>120</v>
      </c>
    </row>
    <row r="121" spans="1:9" ht="20.100000000000001" customHeight="1" x14ac:dyDescent="0.25">
      <c r="A121" s="26">
        <v>119</v>
      </c>
      <c r="B121" s="13" t="s">
        <v>112</v>
      </c>
      <c r="C121" s="13" t="s">
        <v>18</v>
      </c>
      <c r="D121" s="34">
        <v>3</v>
      </c>
      <c r="E121" s="34" t="str">
        <f>CONCATENATE(Таблица22[[#This Row],[Операция]],Таблица22[[#This Row],[Материал]],Таблица22[[#This Row],[Толщина до…]])</f>
        <v>Нарезание резьбы до М6Алюминий3</v>
      </c>
      <c r="F121" s="33" t="s">
        <v>8</v>
      </c>
      <c r="G121" s="35">
        <f>IFERROR(VLOOKUP(F121,$AK$3:$AL$8,2,0),"")</f>
        <v>1750</v>
      </c>
      <c r="H121" s="14">
        <f>IFERROR(CEILING((G121/3600)*I121,0.5),"")</f>
        <v>5</v>
      </c>
      <c r="I121" s="15">
        <v>10</v>
      </c>
    </row>
    <row r="122" spans="1:9" ht="20.100000000000001" customHeight="1" x14ac:dyDescent="0.25">
      <c r="A122" s="26">
        <v>120</v>
      </c>
      <c r="B122" s="13" t="s">
        <v>112</v>
      </c>
      <c r="C122" s="13" t="s">
        <v>18</v>
      </c>
      <c r="D122" s="34">
        <v>6</v>
      </c>
      <c r="E122" s="34" t="str">
        <f>CONCATENATE(Таблица22[[#This Row],[Операция]],Таблица22[[#This Row],[Материал]],Таблица22[[#This Row],[Толщина до…]])</f>
        <v>Нарезание резьбы до М6Алюминий6</v>
      </c>
      <c r="F122" s="33" t="s">
        <v>8</v>
      </c>
      <c r="G122" s="35">
        <f>IFERROR(VLOOKUP(F122,$AK$3:$AL$8,2,0),"")</f>
        <v>1750</v>
      </c>
      <c r="H122" s="14">
        <f>IFERROR(CEILING((G122/3600)*I122,0.5),"")</f>
        <v>7.5</v>
      </c>
      <c r="I122" s="15">
        <v>15</v>
      </c>
    </row>
    <row r="123" spans="1:9" ht="20.100000000000001" customHeight="1" x14ac:dyDescent="0.25">
      <c r="A123" s="26">
        <v>121</v>
      </c>
      <c r="B123" s="13" t="s">
        <v>112</v>
      </c>
      <c r="C123" s="13" t="s">
        <v>18</v>
      </c>
      <c r="D123" s="34">
        <v>8</v>
      </c>
      <c r="E123" s="34" t="str">
        <f>CONCATENATE(Таблица22[[#This Row],[Операция]],Таблица22[[#This Row],[Материал]],Таблица22[[#This Row],[Толщина до…]])</f>
        <v>Нарезание резьбы до М6Алюминий8</v>
      </c>
      <c r="F123" s="33" t="s">
        <v>8</v>
      </c>
      <c r="G123" s="35">
        <f>IFERROR(VLOOKUP(F123,$AK$3:$AL$8,2,0),"")</f>
        <v>1750</v>
      </c>
      <c r="H123" s="14">
        <f>IFERROR(CEILING((G123/3600)*I123,0.5),"")</f>
        <v>10</v>
      </c>
      <c r="I123" s="15">
        <v>20</v>
      </c>
    </row>
    <row r="124" spans="1:9" ht="20.100000000000001" customHeight="1" x14ac:dyDescent="0.25">
      <c r="A124" s="26">
        <v>122</v>
      </c>
      <c r="B124" s="13" t="s">
        <v>112</v>
      </c>
      <c r="C124" s="13" t="s">
        <v>18</v>
      </c>
      <c r="D124" s="34">
        <v>12</v>
      </c>
      <c r="E124" s="34" t="str">
        <f>CONCATENATE(Таблица22[[#This Row],[Операция]],Таблица22[[#This Row],[Материал]],Таблица22[[#This Row],[Толщина до…]])</f>
        <v>Нарезание резьбы до М6Алюминий12</v>
      </c>
      <c r="F124" s="33" t="s">
        <v>8</v>
      </c>
      <c r="G124" s="35">
        <f>IFERROR(VLOOKUP(F124,$AK$3:$AL$8,2,0),"")</f>
        <v>1750</v>
      </c>
      <c r="H124" s="14">
        <f>IFERROR(CEILING((G124/3600)*I124,0.5),"")</f>
        <v>12.5</v>
      </c>
      <c r="I124" s="15">
        <v>25</v>
      </c>
    </row>
    <row r="125" spans="1:9" ht="20.100000000000001" customHeight="1" x14ac:dyDescent="0.25">
      <c r="A125" s="26">
        <v>123</v>
      </c>
      <c r="B125" s="13" t="s">
        <v>112</v>
      </c>
      <c r="C125" s="13" t="s">
        <v>18</v>
      </c>
      <c r="D125" s="34">
        <v>16</v>
      </c>
      <c r="E125" s="34" t="str">
        <f>CONCATENATE(Таблица22[[#This Row],[Операция]],Таблица22[[#This Row],[Материал]],Таблица22[[#This Row],[Толщина до…]])</f>
        <v>Нарезание резьбы до М6Алюминий16</v>
      </c>
      <c r="F125" s="33" t="s">
        <v>8</v>
      </c>
      <c r="G125" s="35">
        <f>IFERROR(VLOOKUP(F125,$AK$3:$AL$8,2,0),"")</f>
        <v>1750</v>
      </c>
      <c r="H125" s="14">
        <f>IFERROR(CEILING((G125/3600)*I125,0.5),"")</f>
        <v>15</v>
      </c>
      <c r="I125" s="15">
        <v>30</v>
      </c>
    </row>
    <row r="126" spans="1:9" ht="20.100000000000001" customHeight="1" x14ac:dyDescent="0.25">
      <c r="A126" s="26">
        <v>124</v>
      </c>
      <c r="B126" s="13" t="s">
        <v>30</v>
      </c>
      <c r="C126" s="13" t="s">
        <v>18</v>
      </c>
      <c r="D126" s="34">
        <v>6</v>
      </c>
      <c r="E126" s="34" t="str">
        <f>CONCATENATE(Таблица22[[#This Row],[Операция]],Таблица22[[#This Row],[Материал]],Таблица22[[#This Row],[Толщина до…]])</f>
        <v>Нарезание резьбы до М8Алюминий6</v>
      </c>
      <c r="F126" s="33" t="s">
        <v>8</v>
      </c>
      <c r="G126" s="35">
        <f t="shared" si="28"/>
        <v>1750</v>
      </c>
      <c r="H126" s="14">
        <f t="shared" si="31"/>
        <v>10</v>
      </c>
      <c r="I126" s="15">
        <v>20</v>
      </c>
    </row>
    <row r="127" spans="1:9" ht="20.100000000000001" customHeight="1" x14ac:dyDescent="0.25">
      <c r="A127" s="26">
        <v>125</v>
      </c>
      <c r="B127" s="13" t="s">
        <v>30</v>
      </c>
      <c r="C127" s="13" t="s">
        <v>18</v>
      </c>
      <c r="D127" s="34">
        <v>8</v>
      </c>
      <c r="E127" s="34" t="str">
        <f>CONCATENATE(Таблица22[[#This Row],[Операция]],Таблица22[[#This Row],[Материал]],Таблица22[[#This Row],[Толщина до…]])</f>
        <v>Нарезание резьбы до М8Алюминий8</v>
      </c>
      <c r="F127" s="33" t="s">
        <v>8</v>
      </c>
      <c r="G127" s="35">
        <f t="shared" ref="G127:G128" si="38">IFERROR(VLOOKUP(F127,$AK$3:$AL$8,2,0),"")</f>
        <v>1750</v>
      </c>
      <c r="H127" s="14">
        <f t="shared" ref="H127:H128" si="39">IFERROR(CEILING((G127/3600)*I127,0.5),"")</f>
        <v>15</v>
      </c>
      <c r="I127" s="15">
        <v>30</v>
      </c>
    </row>
    <row r="128" spans="1:9" ht="20.100000000000001" customHeight="1" x14ac:dyDescent="0.25">
      <c r="A128" s="26">
        <v>126</v>
      </c>
      <c r="B128" s="13" t="s">
        <v>30</v>
      </c>
      <c r="C128" s="13" t="s">
        <v>18</v>
      </c>
      <c r="D128" s="34">
        <v>12</v>
      </c>
      <c r="E128" s="34" t="str">
        <f>CONCATENATE(Таблица22[[#This Row],[Операция]],Таблица22[[#This Row],[Материал]],Таблица22[[#This Row],[Толщина до…]])</f>
        <v>Нарезание резьбы до М8Алюминий12</v>
      </c>
      <c r="F128" s="33" t="s">
        <v>8</v>
      </c>
      <c r="G128" s="35">
        <f t="shared" si="38"/>
        <v>1750</v>
      </c>
      <c r="H128" s="14">
        <f t="shared" si="39"/>
        <v>19.5</v>
      </c>
      <c r="I128" s="15">
        <v>40</v>
      </c>
    </row>
    <row r="129" spans="1:9" ht="20.100000000000001" customHeight="1" x14ac:dyDescent="0.25">
      <c r="A129" s="26">
        <v>127</v>
      </c>
      <c r="B129" s="13" t="s">
        <v>30</v>
      </c>
      <c r="C129" s="13" t="s">
        <v>18</v>
      </c>
      <c r="D129" s="34">
        <v>16</v>
      </c>
      <c r="E129" s="34" t="str">
        <f>CONCATENATE(Таблица22[[#This Row],[Операция]],Таблица22[[#This Row],[Материал]],Таблица22[[#This Row],[Толщина до…]])</f>
        <v>Нарезание резьбы до М8Алюминий16</v>
      </c>
      <c r="F129" s="33" t="s">
        <v>8</v>
      </c>
      <c r="G129" s="35">
        <f t="shared" ref="G129" si="40">IFERROR(VLOOKUP(F129,$AK$3:$AL$8,2,0),"")</f>
        <v>1750</v>
      </c>
      <c r="H129" s="14">
        <f t="shared" ref="H129" si="41">IFERROR(CEILING((G129/3600)*I129,0.5),"")</f>
        <v>24.5</v>
      </c>
      <c r="I129" s="15">
        <v>50</v>
      </c>
    </row>
    <row r="130" spans="1:9" ht="20.100000000000001" customHeight="1" x14ac:dyDescent="0.25">
      <c r="A130" s="26">
        <v>128</v>
      </c>
      <c r="B130" s="13" t="s">
        <v>29</v>
      </c>
      <c r="C130" s="13" t="s">
        <v>18</v>
      </c>
      <c r="D130" s="34">
        <v>8</v>
      </c>
      <c r="E130" s="34" t="str">
        <f>CONCATENATE(Таблица22[[#This Row],[Операция]],Таблица22[[#This Row],[Материал]],Таблица22[[#This Row],[Толщина до…]])</f>
        <v>Нарезание резьбы до М12Алюминий8</v>
      </c>
      <c r="F130" s="33" t="s">
        <v>8</v>
      </c>
      <c r="G130" s="35">
        <f t="shared" si="28"/>
        <v>1750</v>
      </c>
      <c r="H130" s="14">
        <f t="shared" si="31"/>
        <v>15</v>
      </c>
      <c r="I130" s="15">
        <v>30</v>
      </c>
    </row>
    <row r="131" spans="1:9" ht="20.100000000000001" customHeight="1" x14ac:dyDescent="0.25">
      <c r="A131" s="26">
        <v>129</v>
      </c>
      <c r="B131" s="13" t="s">
        <v>29</v>
      </c>
      <c r="C131" s="13" t="s">
        <v>18</v>
      </c>
      <c r="D131" s="34">
        <v>12</v>
      </c>
      <c r="E131" s="34" t="str">
        <f>CONCATENATE(Таблица22[[#This Row],[Операция]],Таблица22[[#This Row],[Материал]],Таблица22[[#This Row],[Толщина до…]])</f>
        <v>Нарезание резьбы до М12Алюминий12</v>
      </c>
      <c r="F131" s="33" t="s">
        <v>8</v>
      </c>
      <c r="G131" s="35">
        <f t="shared" si="28"/>
        <v>1750</v>
      </c>
      <c r="H131" s="14">
        <f t="shared" si="31"/>
        <v>19.5</v>
      </c>
      <c r="I131" s="15">
        <v>40</v>
      </c>
    </row>
    <row r="132" spans="1:9" ht="20.100000000000001" customHeight="1" x14ac:dyDescent="0.25">
      <c r="A132" s="26">
        <v>130</v>
      </c>
      <c r="B132" s="13" t="s">
        <v>29</v>
      </c>
      <c r="C132" s="13" t="s">
        <v>18</v>
      </c>
      <c r="D132" s="34">
        <v>16</v>
      </c>
      <c r="E132" s="34" t="str">
        <f>CONCATENATE(Таблица22[[#This Row],[Операция]],Таблица22[[#This Row],[Материал]],Таблица22[[#This Row],[Толщина до…]])</f>
        <v>Нарезание резьбы до М12Алюминий16</v>
      </c>
      <c r="F132" s="33" t="s">
        <v>8</v>
      </c>
      <c r="G132" s="35">
        <f t="shared" ref="G132:G195" si="42">IFERROR(VLOOKUP(F132,$AK$3:$AL$8,2,0),"")</f>
        <v>1750</v>
      </c>
      <c r="H132" s="14">
        <f t="shared" si="31"/>
        <v>29.5</v>
      </c>
      <c r="I132" s="15">
        <v>60</v>
      </c>
    </row>
    <row r="133" spans="1:9" ht="20.100000000000001" customHeight="1" x14ac:dyDescent="0.25">
      <c r="A133" s="26">
        <v>131</v>
      </c>
      <c r="B133" s="13" t="s">
        <v>112</v>
      </c>
      <c r="C133" s="13" t="s">
        <v>19</v>
      </c>
      <c r="D133" s="34">
        <v>3</v>
      </c>
      <c r="E133" s="34" t="str">
        <f>CONCATENATE(Таблица22[[#This Row],[Операция]],Таблица22[[#This Row],[Материал]],Таблица22[[#This Row],[Толщина до…]])</f>
        <v>Нарезание резьбы до М6Нержавейка3</v>
      </c>
      <c r="F133" s="33" t="s">
        <v>8</v>
      </c>
      <c r="G133" s="35">
        <f>IFERROR(VLOOKUP(F133,$AK$3:$AL$8,2,0),"")</f>
        <v>1750</v>
      </c>
      <c r="H133" s="14">
        <f>IFERROR(CEILING((G133/3600)*I133,0.5),"")</f>
        <v>10</v>
      </c>
      <c r="I133" s="15">
        <v>20</v>
      </c>
    </row>
    <row r="134" spans="1:9" ht="20.100000000000001" customHeight="1" x14ac:dyDescent="0.25">
      <c r="A134" s="26">
        <v>132</v>
      </c>
      <c r="B134" s="13" t="s">
        <v>112</v>
      </c>
      <c r="C134" s="13" t="s">
        <v>19</v>
      </c>
      <c r="D134" s="34">
        <v>6</v>
      </c>
      <c r="E134" s="34" t="str">
        <f>CONCATENATE(Таблица22[[#This Row],[Операция]],Таблица22[[#This Row],[Материал]],Таблица22[[#This Row],[Толщина до…]])</f>
        <v>Нарезание резьбы до М6Нержавейка6</v>
      </c>
      <c r="F134" s="33" t="s">
        <v>8</v>
      </c>
      <c r="G134" s="35">
        <f>IFERROR(VLOOKUP(F134,$AK$3:$AL$8,2,0),"")</f>
        <v>1750</v>
      </c>
      <c r="H134" s="14">
        <f>IFERROR(CEILING((G134/3600)*I134,0.5),"")</f>
        <v>12.5</v>
      </c>
      <c r="I134" s="15">
        <v>25</v>
      </c>
    </row>
    <row r="135" spans="1:9" ht="20.100000000000001" customHeight="1" x14ac:dyDescent="0.25">
      <c r="A135" s="26">
        <v>133</v>
      </c>
      <c r="B135" s="13" t="s">
        <v>112</v>
      </c>
      <c r="C135" s="13" t="s">
        <v>19</v>
      </c>
      <c r="D135" s="34">
        <v>8</v>
      </c>
      <c r="E135" s="34" t="str">
        <f>CONCATENATE(Таблица22[[#This Row],[Операция]],Таблица22[[#This Row],[Материал]],Таблица22[[#This Row],[Толщина до…]])</f>
        <v>Нарезание резьбы до М6Нержавейка8</v>
      </c>
      <c r="F135" s="33" t="s">
        <v>8</v>
      </c>
      <c r="G135" s="35">
        <f>IFERROR(VLOOKUP(F135,$AK$3:$AL$8,2,0),"")</f>
        <v>1750</v>
      </c>
      <c r="H135" s="14">
        <f>IFERROR(CEILING((G135/3600)*I135,0.5),"")</f>
        <v>15</v>
      </c>
      <c r="I135" s="15">
        <v>30</v>
      </c>
    </row>
    <row r="136" spans="1:9" ht="20.100000000000001" customHeight="1" x14ac:dyDescent="0.25">
      <c r="A136" s="26">
        <v>134</v>
      </c>
      <c r="B136" s="13" t="s">
        <v>112</v>
      </c>
      <c r="C136" s="13" t="s">
        <v>19</v>
      </c>
      <c r="D136" s="34">
        <v>12</v>
      </c>
      <c r="E136" s="34" t="str">
        <f>CONCATENATE(Таблица22[[#This Row],[Операция]],Таблица22[[#This Row],[Материал]],Таблица22[[#This Row],[Толщина до…]])</f>
        <v>Нарезание резьбы до М6Нержавейка12</v>
      </c>
      <c r="F136" s="33" t="s">
        <v>8</v>
      </c>
      <c r="G136" s="35">
        <f>IFERROR(VLOOKUP(F136,$AK$3:$AL$8,2,0),"")</f>
        <v>1750</v>
      </c>
      <c r="H136" s="14">
        <f>IFERROR(CEILING((G136/3600)*I136,0.5),"")</f>
        <v>19.5</v>
      </c>
      <c r="I136" s="15">
        <v>40</v>
      </c>
    </row>
    <row r="137" spans="1:9" ht="20.100000000000001" customHeight="1" x14ac:dyDescent="0.25">
      <c r="A137" s="26">
        <v>135</v>
      </c>
      <c r="B137" s="13" t="s">
        <v>112</v>
      </c>
      <c r="C137" s="13" t="s">
        <v>19</v>
      </c>
      <c r="D137" s="34">
        <v>16</v>
      </c>
      <c r="E137" s="34" t="str">
        <f>CONCATENATE(Таблица22[[#This Row],[Операция]],Таблица22[[#This Row],[Материал]],Таблица22[[#This Row],[Толщина до…]])</f>
        <v>Нарезание резьбы до М6Нержавейка16</v>
      </c>
      <c r="F137" s="33" t="s">
        <v>8</v>
      </c>
      <c r="G137" s="35">
        <f>IFERROR(VLOOKUP(F137,$AK$3:$AL$8,2,0),"")</f>
        <v>1750</v>
      </c>
      <c r="H137" s="14">
        <f>IFERROR(CEILING((G137/3600)*I137,0.5),"")</f>
        <v>29.5</v>
      </c>
      <c r="I137" s="15">
        <v>60</v>
      </c>
    </row>
    <row r="138" spans="1:9" ht="20.100000000000001" customHeight="1" x14ac:dyDescent="0.25">
      <c r="A138" s="26">
        <v>136</v>
      </c>
      <c r="B138" s="13" t="s">
        <v>30</v>
      </c>
      <c r="C138" s="13" t="s">
        <v>19</v>
      </c>
      <c r="D138" s="34">
        <v>6</v>
      </c>
      <c r="E138" s="34" t="str">
        <f>CONCATENATE(Таблица22[[#This Row],[Операция]],Таблица22[[#This Row],[Материал]],Таблица22[[#This Row],[Толщина до…]])</f>
        <v>Нарезание резьбы до М8Нержавейка6</v>
      </c>
      <c r="F138" s="33" t="s">
        <v>8</v>
      </c>
      <c r="G138" s="35">
        <f t="shared" si="42"/>
        <v>1750</v>
      </c>
      <c r="H138" s="14">
        <f t="shared" si="31"/>
        <v>19.5</v>
      </c>
      <c r="I138" s="15">
        <v>40</v>
      </c>
    </row>
    <row r="139" spans="1:9" ht="20.100000000000001" customHeight="1" x14ac:dyDescent="0.25">
      <c r="A139" s="26">
        <v>137</v>
      </c>
      <c r="B139" s="13" t="s">
        <v>30</v>
      </c>
      <c r="C139" s="13" t="s">
        <v>19</v>
      </c>
      <c r="D139" s="34">
        <v>8</v>
      </c>
      <c r="E139" s="34" t="str">
        <f>CONCATENATE(Таблица22[[#This Row],[Операция]],Таблица22[[#This Row],[Материал]],Таблица22[[#This Row],[Толщина до…]])</f>
        <v>Нарезание резьбы до М8Нержавейка8</v>
      </c>
      <c r="F139" s="33" t="s">
        <v>8</v>
      </c>
      <c r="G139" s="35">
        <f t="shared" si="42"/>
        <v>1750</v>
      </c>
      <c r="H139" s="14">
        <f t="shared" ref="H139:H191" si="43">IFERROR(CEILING((G139/3600)*I139,0.5),"")</f>
        <v>29.5</v>
      </c>
      <c r="I139" s="15">
        <v>60</v>
      </c>
    </row>
    <row r="140" spans="1:9" ht="20.100000000000001" customHeight="1" x14ac:dyDescent="0.25">
      <c r="A140" s="26">
        <v>138</v>
      </c>
      <c r="B140" s="13" t="s">
        <v>30</v>
      </c>
      <c r="C140" s="13" t="s">
        <v>19</v>
      </c>
      <c r="D140" s="34">
        <v>12</v>
      </c>
      <c r="E140" s="34" t="str">
        <f>CONCATENATE(Таблица22[[#This Row],[Операция]],Таблица22[[#This Row],[Материал]],Таблица22[[#This Row],[Толщина до…]])</f>
        <v>Нарезание резьбы до М8Нержавейка12</v>
      </c>
      <c r="F140" s="33" t="s">
        <v>8</v>
      </c>
      <c r="G140" s="35">
        <f>IFERROR(VLOOKUP(F140,$AK$3:$AL$8,2,0),"")</f>
        <v>1750</v>
      </c>
      <c r="H140" s="14">
        <f>IFERROR(CEILING((G140/3600)*I140,0.5),"")</f>
        <v>44</v>
      </c>
      <c r="I140" s="15">
        <v>90</v>
      </c>
    </row>
    <row r="141" spans="1:9" ht="20.100000000000001" customHeight="1" x14ac:dyDescent="0.25">
      <c r="A141" s="26">
        <v>139</v>
      </c>
      <c r="B141" s="13" t="s">
        <v>30</v>
      </c>
      <c r="C141" s="13" t="s">
        <v>19</v>
      </c>
      <c r="D141" s="34">
        <v>16</v>
      </c>
      <c r="E141" s="34" t="str">
        <f>CONCATENATE(Таблица22[[#This Row],[Операция]],Таблица22[[#This Row],[Материал]],Таблица22[[#This Row],[Толщина до…]])</f>
        <v>Нарезание резьбы до М8Нержавейка16</v>
      </c>
      <c r="F141" s="33" t="s">
        <v>8</v>
      </c>
      <c r="G141" s="35">
        <f>IFERROR(VLOOKUP(F141,$AK$3:$AL$8,2,0),"")</f>
        <v>1750</v>
      </c>
      <c r="H141" s="14">
        <f>IFERROR(CEILING((G141/3600)*I141,0.5),"")</f>
        <v>58.5</v>
      </c>
      <c r="I141" s="15">
        <v>120</v>
      </c>
    </row>
    <row r="142" spans="1:9" ht="20.100000000000001" customHeight="1" x14ac:dyDescent="0.25">
      <c r="A142" s="26">
        <v>140</v>
      </c>
      <c r="B142" s="13" t="s">
        <v>29</v>
      </c>
      <c r="C142" s="13" t="s">
        <v>19</v>
      </c>
      <c r="D142" s="34">
        <v>6</v>
      </c>
      <c r="E142" s="34" t="str">
        <f>CONCATENATE(Таблица22[[#This Row],[Операция]],Таблица22[[#This Row],[Материал]],Таблица22[[#This Row],[Толщина до…]])</f>
        <v>Нарезание резьбы до М12Нержавейка6</v>
      </c>
      <c r="F142" s="33" t="s">
        <v>8</v>
      </c>
      <c r="G142" s="35">
        <f>IFERROR(VLOOKUP(F142,$AK$3:$AL$8,2,0),"")</f>
        <v>1750</v>
      </c>
      <c r="H142" s="14">
        <f>IFERROR(CEILING((G142/3600)*I142,0.5),"")</f>
        <v>29.5</v>
      </c>
      <c r="I142" s="15">
        <v>60</v>
      </c>
    </row>
    <row r="143" spans="1:9" ht="20.100000000000001" customHeight="1" x14ac:dyDescent="0.25">
      <c r="A143" s="26">
        <v>141</v>
      </c>
      <c r="B143" s="13" t="s">
        <v>29</v>
      </c>
      <c r="C143" s="13" t="s">
        <v>19</v>
      </c>
      <c r="D143" s="34">
        <v>8</v>
      </c>
      <c r="E143" s="34" t="str">
        <f>CONCATENATE(Таблица22[[#This Row],[Операция]],Таблица22[[#This Row],[Материал]],Таблица22[[#This Row],[Толщина до…]])</f>
        <v>Нарезание резьбы до М12Нержавейка8</v>
      </c>
      <c r="F143" s="33" t="s">
        <v>8</v>
      </c>
      <c r="G143" s="35">
        <f t="shared" si="42"/>
        <v>1750</v>
      </c>
      <c r="H143" s="14">
        <f t="shared" si="43"/>
        <v>34.5</v>
      </c>
      <c r="I143" s="15">
        <v>70</v>
      </c>
    </row>
    <row r="144" spans="1:9" ht="20.100000000000001" customHeight="1" x14ac:dyDescent="0.25">
      <c r="A144" s="26">
        <v>142</v>
      </c>
      <c r="B144" s="13" t="s">
        <v>29</v>
      </c>
      <c r="C144" s="13" t="s">
        <v>19</v>
      </c>
      <c r="D144" s="34">
        <v>12</v>
      </c>
      <c r="E144" s="34" t="str">
        <f>CONCATENATE(Таблица22[[#This Row],[Операция]],Таблица22[[#This Row],[Материал]],Таблица22[[#This Row],[Толщина до…]])</f>
        <v>Нарезание резьбы до М12Нержавейка12</v>
      </c>
      <c r="F144" s="33" t="s">
        <v>8</v>
      </c>
      <c r="G144" s="35">
        <f t="shared" si="42"/>
        <v>1750</v>
      </c>
      <c r="H144" s="14">
        <f t="shared" si="43"/>
        <v>73</v>
      </c>
      <c r="I144" s="15">
        <v>150</v>
      </c>
    </row>
    <row r="145" spans="1:9" ht="20.100000000000001" customHeight="1" x14ac:dyDescent="0.25">
      <c r="A145" s="26">
        <v>143</v>
      </c>
      <c r="B145" s="13" t="s">
        <v>29</v>
      </c>
      <c r="C145" s="13" t="s">
        <v>19</v>
      </c>
      <c r="D145" s="34">
        <v>16</v>
      </c>
      <c r="E145" s="34" t="str">
        <f>CONCATENATE(Таблица22[[#This Row],[Операция]],Таблица22[[#This Row],[Материал]],Таблица22[[#This Row],[Толщина до…]])</f>
        <v>Нарезание резьбы до М12Нержавейка16</v>
      </c>
      <c r="F145" s="33" t="s">
        <v>8</v>
      </c>
      <c r="G145" s="35">
        <f t="shared" ref="G145:G151" si="44">IFERROR(VLOOKUP(F145,$AK$3:$AL$8,2,0),"")</f>
        <v>1750</v>
      </c>
      <c r="H145" s="14">
        <f t="shared" ref="H145:H151" si="45">IFERROR(CEILING((G145/3600)*I145,0.5),"")</f>
        <v>87.5</v>
      </c>
      <c r="I145" s="15">
        <v>180</v>
      </c>
    </row>
    <row r="146" spans="1:9" ht="20.100000000000001" customHeight="1" x14ac:dyDescent="0.25">
      <c r="A146" s="26">
        <v>144</v>
      </c>
      <c r="B146" s="13" t="s">
        <v>118</v>
      </c>
      <c r="C146" s="13" t="s">
        <v>16</v>
      </c>
      <c r="D146" s="34">
        <v>3</v>
      </c>
      <c r="E146" s="34" t="str">
        <f>CONCATENATE(Таблица22[[#This Row],[Операция]],Таблица22[[#This Row],[Материал]],Таблица22[[#This Row],[Толщина до…]])</f>
        <v>Резьба полная до М6Сталь черная3</v>
      </c>
      <c r="F146" s="33" t="s">
        <v>9</v>
      </c>
      <c r="G146" s="35">
        <f t="shared" si="44"/>
        <v>1450</v>
      </c>
      <c r="H146" s="14">
        <f t="shared" si="45"/>
        <v>40.5</v>
      </c>
      <c r="I146" s="15">
        <v>100</v>
      </c>
    </row>
    <row r="147" spans="1:9" ht="20.100000000000001" customHeight="1" x14ac:dyDescent="0.25">
      <c r="A147" s="26">
        <v>145</v>
      </c>
      <c r="B147" s="13" t="s">
        <v>118</v>
      </c>
      <c r="C147" s="13" t="s">
        <v>16</v>
      </c>
      <c r="D147" s="34">
        <v>6</v>
      </c>
      <c r="E147" s="34" t="str">
        <f>CONCATENATE(Таблица22[[#This Row],[Операция]],Таблица22[[#This Row],[Материал]],Таблица22[[#This Row],[Толщина до…]])</f>
        <v>Резьба полная до М6Сталь черная6</v>
      </c>
      <c r="F147" s="33" t="s">
        <v>9</v>
      </c>
      <c r="G147" s="35">
        <f t="shared" si="44"/>
        <v>1450</v>
      </c>
      <c r="H147" s="14">
        <f t="shared" si="45"/>
        <v>44.5</v>
      </c>
      <c r="I147" s="15">
        <v>110</v>
      </c>
    </row>
    <row r="148" spans="1:9" ht="20.100000000000001" customHeight="1" x14ac:dyDescent="0.25">
      <c r="A148" s="26">
        <v>146</v>
      </c>
      <c r="B148" s="13" t="s">
        <v>118</v>
      </c>
      <c r="C148" s="13" t="s">
        <v>16</v>
      </c>
      <c r="D148" s="34">
        <v>8</v>
      </c>
      <c r="E148" s="34" t="str">
        <f>CONCATENATE(Таблица22[[#This Row],[Операция]],Таблица22[[#This Row],[Материал]],Таблица22[[#This Row],[Толщина до…]])</f>
        <v>Резьба полная до М6Сталь черная8</v>
      </c>
      <c r="F148" s="33" t="s">
        <v>9</v>
      </c>
      <c r="G148" s="35">
        <f t="shared" si="44"/>
        <v>1450</v>
      </c>
      <c r="H148" s="14">
        <f t="shared" si="45"/>
        <v>48.5</v>
      </c>
      <c r="I148" s="15">
        <v>120</v>
      </c>
    </row>
    <row r="149" spans="1:9" ht="20.100000000000001" customHeight="1" x14ac:dyDescent="0.25">
      <c r="A149" s="26">
        <v>147</v>
      </c>
      <c r="B149" s="13" t="s">
        <v>118</v>
      </c>
      <c r="C149" s="13" t="s">
        <v>16</v>
      </c>
      <c r="D149" s="34">
        <v>12</v>
      </c>
      <c r="E149" s="34" t="str">
        <f>CONCATENATE(Таблица22[[#This Row],[Операция]],Таблица22[[#This Row],[Материал]],Таблица22[[#This Row],[Толщина до…]])</f>
        <v>Резьба полная до М6Сталь черная12</v>
      </c>
      <c r="F149" s="33" t="s">
        <v>9</v>
      </c>
      <c r="G149" s="35">
        <f t="shared" si="44"/>
        <v>1450</v>
      </c>
      <c r="H149" s="14">
        <f t="shared" si="45"/>
        <v>60.5</v>
      </c>
      <c r="I149" s="15">
        <v>150</v>
      </c>
    </row>
    <row r="150" spans="1:9" ht="20.100000000000001" customHeight="1" x14ac:dyDescent="0.25">
      <c r="A150" s="26">
        <v>148</v>
      </c>
      <c r="B150" s="13" t="s">
        <v>118</v>
      </c>
      <c r="C150" s="13" t="s">
        <v>16</v>
      </c>
      <c r="D150" s="34">
        <v>16</v>
      </c>
      <c r="E150" s="34" t="str">
        <f>CONCATENATE(Таблица22[[#This Row],[Операция]],Таблица22[[#This Row],[Материал]],Таблица22[[#This Row],[Толщина до…]])</f>
        <v>Резьба полная до М6Сталь черная16</v>
      </c>
      <c r="F150" s="33" t="s">
        <v>9</v>
      </c>
      <c r="G150" s="35">
        <f t="shared" si="44"/>
        <v>1450</v>
      </c>
      <c r="H150" s="14">
        <f t="shared" si="45"/>
        <v>72.5</v>
      </c>
      <c r="I150" s="15">
        <v>180</v>
      </c>
    </row>
    <row r="151" spans="1:9" ht="20.100000000000001" customHeight="1" x14ac:dyDescent="0.25">
      <c r="A151" s="26">
        <v>149</v>
      </c>
      <c r="B151" s="13" t="s">
        <v>31</v>
      </c>
      <c r="C151" s="13" t="s">
        <v>16</v>
      </c>
      <c r="D151" s="34">
        <v>6</v>
      </c>
      <c r="E151" s="34" t="str">
        <f>CONCATENATE(Таблица22[[#This Row],[Операция]],Таблица22[[#This Row],[Материал]],Таблица22[[#This Row],[Толщина до…]])</f>
        <v>Резьба полная до М8Сталь черная6</v>
      </c>
      <c r="F151" s="33" t="s">
        <v>9</v>
      </c>
      <c r="G151" s="35">
        <f t="shared" si="44"/>
        <v>1450</v>
      </c>
      <c r="H151" s="14">
        <f t="shared" si="45"/>
        <v>48.5</v>
      </c>
      <c r="I151" s="15">
        <v>120</v>
      </c>
    </row>
    <row r="152" spans="1:9" ht="20.100000000000001" customHeight="1" x14ac:dyDescent="0.25">
      <c r="A152" s="26">
        <v>150</v>
      </c>
      <c r="B152" s="13" t="s">
        <v>31</v>
      </c>
      <c r="C152" s="13" t="s">
        <v>16</v>
      </c>
      <c r="D152" s="34">
        <v>8</v>
      </c>
      <c r="E152" s="34" t="str">
        <f>CONCATENATE(Таблица22[[#This Row],[Операция]],Таблица22[[#This Row],[Материал]],Таблица22[[#This Row],[Толщина до…]])</f>
        <v>Резьба полная до М8Сталь черная8</v>
      </c>
      <c r="F152" s="33" t="s">
        <v>9</v>
      </c>
      <c r="G152" s="35">
        <f t="shared" si="42"/>
        <v>1450</v>
      </c>
      <c r="H152" s="14">
        <f t="shared" si="43"/>
        <v>56.5</v>
      </c>
      <c r="I152" s="15">
        <v>140</v>
      </c>
    </row>
    <row r="153" spans="1:9" ht="20.100000000000001" customHeight="1" x14ac:dyDescent="0.25">
      <c r="A153" s="26">
        <v>151</v>
      </c>
      <c r="B153" s="13" t="s">
        <v>31</v>
      </c>
      <c r="C153" s="13" t="s">
        <v>16</v>
      </c>
      <c r="D153" s="34">
        <v>12</v>
      </c>
      <c r="E153" s="34" t="str">
        <f>CONCATENATE(Таблица22[[#This Row],[Операция]],Таблица22[[#This Row],[Материал]],Таблица22[[#This Row],[Толщина до…]])</f>
        <v>Резьба полная до М8Сталь черная12</v>
      </c>
      <c r="F153" s="33" t="s">
        <v>9</v>
      </c>
      <c r="G153" s="35">
        <f t="shared" si="42"/>
        <v>1450</v>
      </c>
      <c r="H153" s="14">
        <f t="shared" si="43"/>
        <v>60.5</v>
      </c>
      <c r="I153" s="15">
        <v>150</v>
      </c>
    </row>
    <row r="154" spans="1:9" ht="20.100000000000001" customHeight="1" x14ac:dyDescent="0.25">
      <c r="A154" s="26">
        <v>152</v>
      </c>
      <c r="B154" s="13" t="s">
        <v>31</v>
      </c>
      <c r="C154" s="13" t="s">
        <v>16</v>
      </c>
      <c r="D154" s="34">
        <v>16</v>
      </c>
      <c r="E154" s="34" t="str">
        <f>CONCATENATE(Таблица22[[#This Row],[Операция]],Таблица22[[#This Row],[Материал]],Таблица22[[#This Row],[Толщина до…]])</f>
        <v>Резьба полная до М8Сталь черная16</v>
      </c>
      <c r="F154" s="33" t="s">
        <v>9</v>
      </c>
      <c r="G154" s="35">
        <f>IFERROR(VLOOKUP(F154,$AK$3:$AL$8,2,0),"")</f>
        <v>1450</v>
      </c>
      <c r="H154" s="14">
        <f>IFERROR(CEILING((G154/3600)*I154,0.5),"")</f>
        <v>77</v>
      </c>
      <c r="I154" s="15">
        <v>190</v>
      </c>
    </row>
    <row r="155" spans="1:9" ht="20.100000000000001" customHeight="1" x14ac:dyDescent="0.25">
      <c r="A155" s="26">
        <v>153</v>
      </c>
      <c r="B155" s="13" t="s">
        <v>34</v>
      </c>
      <c r="C155" s="13" t="s">
        <v>16</v>
      </c>
      <c r="D155" s="34">
        <v>6</v>
      </c>
      <c r="E155" s="34" t="str">
        <f>CONCATENATE(Таблица22[[#This Row],[Операция]],Таблица22[[#This Row],[Материал]],Таблица22[[#This Row],[Толщина до…]])</f>
        <v>Резьба полная до М12Сталь черная6</v>
      </c>
      <c r="F155" s="33" t="s">
        <v>9</v>
      </c>
      <c r="G155" s="35">
        <f>IFERROR(VLOOKUP(F155,$AK$3:$AL$8,2,0),"")</f>
        <v>1450</v>
      </c>
      <c r="H155" s="14">
        <f>IFERROR(CEILING((G155/3600)*I155,0.5),"")</f>
        <v>72.5</v>
      </c>
      <c r="I155" s="15">
        <v>180</v>
      </c>
    </row>
    <row r="156" spans="1:9" ht="20.100000000000001" customHeight="1" x14ac:dyDescent="0.25">
      <c r="A156" s="26">
        <v>154</v>
      </c>
      <c r="B156" s="13" t="s">
        <v>34</v>
      </c>
      <c r="C156" s="13" t="s">
        <v>16</v>
      </c>
      <c r="D156" s="34">
        <v>8</v>
      </c>
      <c r="E156" s="34" t="str">
        <f>CONCATENATE(Таблица22[[#This Row],[Операция]],Таблица22[[#This Row],[Материал]],Таблица22[[#This Row],[Толщина до…]])</f>
        <v>Резьба полная до М12Сталь черная8</v>
      </c>
      <c r="F156" s="33" t="s">
        <v>9</v>
      </c>
      <c r="G156" s="35">
        <f t="shared" si="42"/>
        <v>1450</v>
      </c>
      <c r="H156" s="14">
        <f t="shared" si="43"/>
        <v>81</v>
      </c>
      <c r="I156" s="15">
        <v>200</v>
      </c>
    </row>
    <row r="157" spans="1:9" ht="20.100000000000001" customHeight="1" x14ac:dyDescent="0.25">
      <c r="A157" s="26">
        <v>155</v>
      </c>
      <c r="B157" s="13" t="s">
        <v>34</v>
      </c>
      <c r="C157" s="13" t="s">
        <v>16</v>
      </c>
      <c r="D157" s="34">
        <v>12</v>
      </c>
      <c r="E157" s="34" t="str">
        <f>CONCATENATE(Таблица22[[#This Row],[Операция]],Таблица22[[#This Row],[Материал]],Таблица22[[#This Row],[Толщина до…]])</f>
        <v>Резьба полная до М12Сталь черная12</v>
      </c>
      <c r="F157" s="33" t="s">
        <v>9</v>
      </c>
      <c r="G157" s="35">
        <f t="shared" si="42"/>
        <v>1450</v>
      </c>
      <c r="H157" s="14">
        <f t="shared" si="43"/>
        <v>89</v>
      </c>
      <c r="I157" s="15">
        <v>220</v>
      </c>
    </row>
    <row r="158" spans="1:9" ht="20.100000000000001" customHeight="1" x14ac:dyDescent="0.25">
      <c r="A158" s="26">
        <v>156</v>
      </c>
      <c r="B158" s="13" t="s">
        <v>34</v>
      </c>
      <c r="C158" s="13" t="s">
        <v>16</v>
      </c>
      <c r="D158" s="34">
        <v>16</v>
      </c>
      <c r="E158" s="34" t="str">
        <f>CONCATENATE(Таблица22[[#This Row],[Операция]],Таблица22[[#This Row],[Материал]],Таблица22[[#This Row],[Толщина до…]])</f>
        <v>Резьба полная до М12Сталь черная16</v>
      </c>
      <c r="F158" s="33" t="s">
        <v>9</v>
      </c>
      <c r="G158" s="35">
        <f t="shared" ref="G158:G165" si="46">IFERROR(VLOOKUP(F158,$AK$3:$AL$8,2,0),"")</f>
        <v>1450</v>
      </c>
      <c r="H158" s="14">
        <f t="shared" ref="H158:H165" si="47">IFERROR(CEILING((G158/3600)*I158,0.5),"")</f>
        <v>97</v>
      </c>
      <c r="I158" s="15">
        <v>240</v>
      </c>
    </row>
    <row r="159" spans="1:9" ht="20.100000000000001" customHeight="1" x14ac:dyDescent="0.25">
      <c r="A159" s="26">
        <v>157</v>
      </c>
      <c r="B159" s="13" t="s">
        <v>118</v>
      </c>
      <c r="C159" s="13" t="s">
        <v>19</v>
      </c>
      <c r="D159" s="34">
        <v>6</v>
      </c>
      <c r="E159" s="34" t="str">
        <f>CONCATENATE(Таблица22[[#This Row],[Операция]],Таблица22[[#This Row],[Материал]],Таблица22[[#This Row],[Толщина до…]])</f>
        <v>Резьба полная до М6Нержавейка6</v>
      </c>
      <c r="F159" s="33" t="s">
        <v>8</v>
      </c>
      <c r="G159" s="35">
        <f t="shared" si="46"/>
        <v>1750</v>
      </c>
      <c r="H159" s="14">
        <f t="shared" si="47"/>
        <v>68.5</v>
      </c>
      <c r="I159" s="15">
        <v>140</v>
      </c>
    </row>
    <row r="160" spans="1:9" ht="20.100000000000001" customHeight="1" x14ac:dyDescent="0.25">
      <c r="A160" s="26">
        <v>158</v>
      </c>
      <c r="B160" s="13" t="s">
        <v>118</v>
      </c>
      <c r="C160" s="13" t="s">
        <v>19</v>
      </c>
      <c r="D160" s="34">
        <v>8</v>
      </c>
      <c r="E160" s="34" t="str">
        <f>CONCATENATE(Таблица22[[#This Row],[Операция]],Таблица22[[#This Row],[Материал]],Таблица22[[#This Row],[Толщина до…]])</f>
        <v>Резьба полная до М6Нержавейка8</v>
      </c>
      <c r="F160" s="33" t="s">
        <v>8</v>
      </c>
      <c r="G160" s="35">
        <f t="shared" si="46"/>
        <v>1750</v>
      </c>
      <c r="H160" s="14">
        <f t="shared" si="47"/>
        <v>78</v>
      </c>
      <c r="I160" s="15">
        <v>160</v>
      </c>
    </row>
    <row r="161" spans="1:9" ht="20.100000000000001" customHeight="1" x14ac:dyDescent="0.25">
      <c r="A161" s="26">
        <v>159</v>
      </c>
      <c r="B161" s="13" t="s">
        <v>118</v>
      </c>
      <c r="C161" s="13" t="s">
        <v>19</v>
      </c>
      <c r="D161" s="34">
        <v>12</v>
      </c>
      <c r="E161" s="34" t="str">
        <f>CONCATENATE(Таблица22[[#This Row],[Операция]],Таблица22[[#This Row],[Материал]],Таблица22[[#This Row],[Толщина до…]])</f>
        <v>Резьба полная до М6Нержавейка12</v>
      </c>
      <c r="F161" s="33" t="s">
        <v>8</v>
      </c>
      <c r="G161" s="35">
        <f t="shared" si="46"/>
        <v>1750</v>
      </c>
      <c r="H161" s="14">
        <f t="shared" si="47"/>
        <v>92.5</v>
      </c>
      <c r="I161" s="15">
        <v>190</v>
      </c>
    </row>
    <row r="162" spans="1:9" ht="20.100000000000001" customHeight="1" x14ac:dyDescent="0.25">
      <c r="A162" s="26">
        <v>160</v>
      </c>
      <c r="B162" s="13" t="s">
        <v>31</v>
      </c>
      <c r="C162" s="13" t="s">
        <v>19</v>
      </c>
      <c r="D162" s="34">
        <v>8</v>
      </c>
      <c r="E162" s="34" t="str">
        <f>CONCATENATE(Таблица22[[#This Row],[Операция]],Таблица22[[#This Row],[Материал]],Таблица22[[#This Row],[Толщина до…]])</f>
        <v>Резьба полная до М8Нержавейка8</v>
      </c>
      <c r="F162" s="33" t="s">
        <v>8</v>
      </c>
      <c r="G162" s="35">
        <f t="shared" si="46"/>
        <v>1750</v>
      </c>
      <c r="H162" s="14">
        <f t="shared" si="47"/>
        <v>49</v>
      </c>
      <c r="I162" s="15">
        <v>100</v>
      </c>
    </row>
    <row r="163" spans="1:9" ht="20.100000000000001" customHeight="1" x14ac:dyDescent="0.25">
      <c r="A163" s="26">
        <v>161</v>
      </c>
      <c r="B163" s="13" t="s">
        <v>31</v>
      </c>
      <c r="C163" s="13" t="s">
        <v>19</v>
      </c>
      <c r="D163" s="34">
        <v>12</v>
      </c>
      <c r="E163" s="34" t="str">
        <f>CONCATENATE(Таблица22[[#This Row],[Операция]],Таблица22[[#This Row],[Материал]],Таблица22[[#This Row],[Толщина до…]])</f>
        <v>Резьба полная до М8Нержавейка12</v>
      </c>
      <c r="F163" s="33" t="s">
        <v>8</v>
      </c>
      <c r="G163" s="35">
        <f t="shared" si="46"/>
        <v>1750</v>
      </c>
      <c r="H163" s="14">
        <f t="shared" si="47"/>
        <v>68.5</v>
      </c>
      <c r="I163" s="15">
        <v>140</v>
      </c>
    </row>
    <row r="164" spans="1:9" ht="20.100000000000001" customHeight="1" x14ac:dyDescent="0.25">
      <c r="A164" s="26">
        <v>162</v>
      </c>
      <c r="B164" s="13" t="s">
        <v>34</v>
      </c>
      <c r="C164" s="13" t="s">
        <v>19</v>
      </c>
      <c r="D164" s="34">
        <v>8</v>
      </c>
      <c r="E164" s="34" t="str">
        <f>CONCATENATE(Таблица22[[#This Row],[Операция]],Таблица22[[#This Row],[Материал]],Таблица22[[#This Row],[Толщина до…]])</f>
        <v>Резьба полная до М12Нержавейка8</v>
      </c>
      <c r="F164" s="33" t="s">
        <v>8</v>
      </c>
      <c r="G164" s="35">
        <f t="shared" si="46"/>
        <v>1750</v>
      </c>
      <c r="H164" s="14">
        <f t="shared" si="47"/>
        <v>78</v>
      </c>
      <c r="I164" s="15">
        <v>160</v>
      </c>
    </row>
    <row r="165" spans="1:9" ht="20.100000000000001" customHeight="1" x14ac:dyDescent="0.25">
      <c r="A165" s="26">
        <v>163</v>
      </c>
      <c r="B165" s="13" t="s">
        <v>34</v>
      </c>
      <c r="C165" s="13" t="s">
        <v>19</v>
      </c>
      <c r="D165" s="34">
        <v>12</v>
      </c>
      <c r="E165" s="34" t="str">
        <f>CONCATENATE(Таблица22[[#This Row],[Операция]],Таблица22[[#This Row],[Материал]],Таблица22[[#This Row],[Толщина до…]])</f>
        <v>Резьба полная до М12Нержавейка12</v>
      </c>
      <c r="F165" s="33" t="s">
        <v>8</v>
      </c>
      <c r="G165" s="35">
        <f t="shared" si="46"/>
        <v>1750</v>
      </c>
      <c r="H165" s="14">
        <f t="shared" si="47"/>
        <v>97.5</v>
      </c>
      <c r="I165" s="15">
        <v>200</v>
      </c>
    </row>
    <row r="166" spans="1:9" ht="20.100000000000001" customHeight="1" x14ac:dyDescent="0.25">
      <c r="A166" s="26">
        <v>164</v>
      </c>
      <c r="B166" s="13" t="s">
        <v>35</v>
      </c>
      <c r="C166" s="13" t="s">
        <v>16</v>
      </c>
      <c r="D166" s="34">
        <v>12</v>
      </c>
      <c r="E166" s="34" t="str">
        <f>CONCATENATE(Таблица22[[#This Row],[Операция]],Таблица22[[#This Row],[Материал]],Таблица22[[#This Row],[Толщина до…]])</f>
        <v>Зачистка после лазерной резкиСталь черная12</v>
      </c>
      <c r="F166" s="33" t="s">
        <v>9</v>
      </c>
      <c r="G166" s="35">
        <f t="shared" si="42"/>
        <v>1450</v>
      </c>
      <c r="H166" s="60">
        <f t="shared" si="43"/>
        <v>121</v>
      </c>
      <c r="I166" s="59">
        <v>300</v>
      </c>
    </row>
    <row r="167" spans="1:9" ht="20.100000000000001" customHeight="1" x14ac:dyDescent="0.25">
      <c r="A167" s="26">
        <v>165</v>
      </c>
      <c r="B167" s="13" t="s">
        <v>35</v>
      </c>
      <c r="C167" s="13" t="s">
        <v>18</v>
      </c>
      <c r="D167" s="34">
        <v>12</v>
      </c>
      <c r="E167" s="34" t="str">
        <f>CONCATENATE(Таблица22[[#This Row],[Операция]],Таблица22[[#This Row],[Материал]],Таблица22[[#This Row],[Толщина до…]])</f>
        <v>Зачистка после лазерной резкиАлюминий12</v>
      </c>
      <c r="F167" s="33" t="s">
        <v>8</v>
      </c>
      <c r="G167" s="35">
        <f t="shared" si="42"/>
        <v>1750</v>
      </c>
      <c r="H167" s="60">
        <f t="shared" si="43"/>
        <v>97.5</v>
      </c>
      <c r="I167" s="59">
        <v>200</v>
      </c>
    </row>
    <row r="168" spans="1:9" ht="20.100000000000001" customHeight="1" x14ac:dyDescent="0.25">
      <c r="A168" s="26">
        <v>166</v>
      </c>
      <c r="B168" s="13" t="s">
        <v>35</v>
      </c>
      <c r="C168" s="13" t="s">
        <v>19</v>
      </c>
      <c r="D168" s="34">
        <v>12</v>
      </c>
      <c r="E168" s="34" t="str">
        <f>CONCATENATE(Таблица22[[#This Row],[Операция]],Таблица22[[#This Row],[Материал]],Таблица22[[#This Row],[Толщина до…]])</f>
        <v>Зачистка после лазерной резкиНержавейка12</v>
      </c>
      <c r="F168" s="33" t="s">
        <v>8</v>
      </c>
      <c r="G168" s="35">
        <f t="shared" si="42"/>
        <v>1750</v>
      </c>
      <c r="H168" s="60">
        <f t="shared" si="43"/>
        <v>117</v>
      </c>
      <c r="I168" s="59">
        <v>240</v>
      </c>
    </row>
    <row r="169" spans="1:9" ht="20.100000000000001" customHeight="1" x14ac:dyDescent="0.25">
      <c r="A169" s="26">
        <v>167</v>
      </c>
      <c r="B169" s="13" t="s">
        <v>36</v>
      </c>
      <c r="C169" s="13" t="s">
        <v>19</v>
      </c>
      <c r="D169" s="34">
        <v>12</v>
      </c>
      <c r="E169" s="34" t="str">
        <f>CONCATENATE(Таблица22[[#This Row],[Операция]],Таблица22[[#This Row],[Материал]],Таблица22[[#This Row],[Толщина до…]])</f>
        <v>Шлифование поверхности листНержавейка12</v>
      </c>
      <c r="F169" s="33" t="s">
        <v>8</v>
      </c>
      <c r="G169" s="35">
        <f t="shared" si="42"/>
        <v>1750</v>
      </c>
      <c r="H169" s="37">
        <f t="shared" si="43"/>
        <v>389</v>
      </c>
      <c r="I169" s="36">
        <v>800</v>
      </c>
    </row>
    <row r="170" spans="1:9" ht="20.100000000000001" customHeight="1" x14ac:dyDescent="0.25">
      <c r="A170" s="26">
        <v>168</v>
      </c>
      <c r="B170" s="13" t="s">
        <v>37</v>
      </c>
      <c r="C170" s="13" t="s">
        <v>19</v>
      </c>
      <c r="D170" s="34">
        <v>3</v>
      </c>
      <c r="E170" s="34" t="str">
        <f>CONCATENATE(Таблица22[[#This Row],[Операция]],Таблица22[[#This Row],[Материал]],Таблица22[[#This Row],[Толщина до…]])</f>
        <v>Шлифование поверхности трубаНержавейка3</v>
      </c>
      <c r="F170" s="33" t="s">
        <v>8</v>
      </c>
      <c r="G170" s="35">
        <f t="shared" si="42"/>
        <v>1750</v>
      </c>
      <c r="H170" s="37">
        <f t="shared" si="43"/>
        <v>170.5</v>
      </c>
      <c r="I170" s="36">
        <v>350</v>
      </c>
    </row>
    <row r="171" spans="1:9" ht="20.100000000000001" customHeight="1" x14ac:dyDescent="0.25">
      <c r="A171" s="26">
        <v>169</v>
      </c>
      <c r="B171" s="13" t="s">
        <v>61</v>
      </c>
      <c r="C171" s="13" t="s">
        <v>16</v>
      </c>
      <c r="D171" s="34">
        <v>3</v>
      </c>
      <c r="E171" s="34" t="str">
        <f>CONCATENATE(Таблица22[[#This Row],[Операция]],Таблица22[[#This Row],[Материал]],Таблица22[[#This Row],[Толщина до…]])</f>
        <v>Резка профиля до 40х40 прямаяСталь черная3</v>
      </c>
      <c r="F171" s="33" t="s">
        <v>9</v>
      </c>
      <c r="G171" s="35">
        <f>IFERROR(VLOOKUP(F171,$AK$3:$AL$8,2,0),"")</f>
        <v>1450</v>
      </c>
      <c r="H171" s="60">
        <f>IFERROR(CEILING((G171/3600)*I171,0.5),"")</f>
        <v>22.5</v>
      </c>
      <c r="I171" s="68">
        <v>55</v>
      </c>
    </row>
    <row r="172" spans="1:9" ht="20.100000000000001" customHeight="1" x14ac:dyDescent="0.25">
      <c r="A172" s="26">
        <v>170</v>
      </c>
      <c r="B172" s="13" t="s">
        <v>61</v>
      </c>
      <c r="C172" s="13" t="s">
        <v>16</v>
      </c>
      <c r="D172" s="34">
        <v>6</v>
      </c>
      <c r="E172" s="34" t="str">
        <f>CONCATENATE(Таблица22[[#This Row],[Операция]],Таблица22[[#This Row],[Материал]],Таблица22[[#This Row],[Толщина до…]])</f>
        <v>Резка профиля до 40х40 прямаяСталь черная6</v>
      </c>
      <c r="F172" s="33" t="s">
        <v>9</v>
      </c>
      <c r="G172" s="35">
        <f t="shared" si="42"/>
        <v>1450</v>
      </c>
      <c r="H172" s="14">
        <f t="shared" si="43"/>
        <v>24.5</v>
      </c>
      <c r="I172" s="68">
        <v>60</v>
      </c>
    </row>
    <row r="173" spans="1:9" ht="20.100000000000001" customHeight="1" x14ac:dyDescent="0.25">
      <c r="A173" s="26">
        <v>171</v>
      </c>
      <c r="B173" s="13" t="s">
        <v>62</v>
      </c>
      <c r="C173" s="13" t="s">
        <v>16</v>
      </c>
      <c r="D173" s="34">
        <v>3</v>
      </c>
      <c r="E173" s="34" t="str">
        <f>CONCATENATE(Таблица22[[#This Row],[Операция]],Таблица22[[#This Row],[Материал]],Таблица22[[#This Row],[Толщина до…]])</f>
        <v>Резка профиля до 80х80 прямаяСталь черная3</v>
      </c>
      <c r="F173" s="33" t="s">
        <v>9</v>
      </c>
      <c r="G173" s="35">
        <f>IFERROR(VLOOKUP(F173,$AK$3:$AL$8,2,0),"")</f>
        <v>1450</v>
      </c>
      <c r="H173" s="14">
        <f>IFERROR(CEILING((G173/3600)*I173,0.5),"")</f>
        <v>44.5</v>
      </c>
      <c r="I173" s="68">
        <v>110</v>
      </c>
    </row>
    <row r="174" spans="1:9" ht="20.100000000000001" customHeight="1" x14ac:dyDescent="0.25">
      <c r="A174" s="26">
        <v>172</v>
      </c>
      <c r="B174" s="13" t="s">
        <v>62</v>
      </c>
      <c r="C174" s="13" t="s">
        <v>16</v>
      </c>
      <c r="D174" s="34">
        <v>6</v>
      </c>
      <c r="E174" s="34" t="str">
        <f>CONCATENATE(Таблица22[[#This Row],[Операция]],Таблица22[[#This Row],[Материал]],Таблица22[[#This Row],[Толщина до…]])</f>
        <v>Резка профиля до 80х80 прямаяСталь черная6</v>
      </c>
      <c r="F174" s="33" t="s">
        <v>9</v>
      </c>
      <c r="G174" s="35">
        <f t="shared" si="42"/>
        <v>1450</v>
      </c>
      <c r="H174" s="14">
        <f t="shared" si="43"/>
        <v>48.5</v>
      </c>
      <c r="I174" s="68">
        <v>120</v>
      </c>
    </row>
    <row r="175" spans="1:9" ht="20.100000000000001" customHeight="1" x14ac:dyDescent="0.25">
      <c r="A175" s="26">
        <v>173</v>
      </c>
      <c r="B175" s="13" t="s">
        <v>63</v>
      </c>
      <c r="C175" s="13" t="s">
        <v>16</v>
      </c>
      <c r="D175" s="34">
        <v>3</v>
      </c>
      <c r="E175" s="34" t="str">
        <f>CONCATENATE(Таблица22[[#This Row],[Операция]],Таблица22[[#This Row],[Материал]],Таблица22[[#This Row],[Толщина до…]])</f>
        <v>Резка профиля до 120х120 прямаяСталь черная3</v>
      </c>
      <c r="F175" s="33" t="s">
        <v>9</v>
      </c>
      <c r="G175" s="35">
        <f>IFERROR(VLOOKUP(F175,$AK$3:$AL$8,2,0),"")</f>
        <v>1450</v>
      </c>
      <c r="H175" s="14">
        <f>IFERROR(CEILING((G175/3600)*I175,0.5),"")</f>
        <v>64.5</v>
      </c>
      <c r="I175" s="68">
        <v>160</v>
      </c>
    </row>
    <row r="176" spans="1:9" ht="20.100000000000001" customHeight="1" x14ac:dyDescent="0.25">
      <c r="A176" s="26">
        <v>174</v>
      </c>
      <c r="B176" s="13" t="s">
        <v>63</v>
      </c>
      <c r="C176" s="13" t="s">
        <v>16</v>
      </c>
      <c r="D176" s="34">
        <v>6</v>
      </c>
      <c r="E176" s="34" t="str">
        <f>CONCATENATE(Таблица22[[#This Row],[Операция]],Таблица22[[#This Row],[Материал]],Таблица22[[#This Row],[Толщина до…]])</f>
        <v>Резка профиля до 120х120 прямаяСталь черная6</v>
      </c>
      <c r="F176" s="33" t="s">
        <v>9</v>
      </c>
      <c r="G176" s="35">
        <f t="shared" si="42"/>
        <v>1450</v>
      </c>
      <c r="H176" s="14">
        <f t="shared" si="43"/>
        <v>72.5</v>
      </c>
      <c r="I176" s="68">
        <v>180</v>
      </c>
    </row>
    <row r="177" spans="1:9" ht="20.100000000000001" customHeight="1" x14ac:dyDescent="0.25">
      <c r="A177" s="26">
        <v>175</v>
      </c>
      <c r="B177" s="13" t="s">
        <v>64</v>
      </c>
      <c r="C177" s="13" t="s">
        <v>16</v>
      </c>
      <c r="D177" s="34">
        <v>3</v>
      </c>
      <c r="E177" s="34" t="str">
        <f>CONCATENATE(Таблица22[[#This Row],[Операция]],Таблица22[[#This Row],[Материал]],Таблица22[[#This Row],[Толщина до…]])</f>
        <v>Резка профиля до 160х160 прямаяСталь черная3</v>
      </c>
      <c r="F177" s="33" t="s">
        <v>9</v>
      </c>
      <c r="G177" s="35">
        <f>IFERROR(VLOOKUP(F177,$AK$3:$AL$8,2,0),"")</f>
        <v>1450</v>
      </c>
      <c r="H177" s="14">
        <f>IFERROR(CEILING((G177/3600)*I177,0.5),"")</f>
        <v>89</v>
      </c>
      <c r="I177" s="68">
        <v>220</v>
      </c>
    </row>
    <row r="178" spans="1:9" ht="20.100000000000001" customHeight="1" x14ac:dyDescent="0.25">
      <c r="A178" s="26">
        <v>176</v>
      </c>
      <c r="B178" s="13" t="s">
        <v>64</v>
      </c>
      <c r="C178" s="13" t="s">
        <v>16</v>
      </c>
      <c r="D178" s="34">
        <v>6</v>
      </c>
      <c r="E178" s="34" t="str">
        <f>CONCATENATE(Таблица22[[#This Row],[Операция]],Таблица22[[#This Row],[Материал]],Таблица22[[#This Row],[Толщина до…]])</f>
        <v>Резка профиля до 160х160 прямаяСталь черная6</v>
      </c>
      <c r="F178" s="33" t="s">
        <v>9</v>
      </c>
      <c r="G178" s="35">
        <f t="shared" si="42"/>
        <v>1450</v>
      </c>
      <c r="H178" s="14">
        <f t="shared" si="43"/>
        <v>97</v>
      </c>
      <c r="I178" s="68">
        <v>240</v>
      </c>
    </row>
    <row r="179" spans="1:9" ht="20.100000000000001" customHeight="1" x14ac:dyDescent="0.25">
      <c r="A179" s="26">
        <v>177</v>
      </c>
      <c r="B179" s="13" t="s">
        <v>65</v>
      </c>
      <c r="C179" s="13" t="s">
        <v>16</v>
      </c>
      <c r="D179" s="34">
        <v>6</v>
      </c>
      <c r="E179" s="34" t="str">
        <f>CONCATENATE(Таблица22[[#This Row],[Операция]],Таблица22[[#This Row],[Материал]],Таблица22[[#This Row],[Толщина до…]])</f>
        <v>Резка профиля до 200х200 прямаяСталь черная6</v>
      </c>
      <c r="F179" s="33" t="s">
        <v>9</v>
      </c>
      <c r="G179" s="35">
        <f t="shared" si="42"/>
        <v>1450</v>
      </c>
      <c r="H179" s="14">
        <f t="shared" si="43"/>
        <v>121</v>
      </c>
      <c r="I179" s="68">
        <v>300</v>
      </c>
    </row>
    <row r="180" spans="1:9" ht="20.100000000000001" customHeight="1" x14ac:dyDescent="0.25">
      <c r="A180" s="26">
        <v>178</v>
      </c>
      <c r="B180" s="13" t="s">
        <v>66</v>
      </c>
      <c r="C180" s="13" t="s">
        <v>16</v>
      </c>
      <c r="D180" s="34">
        <v>6</v>
      </c>
      <c r="E180" s="34" t="str">
        <f>CONCATENATE(Таблица22[[#This Row],[Операция]],Таблица22[[#This Row],[Материал]],Таблица22[[#This Row],[Толщина до…]])</f>
        <v>Резка профиля до 40х40 под угломСталь черная6</v>
      </c>
      <c r="F180" s="33" t="s">
        <v>9</v>
      </c>
      <c r="G180" s="35">
        <f t="shared" si="42"/>
        <v>1450</v>
      </c>
      <c r="H180" s="14">
        <f t="shared" si="43"/>
        <v>36.5</v>
      </c>
      <c r="I180" s="68">
        <v>90</v>
      </c>
    </row>
    <row r="181" spans="1:9" ht="20.100000000000001" customHeight="1" x14ac:dyDescent="0.25">
      <c r="A181" s="26">
        <v>179</v>
      </c>
      <c r="B181" s="13" t="s">
        <v>67</v>
      </c>
      <c r="C181" s="13" t="s">
        <v>16</v>
      </c>
      <c r="D181" s="34">
        <v>6</v>
      </c>
      <c r="E181" s="34" t="str">
        <f>CONCATENATE(Таблица22[[#This Row],[Операция]],Таблица22[[#This Row],[Материал]],Таблица22[[#This Row],[Толщина до…]])</f>
        <v>Резка профиля до 80х80 под угломСталь черная6</v>
      </c>
      <c r="F181" s="33" t="s">
        <v>9</v>
      </c>
      <c r="G181" s="35">
        <f t="shared" si="42"/>
        <v>1450</v>
      </c>
      <c r="H181" s="14">
        <f t="shared" si="43"/>
        <v>60.5</v>
      </c>
      <c r="I181" s="68">
        <v>150</v>
      </c>
    </row>
    <row r="182" spans="1:9" ht="20.100000000000001" customHeight="1" x14ac:dyDescent="0.25">
      <c r="A182" s="26">
        <v>180</v>
      </c>
      <c r="B182" s="13" t="s">
        <v>68</v>
      </c>
      <c r="C182" s="13" t="s">
        <v>16</v>
      </c>
      <c r="D182" s="34">
        <v>6</v>
      </c>
      <c r="E182" s="34" t="str">
        <f>CONCATENATE(Таблица22[[#This Row],[Операция]],Таблица22[[#This Row],[Материал]],Таблица22[[#This Row],[Толщина до…]])</f>
        <v>Резка профиля до 120х120 под угломСталь черная6</v>
      </c>
      <c r="F182" s="33" t="s">
        <v>9</v>
      </c>
      <c r="G182" s="35">
        <f t="shared" si="42"/>
        <v>1450</v>
      </c>
      <c r="H182" s="14">
        <f t="shared" si="43"/>
        <v>85</v>
      </c>
      <c r="I182" s="68">
        <v>210</v>
      </c>
    </row>
    <row r="183" spans="1:9" ht="20.100000000000001" customHeight="1" x14ac:dyDescent="0.25">
      <c r="A183" s="26">
        <v>181</v>
      </c>
      <c r="B183" s="13" t="s">
        <v>69</v>
      </c>
      <c r="C183" s="13" t="s">
        <v>16</v>
      </c>
      <c r="D183" s="34">
        <v>6</v>
      </c>
      <c r="E183" s="34" t="str">
        <f>CONCATENATE(Таблица22[[#This Row],[Операция]],Таблица22[[#This Row],[Материал]],Таблица22[[#This Row],[Толщина до…]])</f>
        <v>Резка профиля до 160х160 под угломСталь черная6</v>
      </c>
      <c r="F183" s="33" t="s">
        <v>9</v>
      </c>
      <c r="G183" s="35">
        <f t="shared" si="42"/>
        <v>1450</v>
      </c>
      <c r="H183" s="14">
        <f t="shared" si="43"/>
        <v>109</v>
      </c>
      <c r="I183" s="68">
        <v>270</v>
      </c>
    </row>
    <row r="184" spans="1:9" ht="20.100000000000001" customHeight="1" x14ac:dyDescent="0.25">
      <c r="A184" s="26">
        <v>182</v>
      </c>
      <c r="B184" s="13" t="s">
        <v>70</v>
      </c>
      <c r="C184" s="13" t="s">
        <v>16</v>
      </c>
      <c r="D184" s="34">
        <v>3</v>
      </c>
      <c r="E184" s="34" t="str">
        <f>CONCATENATE(Таблица22[[#This Row],[Операция]],Таблица22[[#This Row],[Материал]],Таблица22[[#This Row],[Толщина до…]])</f>
        <v>Резка профиля до 200х200 под угломСталь черная3</v>
      </c>
      <c r="F184" s="33" t="s">
        <v>9</v>
      </c>
      <c r="G184" s="35">
        <f>IFERROR(VLOOKUP(F184,$AK$3:$AL$8,2,0),"")</f>
        <v>1450</v>
      </c>
      <c r="H184" s="14">
        <f>IFERROR(CEILING((G184/3600)*I184,0.5),"")</f>
        <v>121</v>
      </c>
      <c r="I184" s="68">
        <v>300</v>
      </c>
    </row>
    <row r="185" spans="1:9" ht="20.100000000000001" customHeight="1" x14ac:dyDescent="0.25">
      <c r="A185" s="26">
        <v>183</v>
      </c>
      <c r="B185" s="13" t="s">
        <v>70</v>
      </c>
      <c r="C185" s="13" t="s">
        <v>16</v>
      </c>
      <c r="D185" s="34">
        <v>6</v>
      </c>
      <c r="E185" s="34" t="str">
        <f>CONCATENATE(Таблица22[[#This Row],[Операция]],Таблица22[[#This Row],[Материал]],Таблица22[[#This Row],[Толщина до…]])</f>
        <v>Резка профиля до 200х200 под угломСталь черная6</v>
      </c>
      <c r="F185" s="33" t="s">
        <v>9</v>
      </c>
      <c r="G185" s="35">
        <f t="shared" si="42"/>
        <v>1450</v>
      </c>
      <c r="H185" s="14">
        <f t="shared" si="43"/>
        <v>133</v>
      </c>
      <c r="I185" s="68">
        <v>330</v>
      </c>
    </row>
    <row r="186" spans="1:9" ht="20.100000000000001" customHeight="1" x14ac:dyDescent="0.25">
      <c r="A186" s="26">
        <v>184</v>
      </c>
      <c r="B186" s="13" t="s">
        <v>58</v>
      </c>
      <c r="C186" s="13" t="s">
        <v>16</v>
      </c>
      <c r="D186" s="34">
        <v>3</v>
      </c>
      <c r="E186" s="34" t="str">
        <f>CONCATENATE(Таблица22[[#This Row],[Операция]],Таблица22[[#This Row],[Материал]],Таблица22[[#This Row],[Толщина до…]])</f>
        <v>Резка профиля до 30х30 пакетомСталь черная3</v>
      </c>
      <c r="F186" s="33" t="s">
        <v>9</v>
      </c>
      <c r="G186" s="35">
        <f>IFERROR(VLOOKUP(F186,$AK$3:$AL$8,2,0),"")</f>
        <v>1450</v>
      </c>
      <c r="H186" s="14">
        <f>IFERROR(CEILING((G186/3600)*I186,0.5),"")</f>
        <v>4.5</v>
      </c>
      <c r="I186" s="68">
        <v>10</v>
      </c>
    </row>
    <row r="187" spans="1:9" ht="20.100000000000001" customHeight="1" x14ac:dyDescent="0.25">
      <c r="A187" s="26">
        <v>185</v>
      </c>
      <c r="B187" s="13" t="s">
        <v>58</v>
      </c>
      <c r="C187" s="13" t="s">
        <v>16</v>
      </c>
      <c r="D187" s="34">
        <v>6</v>
      </c>
      <c r="E187" s="34" t="str">
        <f>CONCATENATE(Таблица22[[#This Row],[Операция]],Таблица22[[#This Row],[Материал]],Таблица22[[#This Row],[Толщина до…]])</f>
        <v>Резка профиля до 30х30 пакетомСталь черная6</v>
      </c>
      <c r="F187" s="33" t="s">
        <v>9</v>
      </c>
      <c r="G187" s="35">
        <f t="shared" si="42"/>
        <v>1450</v>
      </c>
      <c r="H187" s="14">
        <f t="shared" si="43"/>
        <v>5</v>
      </c>
      <c r="I187" s="68">
        <v>12</v>
      </c>
    </row>
    <row r="188" spans="1:9" ht="20.100000000000001" customHeight="1" x14ac:dyDescent="0.25">
      <c r="A188" s="26">
        <v>186</v>
      </c>
      <c r="B188" s="13" t="s">
        <v>59</v>
      </c>
      <c r="C188" s="13" t="s">
        <v>16</v>
      </c>
      <c r="D188" s="34">
        <v>3</v>
      </c>
      <c r="E188" s="34" t="str">
        <f>CONCATENATE(Таблица22[[#This Row],[Операция]],Таблица22[[#This Row],[Материал]],Таблица22[[#This Row],[Толщина до…]])</f>
        <v>Резка профиля до 40х40 пакетомСталь черная3</v>
      </c>
      <c r="F188" s="33" t="s">
        <v>9</v>
      </c>
      <c r="G188" s="35">
        <f>IFERROR(VLOOKUP(F188,$AK$3:$AL$8,2,0),"")</f>
        <v>1450</v>
      </c>
      <c r="H188" s="14">
        <f>IFERROR(CEILING((G188/3600)*I188,0.5),"")</f>
        <v>6.5</v>
      </c>
      <c r="I188" s="68">
        <v>16</v>
      </c>
    </row>
    <row r="189" spans="1:9" ht="20.100000000000001" customHeight="1" x14ac:dyDescent="0.25">
      <c r="A189" s="26">
        <v>187</v>
      </c>
      <c r="B189" s="13" t="s">
        <v>59</v>
      </c>
      <c r="C189" s="13" t="s">
        <v>16</v>
      </c>
      <c r="D189" s="34">
        <v>6</v>
      </c>
      <c r="E189" s="34" t="str">
        <f>CONCATENATE(Таблица22[[#This Row],[Операция]],Таблица22[[#This Row],[Материал]],Таблица22[[#This Row],[Толщина до…]])</f>
        <v>Резка профиля до 40х40 пакетомСталь черная6</v>
      </c>
      <c r="F189" s="33" t="s">
        <v>9</v>
      </c>
      <c r="G189" s="35">
        <f t="shared" si="42"/>
        <v>1450</v>
      </c>
      <c r="H189" s="14">
        <f t="shared" si="43"/>
        <v>10</v>
      </c>
      <c r="I189" s="68">
        <v>24</v>
      </c>
    </row>
    <row r="190" spans="1:9" ht="20.100000000000001" customHeight="1" x14ac:dyDescent="0.25">
      <c r="A190" s="26">
        <v>188</v>
      </c>
      <c r="B190" s="13" t="s">
        <v>60</v>
      </c>
      <c r="C190" s="13" t="s">
        <v>16</v>
      </c>
      <c r="D190" s="34">
        <v>3</v>
      </c>
      <c r="E190" s="34" t="str">
        <f>CONCATENATE(Таблица22[[#This Row],[Операция]],Таблица22[[#This Row],[Материал]],Таблица22[[#This Row],[Толщина до…]])</f>
        <v>Резка профиля до 60х60 пакетомСталь черная3</v>
      </c>
      <c r="F190" s="33" t="s">
        <v>9</v>
      </c>
      <c r="G190" s="35">
        <f>IFERROR(VLOOKUP(F190,$AK$3:$AL$8,2,0),"")</f>
        <v>1450</v>
      </c>
      <c r="H190" s="14">
        <f>IFERROR(CEILING((G190/3600)*I190,0.5),"")</f>
        <v>24.5</v>
      </c>
      <c r="I190" s="68">
        <v>60</v>
      </c>
    </row>
    <row r="191" spans="1:9" ht="20.100000000000001" customHeight="1" x14ac:dyDescent="0.25">
      <c r="A191" s="26">
        <v>189</v>
      </c>
      <c r="B191" s="13" t="s">
        <v>60</v>
      </c>
      <c r="C191" s="13" t="s">
        <v>16</v>
      </c>
      <c r="D191" s="34">
        <v>6</v>
      </c>
      <c r="E191" s="34" t="str">
        <f>CONCATENATE(Таблица22[[#This Row],[Операция]],Таблица22[[#This Row],[Материал]],Таблица22[[#This Row],[Толщина до…]])</f>
        <v>Резка профиля до 60х60 пакетомСталь черная6</v>
      </c>
      <c r="F191" s="33" t="s">
        <v>9</v>
      </c>
      <c r="G191" s="35">
        <f t="shared" si="42"/>
        <v>1450</v>
      </c>
      <c r="H191" s="14">
        <f t="shared" si="43"/>
        <v>36.5</v>
      </c>
      <c r="I191" s="68">
        <v>90</v>
      </c>
    </row>
    <row r="192" spans="1:9" ht="20.100000000000001" customHeight="1" x14ac:dyDescent="0.25">
      <c r="A192" s="26">
        <v>190</v>
      </c>
      <c r="B192" s="13" t="s">
        <v>61</v>
      </c>
      <c r="C192" s="13" t="s">
        <v>19</v>
      </c>
      <c r="D192" s="34">
        <v>3</v>
      </c>
      <c r="E192" s="34" t="str">
        <f>CONCATENATE(Таблица22[[#This Row],[Операция]],Таблица22[[#This Row],[Материал]],Таблица22[[#This Row],[Толщина до…]])</f>
        <v>Резка профиля до 40х40 прямаяНержавейка3</v>
      </c>
      <c r="F192" s="33" t="s">
        <v>8</v>
      </c>
      <c r="G192" s="35">
        <f>IFERROR(VLOOKUP(F192,$AK$3:$AL$8,2,0),"")</f>
        <v>1750</v>
      </c>
      <c r="H192" s="14">
        <f>IFERROR(CEILING((G192/3600)*I192,0.5),"")</f>
        <v>29.5</v>
      </c>
      <c r="I192" s="68">
        <v>60</v>
      </c>
    </row>
    <row r="193" spans="1:9" ht="20.100000000000001" customHeight="1" x14ac:dyDescent="0.25">
      <c r="A193" s="26">
        <v>191</v>
      </c>
      <c r="B193" s="13" t="s">
        <v>61</v>
      </c>
      <c r="C193" s="13" t="s">
        <v>19</v>
      </c>
      <c r="D193" s="34">
        <v>6</v>
      </c>
      <c r="E193" s="34" t="str">
        <f>CONCATENATE(Таблица22[[#This Row],[Операция]],Таблица22[[#This Row],[Материал]],Таблица22[[#This Row],[Толщина до…]])</f>
        <v>Резка профиля до 40х40 прямаяНержавейка6</v>
      </c>
      <c r="F193" s="33" t="s">
        <v>8</v>
      </c>
      <c r="G193" s="35">
        <f t="shared" si="42"/>
        <v>1750</v>
      </c>
      <c r="H193" s="14">
        <f t="shared" ref="H193:H233" si="48">IFERROR(CEILING((G193/3600)*I193,0.5),"")</f>
        <v>34.5</v>
      </c>
      <c r="I193" s="68">
        <v>70</v>
      </c>
    </row>
    <row r="194" spans="1:9" ht="20.100000000000001" customHeight="1" x14ac:dyDescent="0.25">
      <c r="A194" s="26">
        <v>192</v>
      </c>
      <c r="B194" s="13" t="s">
        <v>62</v>
      </c>
      <c r="C194" s="13" t="s">
        <v>19</v>
      </c>
      <c r="D194" s="34">
        <v>3</v>
      </c>
      <c r="E194" s="34" t="str">
        <f>CONCATENATE(Таблица22[[#This Row],[Операция]],Таблица22[[#This Row],[Материал]],Таблица22[[#This Row],[Толщина до…]])</f>
        <v>Резка профиля до 80х80 прямаяНержавейка3</v>
      </c>
      <c r="F194" s="33" t="s">
        <v>8</v>
      </c>
      <c r="G194" s="35">
        <f>IFERROR(VLOOKUP(F194,$AK$3:$AL$8,2,0),"")</f>
        <v>1750</v>
      </c>
      <c r="H194" s="14">
        <f>IFERROR(CEILING((G194/3600)*I194,0.5),"")</f>
        <v>66</v>
      </c>
      <c r="I194" s="68">
        <v>135</v>
      </c>
    </row>
    <row r="195" spans="1:9" ht="20.100000000000001" customHeight="1" x14ac:dyDescent="0.25">
      <c r="A195" s="26">
        <v>193</v>
      </c>
      <c r="B195" s="13" t="s">
        <v>62</v>
      </c>
      <c r="C195" s="13" t="s">
        <v>19</v>
      </c>
      <c r="D195" s="34">
        <v>6</v>
      </c>
      <c r="E195" s="34" t="str">
        <f>CONCATENATE(Таблица22[[#This Row],[Операция]],Таблица22[[#This Row],[Материал]],Таблица22[[#This Row],[Толщина до…]])</f>
        <v>Резка профиля до 80х80 прямаяНержавейка6</v>
      </c>
      <c r="F195" s="33" t="s">
        <v>8</v>
      </c>
      <c r="G195" s="35">
        <f t="shared" si="42"/>
        <v>1750</v>
      </c>
      <c r="H195" s="14">
        <f t="shared" si="48"/>
        <v>70.5</v>
      </c>
      <c r="I195" s="68">
        <v>145</v>
      </c>
    </row>
    <row r="196" spans="1:9" ht="20.100000000000001" customHeight="1" x14ac:dyDescent="0.25">
      <c r="A196" s="26">
        <v>194</v>
      </c>
      <c r="B196" s="13" t="s">
        <v>63</v>
      </c>
      <c r="C196" s="13" t="s">
        <v>19</v>
      </c>
      <c r="D196" s="34">
        <v>3</v>
      </c>
      <c r="E196" s="34" t="str">
        <f>CONCATENATE(Таблица22[[#This Row],[Операция]],Таблица22[[#This Row],[Материал]],Таблица22[[#This Row],[Толщина до…]])</f>
        <v>Резка профиля до 120х120 прямаяНержавейка3</v>
      </c>
      <c r="F196" s="33" t="s">
        <v>8</v>
      </c>
      <c r="G196" s="35">
        <f>IFERROR(VLOOKUP(F196,$AK$3:$AL$8,2,0),"")</f>
        <v>1750</v>
      </c>
      <c r="H196" s="14">
        <f>IFERROR(CEILING((G196/3600)*I196,0.5),"")</f>
        <v>92.5</v>
      </c>
      <c r="I196" s="68">
        <v>190</v>
      </c>
    </row>
    <row r="197" spans="1:9" ht="20.100000000000001" customHeight="1" x14ac:dyDescent="0.25">
      <c r="A197" s="26">
        <v>195</v>
      </c>
      <c r="B197" s="13" t="s">
        <v>63</v>
      </c>
      <c r="C197" s="13" t="s">
        <v>19</v>
      </c>
      <c r="D197" s="34">
        <v>6</v>
      </c>
      <c r="E197" s="34" t="str">
        <f>CONCATENATE(Таблица22[[#This Row],[Операция]],Таблица22[[#This Row],[Материал]],Таблица22[[#This Row],[Толщина до…]])</f>
        <v>Резка профиля до 120х120 прямаяНержавейка6</v>
      </c>
      <c r="F197" s="33" t="s">
        <v>8</v>
      </c>
      <c r="G197" s="35">
        <f t="shared" ref="G197:G233" si="49">IFERROR(VLOOKUP(F197,$AK$3:$AL$8,2,0),"")</f>
        <v>1750</v>
      </c>
      <c r="H197" s="14">
        <f t="shared" si="48"/>
        <v>102.5</v>
      </c>
      <c r="I197" s="68">
        <v>210</v>
      </c>
    </row>
    <row r="198" spans="1:9" ht="20.100000000000001" customHeight="1" x14ac:dyDescent="0.25">
      <c r="A198" s="26">
        <v>196</v>
      </c>
      <c r="B198" s="13" t="s">
        <v>64</v>
      </c>
      <c r="C198" s="13" t="s">
        <v>19</v>
      </c>
      <c r="D198" s="34">
        <v>3</v>
      </c>
      <c r="E198" s="34" t="str">
        <f>CONCATENATE(Таблица22[[#This Row],[Операция]],Таблица22[[#This Row],[Материал]],Таблица22[[#This Row],[Толщина до…]])</f>
        <v>Резка профиля до 160х160 прямаяНержавейка3</v>
      </c>
      <c r="F198" s="33" t="s">
        <v>8</v>
      </c>
      <c r="G198" s="35">
        <f>IFERROR(VLOOKUP(F198,$AK$3:$AL$8,2,0),"")</f>
        <v>1750</v>
      </c>
      <c r="H198" s="14">
        <f>IFERROR(CEILING((G198/3600)*I198,0.5),"")</f>
        <v>131.5</v>
      </c>
      <c r="I198" s="68">
        <v>270</v>
      </c>
    </row>
    <row r="199" spans="1:9" ht="20.100000000000001" customHeight="1" x14ac:dyDescent="0.25">
      <c r="A199" s="26">
        <v>197</v>
      </c>
      <c r="B199" s="13" t="s">
        <v>64</v>
      </c>
      <c r="C199" s="13" t="s">
        <v>19</v>
      </c>
      <c r="D199" s="34">
        <v>6</v>
      </c>
      <c r="E199" s="34" t="str">
        <f>CONCATENATE(Таблица22[[#This Row],[Операция]],Таблица22[[#This Row],[Материал]],Таблица22[[#This Row],[Толщина до…]])</f>
        <v>Резка профиля до 160х160 прямаяНержавейка6</v>
      </c>
      <c r="F199" s="33" t="s">
        <v>8</v>
      </c>
      <c r="G199" s="35">
        <f t="shared" si="49"/>
        <v>1750</v>
      </c>
      <c r="H199" s="14">
        <f t="shared" si="48"/>
        <v>141</v>
      </c>
      <c r="I199" s="68">
        <v>290</v>
      </c>
    </row>
    <row r="200" spans="1:9" ht="20.100000000000001" customHeight="1" x14ac:dyDescent="0.25">
      <c r="A200" s="26">
        <v>198</v>
      </c>
      <c r="B200" s="13" t="s">
        <v>65</v>
      </c>
      <c r="C200" s="13" t="s">
        <v>19</v>
      </c>
      <c r="D200" s="34">
        <v>3</v>
      </c>
      <c r="E200" s="34" t="str">
        <f>CONCATENATE(Таблица22[[#This Row],[Операция]],Таблица22[[#This Row],[Материал]],Таблица22[[#This Row],[Толщина до…]])</f>
        <v>Резка профиля до 200х200 прямаяНержавейка3</v>
      </c>
      <c r="F200" s="33" t="s">
        <v>8</v>
      </c>
      <c r="G200" s="35">
        <f>IFERROR(VLOOKUP(F200,$AK$3:$AL$8,2,0),"")</f>
        <v>1750</v>
      </c>
      <c r="H200" s="14">
        <f>IFERROR(CEILING((G200/3600)*I200,0.5),"")</f>
        <v>156</v>
      </c>
      <c r="I200" s="68">
        <v>320</v>
      </c>
    </row>
    <row r="201" spans="1:9" ht="20.100000000000001" customHeight="1" x14ac:dyDescent="0.25">
      <c r="A201" s="26">
        <v>199</v>
      </c>
      <c r="B201" s="13" t="s">
        <v>65</v>
      </c>
      <c r="C201" s="13" t="s">
        <v>19</v>
      </c>
      <c r="D201" s="34">
        <v>6</v>
      </c>
      <c r="E201" s="34" t="str">
        <f>CONCATENATE(Таблица22[[#This Row],[Операция]],Таблица22[[#This Row],[Материал]],Таблица22[[#This Row],[Толщина до…]])</f>
        <v>Резка профиля до 200х200 прямаяНержавейка6</v>
      </c>
      <c r="F201" s="33" t="s">
        <v>8</v>
      </c>
      <c r="G201" s="35">
        <f t="shared" si="49"/>
        <v>1750</v>
      </c>
      <c r="H201" s="14">
        <f t="shared" si="48"/>
        <v>175</v>
      </c>
      <c r="I201" s="68">
        <v>360</v>
      </c>
    </row>
    <row r="202" spans="1:9" ht="20.100000000000001" customHeight="1" x14ac:dyDescent="0.25">
      <c r="A202" s="26">
        <v>200</v>
      </c>
      <c r="B202" s="13" t="s">
        <v>66</v>
      </c>
      <c r="C202" s="13" t="s">
        <v>19</v>
      </c>
      <c r="D202" s="34">
        <v>3</v>
      </c>
      <c r="E202" s="34" t="str">
        <f>CONCATENATE(Таблица22[[#This Row],[Операция]],Таблица22[[#This Row],[Материал]],Таблица22[[#This Row],[Толщина до…]])</f>
        <v>Резка профиля до 40х40 под угломНержавейка3</v>
      </c>
      <c r="F202" s="33" t="s">
        <v>8</v>
      </c>
      <c r="G202" s="35">
        <f>IFERROR(VLOOKUP(F202,$AK$3:$AL$8,2,0),"")</f>
        <v>1750</v>
      </c>
      <c r="H202" s="14">
        <f>IFERROR(CEILING((G202/3600)*I202,0.5),"")</f>
        <v>49</v>
      </c>
      <c r="I202" s="68">
        <v>100</v>
      </c>
    </row>
    <row r="203" spans="1:9" ht="20.100000000000001" customHeight="1" x14ac:dyDescent="0.25">
      <c r="A203" s="26">
        <v>201</v>
      </c>
      <c r="B203" s="13" t="s">
        <v>66</v>
      </c>
      <c r="C203" s="13" t="s">
        <v>19</v>
      </c>
      <c r="D203" s="34">
        <v>6</v>
      </c>
      <c r="E203" s="34" t="str">
        <f>CONCATENATE(Таблица22[[#This Row],[Операция]],Таблица22[[#This Row],[Материал]],Таблица22[[#This Row],[Толщина до…]])</f>
        <v>Резка профиля до 40х40 под угломНержавейка6</v>
      </c>
      <c r="F203" s="33" t="s">
        <v>8</v>
      </c>
      <c r="G203" s="35">
        <f t="shared" si="49"/>
        <v>1750</v>
      </c>
      <c r="H203" s="14">
        <f t="shared" si="48"/>
        <v>53.5</v>
      </c>
      <c r="I203" s="68">
        <v>110</v>
      </c>
    </row>
    <row r="204" spans="1:9" ht="20.100000000000001" customHeight="1" x14ac:dyDescent="0.25">
      <c r="A204" s="26">
        <v>202</v>
      </c>
      <c r="B204" s="13" t="s">
        <v>67</v>
      </c>
      <c r="C204" s="13" t="s">
        <v>19</v>
      </c>
      <c r="D204" s="34">
        <v>3</v>
      </c>
      <c r="E204" s="34" t="str">
        <f>CONCATENATE(Таблица22[[#This Row],[Операция]],Таблица22[[#This Row],[Материал]],Таблица22[[#This Row],[Толщина до…]])</f>
        <v>Резка профиля до 80х80 под угломНержавейка3</v>
      </c>
      <c r="F204" s="33" t="s">
        <v>8</v>
      </c>
      <c r="G204" s="35">
        <f>IFERROR(VLOOKUP(F204,$AK$3:$AL$8,2,0),"")</f>
        <v>1750</v>
      </c>
      <c r="H204" s="14">
        <f>IFERROR(CEILING((G204/3600)*I204,0.5),"")</f>
        <v>78</v>
      </c>
      <c r="I204" s="68">
        <v>160</v>
      </c>
    </row>
    <row r="205" spans="1:9" ht="20.100000000000001" customHeight="1" x14ac:dyDescent="0.25">
      <c r="A205" s="26">
        <v>203</v>
      </c>
      <c r="B205" s="13" t="s">
        <v>67</v>
      </c>
      <c r="C205" s="13" t="s">
        <v>19</v>
      </c>
      <c r="D205" s="34">
        <v>6</v>
      </c>
      <c r="E205" s="34" t="str">
        <f>CONCATENATE(Таблица22[[#This Row],[Операция]],Таблица22[[#This Row],[Материал]],Таблица22[[#This Row],[Толщина до…]])</f>
        <v>Резка профиля до 80х80 под угломНержавейка6</v>
      </c>
      <c r="F205" s="33" t="s">
        <v>8</v>
      </c>
      <c r="G205" s="35">
        <f t="shared" si="49"/>
        <v>1750</v>
      </c>
      <c r="H205" s="14">
        <f t="shared" si="48"/>
        <v>87.5</v>
      </c>
      <c r="I205" s="68">
        <v>180</v>
      </c>
    </row>
    <row r="206" spans="1:9" ht="20.100000000000001" customHeight="1" x14ac:dyDescent="0.25">
      <c r="A206" s="26">
        <v>204</v>
      </c>
      <c r="B206" s="13" t="s">
        <v>68</v>
      </c>
      <c r="C206" s="13" t="s">
        <v>19</v>
      </c>
      <c r="D206" s="34">
        <v>3</v>
      </c>
      <c r="E206" s="34" t="str">
        <f>CONCATENATE(Таблица22[[#This Row],[Операция]],Таблица22[[#This Row],[Материал]],Таблица22[[#This Row],[Толщина до…]])</f>
        <v>Резка профиля до 120х120 под угломНержавейка3</v>
      </c>
      <c r="F206" s="33" t="s">
        <v>8</v>
      </c>
      <c r="G206" s="35">
        <f>IFERROR(VLOOKUP(F206,$AK$3:$AL$8,2,0),"")</f>
        <v>1750</v>
      </c>
      <c r="H206" s="14">
        <f>IFERROR(CEILING((G206/3600)*I206,0.5),"")</f>
        <v>107</v>
      </c>
      <c r="I206" s="68">
        <v>220</v>
      </c>
    </row>
    <row r="207" spans="1:9" ht="20.100000000000001" customHeight="1" x14ac:dyDescent="0.25">
      <c r="A207" s="26">
        <v>205</v>
      </c>
      <c r="B207" s="13" t="s">
        <v>68</v>
      </c>
      <c r="C207" s="13" t="s">
        <v>19</v>
      </c>
      <c r="D207" s="34">
        <v>6</v>
      </c>
      <c r="E207" s="34" t="str">
        <f>CONCATENATE(Таблица22[[#This Row],[Операция]],Таблица22[[#This Row],[Материал]],Таблица22[[#This Row],[Толщина до…]])</f>
        <v>Резка профиля до 120х120 под угломНержавейка6</v>
      </c>
      <c r="F207" s="33" t="s">
        <v>8</v>
      </c>
      <c r="G207" s="35">
        <f t="shared" si="49"/>
        <v>1750</v>
      </c>
      <c r="H207" s="14">
        <f t="shared" si="48"/>
        <v>122</v>
      </c>
      <c r="I207" s="68">
        <v>250</v>
      </c>
    </row>
    <row r="208" spans="1:9" ht="20.100000000000001" customHeight="1" x14ac:dyDescent="0.25">
      <c r="A208" s="26">
        <v>206</v>
      </c>
      <c r="B208" s="13" t="s">
        <v>69</v>
      </c>
      <c r="C208" s="13" t="s">
        <v>19</v>
      </c>
      <c r="D208" s="34">
        <v>3</v>
      </c>
      <c r="E208" s="34" t="str">
        <f>CONCATENATE(Таблица22[[#This Row],[Операция]],Таблица22[[#This Row],[Материал]],Таблица22[[#This Row],[Толщина до…]])</f>
        <v>Резка профиля до 160х160 под угломНержавейка3</v>
      </c>
      <c r="F208" s="33" t="s">
        <v>8</v>
      </c>
      <c r="G208" s="35">
        <f>IFERROR(VLOOKUP(F208,$AK$3:$AL$8,2,0),"")</f>
        <v>1750</v>
      </c>
      <c r="H208" s="14">
        <f>IFERROR(CEILING((G208/3600)*I208,0.5),"")</f>
        <v>148.5</v>
      </c>
      <c r="I208" s="68">
        <v>305</v>
      </c>
    </row>
    <row r="209" spans="1:9" ht="20.100000000000001" customHeight="1" x14ac:dyDescent="0.25">
      <c r="A209" s="26">
        <v>207</v>
      </c>
      <c r="B209" s="13" t="s">
        <v>69</v>
      </c>
      <c r="C209" s="13" t="s">
        <v>19</v>
      </c>
      <c r="D209" s="34">
        <v>6</v>
      </c>
      <c r="E209" s="34" t="str">
        <f>CONCATENATE(Таблица22[[#This Row],[Операция]],Таблица22[[#This Row],[Материал]],Таблица22[[#This Row],[Толщина до…]])</f>
        <v>Резка профиля до 160х160 под угломНержавейка6</v>
      </c>
      <c r="F209" s="33" t="s">
        <v>8</v>
      </c>
      <c r="G209" s="35">
        <f t="shared" si="49"/>
        <v>1750</v>
      </c>
      <c r="H209" s="14">
        <f t="shared" si="48"/>
        <v>158</v>
      </c>
      <c r="I209" s="68">
        <v>325</v>
      </c>
    </row>
    <row r="210" spans="1:9" ht="20.100000000000001" customHeight="1" x14ac:dyDescent="0.25">
      <c r="A210" s="26">
        <v>208</v>
      </c>
      <c r="B210" s="13" t="s">
        <v>70</v>
      </c>
      <c r="C210" s="13" t="s">
        <v>19</v>
      </c>
      <c r="D210" s="34">
        <v>3</v>
      </c>
      <c r="E210" s="34" t="str">
        <f>CONCATENATE(Таблица22[[#This Row],[Операция]],Таблица22[[#This Row],[Материал]],Таблица22[[#This Row],[Толщина до…]])</f>
        <v>Резка профиля до 200х200 под угломНержавейка3</v>
      </c>
      <c r="F210" s="33" t="s">
        <v>8</v>
      </c>
      <c r="G210" s="35">
        <f>IFERROR(VLOOKUP(F210,$AK$3:$AL$8,2,0),"")</f>
        <v>1750</v>
      </c>
      <c r="H210" s="14">
        <f>IFERROR(CEILING((G210/3600)*I210,0.5),"")</f>
        <v>185</v>
      </c>
      <c r="I210" s="68">
        <v>380</v>
      </c>
    </row>
    <row r="211" spans="1:9" ht="20.100000000000001" customHeight="1" x14ac:dyDescent="0.25">
      <c r="A211" s="26">
        <v>209</v>
      </c>
      <c r="B211" s="13" t="s">
        <v>70</v>
      </c>
      <c r="C211" s="13" t="s">
        <v>19</v>
      </c>
      <c r="D211" s="34">
        <v>6</v>
      </c>
      <c r="E211" s="34" t="str">
        <f>CONCATENATE(Таблица22[[#This Row],[Операция]],Таблица22[[#This Row],[Материал]],Таблица22[[#This Row],[Толщина до…]])</f>
        <v>Резка профиля до 200х200 под угломНержавейка6</v>
      </c>
      <c r="F211" s="33" t="s">
        <v>8</v>
      </c>
      <c r="G211" s="35">
        <f t="shared" si="49"/>
        <v>1750</v>
      </c>
      <c r="H211" s="14">
        <f t="shared" si="48"/>
        <v>194.5</v>
      </c>
      <c r="I211" s="68">
        <v>400</v>
      </c>
    </row>
    <row r="212" spans="1:9" ht="20.100000000000001" customHeight="1" x14ac:dyDescent="0.25">
      <c r="A212" s="26">
        <v>210</v>
      </c>
      <c r="B212" s="13" t="s">
        <v>61</v>
      </c>
      <c r="C212" s="13" t="s">
        <v>18</v>
      </c>
      <c r="D212" s="34">
        <v>3</v>
      </c>
      <c r="E212" s="34" t="str">
        <f>CONCATENATE(Таблица22[[#This Row],[Операция]],Таблица22[[#This Row],[Материал]],Таблица22[[#This Row],[Толщина до…]])</f>
        <v>Резка профиля до 40х40 прямаяАлюминий3</v>
      </c>
      <c r="F212" s="33" t="s">
        <v>8</v>
      </c>
      <c r="G212" s="53">
        <f>IFERROR(VLOOKUP(F212,$AK$3:$AL$8,2,0),"")</f>
        <v>1750</v>
      </c>
      <c r="H212" s="14">
        <f>IFERROR(CEILING((G212/3600)*I212,0.5),"")</f>
        <v>24.5</v>
      </c>
      <c r="I212" s="68">
        <v>50</v>
      </c>
    </row>
    <row r="213" spans="1:9" ht="20.100000000000001" customHeight="1" x14ac:dyDescent="0.25">
      <c r="A213" s="26">
        <v>211</v>
      </c>
      <c r="B213" s="13" t="s">
        <v>61</v>
      </c>
      <c r="C213" s="13" t="s">
        <v>18</v>
      </c>
      <c r="D213" s="34">
        <v>6</v>
      </c>
      <c r="E213" s="34" t="str">
        <f>CONCATENATE(Таблица22[[#This Row],[Операция]],Таблица22[[#This Row],[Материал]],Таблица22[[#This Row],[Толщина до…]])</f>
        <v>Резка профиля до 40х40 прямаяАлюминий6</v>
      </c>
      <c r="F213" s="33" t="s">
        <v>8</v>
      </c>
      <c r="G213" s="53">
        <f t="shared" si="49"/>
        <v>1750</v>
      </c>
      <c r="H213" s="14">
        <f t="shared" si="48"/>
        <v>29.5</v>
      </c>
      <c r="I213" s="68">
        <v>60</v>
      </c>
    </row>
    <row r="214" spans="1:9" ht="20.100000000000001" customHeight="1" x14ac:dyDescent="0.25">
      <c r="A214" s="26">
        <v>212</v>
      </c>
      <c r="B214" s="13" t="s">
        <v>62</v>
      </c>
      <c r="C214" s="13" t="s">
        <v>18</v>
      </c>
      <c r="D214" s="34">
        <v>3</v>
      </c>
      <c r="E214" s="34" t="str">
        <f>CONCATENATE(Таблица22[[#This Row],[Операция]],Таблица22[[#This Row],[Материал]],Таблица22[[#This Row],[Толщина до…]])</f>
        <v>Резка профиля до 80х80 прямаяАлюминий3</v>
      </c>
      <c r="F214" s="33" t="s">
        <v>8</v>
      </c>
      <c r="G214" s="53">
        <f>IFERROR(VLOOKUP(F214,$AK$3:$AL$8,2,0),"")</f>
        <v>1750</v>
      </c>
      <c r="H214" s="14">
        <f>IFERROR(CEILING((G214/3600)*I214,0.5),"")</f>
        <v>53.5</v>
      </c>
      <c r="I214" s="68">
        <v>110</v>
      </c>
    </row>
    <row r="215" spans="1:9" ht="20.100000000000001" customHeight="1" x14ac:dyDescent="0.25">
      <c r="A215" s="26">
        <v>213</v>
      </c>
      <c r="B215" s="13" t="s">
        <v>62</v>
      </c>
      <c r="C215" s="13" t="s">
        <v>18</v>
      </c>
      <c r="D215" s="34">
        <v>6</v>
      </c>
      <c r="E215" s="34" t="str">
        <f>CONCATENATE(Таблица22[[#This Row],[Операция]],Таблица22[[#This Row],[Материал]],Таблица22[[#This Row],[Толщина до…]])</f>
        <v>Резка профиля до 80х80 прямаяАлюминий6</v>
      </c>
      <c r="F215" s="33" t="s">
        <v>8</v>
      </c>
      <c r="G215" s="53">
        <f t="shared" si="49"/>
        <v>1750</v>
      </c>
      <c r="H215" s="14">
        <f t="shared" si="48"/>
        <v>58.5</v>
      </c>
      <c r="I215" s="68">
        <v>120</v>
      </c>
    </row>
    <row r="216" spans="1:9" ht="20.100000000000001" customHeight="1" x14ac:dyDescent="0.25">
      <c r="A216" s="26">
        <v>214</v>
      </c>
      <c r="B216" s="13" t="s">
        <v>63</v>
      </c>
      <c r="C216" s="13" t="s">
        <v>18</v>
      </c>
      <c r="D216" s="34">
        <v>3</v>
      </c>
      <c r="E216" s="34" t="str">
        <f>CONCATENATE(Таблица22[[#This Row],[Операция]],Таблица22[[#This Row],[Материал]],Таблица22[[#This Row],[Толщина до…]])</f>
        <v>Резка профиля до 120х120 прямаяАлюминий3</v>
      </c>
      <c r="F216" s="33" t="s">
        <v>8</v>
      </c>
      <c r="G216" s="53">
        <f>IFERROR(VLOOKUP(F216,$AK$3:$AL$8,2,0),"")</f>
        <v>1750</v>
      </c>
      <c r="H216" s="14">
        <f>IFERROR(CEILING((G216/3600)*I216,0.5),"")</f>
        <v>78</v>
      </c>
      <c r="I216" s="68">
        <v>160</v>
      </c>
    </row>
    <row r="217" spans="1:9" ht="20.100000000000001" customHeight="1" x14ac:dyDescent="0.25">
      <c r="A217" s="26">
        <v>215</v>
      </c>
      <c r="B217" s="13" t="s">
        <v>63</v>
      </c>
      <c r="C217" s="13" t="s">
        <v>18</v>
      </c>
      <c r="D217" s="34">
        <v>6</v>
      </c>
      <c r="E217" s="34" t="str">
        <f>CONCATENATE(Таблица22[[#This Row],[Операция]],Таблица22[[#This Row],[Материал]],Таблица22[[#This Row],[Толщина до…]])</f>
        <v>Резка профиля до 120х120 прямаяАлюминий6</v>
      </c>
      <c r="F217" s="33" t="s">
        <v>8</v>
      </c>
      <c r="G217" s="53">
        <f t="shared" si="49"/>
        <v>1750</v>
      </c>
      <c r="H217" s="14">
        <f t="shared" si="48"/>
        <v>87.5</v>
      </c>
      <c r="I217" s="68">
        <v>180</v>
      </c>
    </row>
    <row r="218" spans="1:9" ht="20.100000000000001" customHeight="1" x14ac:dyDescent="0.25">
      <c r="A218" s="26">
        <v>216</v>
      </c>
      <c r="B218" s="13" t="s">
        <v>64</v>
      </c>
      <c r="C218" s="13" t="s">
        <v>18</v>
      </c>
      <c r="D218" s="34">
        <v>3</v>
      </c>
      <c r="E218" s="34" t="str">
        <f>CONCATENATE(Таблица22[[#This Row],[Операция]],Таблица22[[#This Row],[Материал]],Таблица22[[#This Row],[Толщина до…]])</f>
        <v>Резка профиля до 160х160 прямаяАлюминий3</v>
      </c>
      <c r="F218" s="33" t="s">
        <v>8</v>
      </c>
      <c r="G218" s="53">
        <f>IFERROR(VLOOKUP(F218,$AK$3:$AL$8,2,0),"")</f>
        <v>1750</v>
      </c>
      <c r="H218" s="14">
        <f>IFERROR(CEILING((G218/3600)*I218,0.5),"")</f>
        <v>107</v>
      </c>
      <c r="I218" s="68">
        <v>220</v>
      </c>
    </row>
    <row r="219" spans="1:9" ht="20.100000000000001" customHeight="1" x14ac:dyDescent="0.25">
      <c r="A219" s="26">
        <v>217</v>
      </c>
      <c r="B219" s="13" t="s">
        <v>64</v>
      </c>
      <c r="C219" s="13" t="s">
        <v>18</v>
      </c>
      <c r="D219" s="34">
        <v>6</v>
      </c>
      <c r="E219" s="34" t="str">
        <f>CONCATENATE(Таблица22[[#This Row],[Операция]],Таблица22[[#This Row],[Материал]],Таблица22[[#This Row],[Толщина до…]])</f>
        <v>Резка профиля до 160х160 прямаяАлюминий6</v>
      </c>
      <c r="F219" s="33" t="s">
        <v>8</v>
      </c>
      <c r="G219" s="53">
        <f t="shared" si="49"/>
        <v>1750</v>
      </c>
      <c r="H219" s="14">
        <f t="shared" si="48"/>
        <v>117</v>
      </c>
      <c r="I219" s="68">
        <v>240</v>
      </c>
    </row>
    <row r="220" spans="1:9" ht="20.100000000000001" customHeight="1" x14ac:dyDescent="0.25">
      <c r="A220" s="26">
        <v>218</v>
      </c>
      <c r="B220" s="13" t="s">
        <v>65</v>
      </c>
      <c r="C220" s="13" t="s">
        <v>18</v>
      </c>
      <c r="D220" s="34">
        <v>3</v>
      </c>
      <c r="E220" s="34" t="str">
        <f>CONCATENATE(Таблица22[[#This Row],[Операция]],Таблица22[[#This Row],[Материал]],Таблица22[[#This Row],[Толщина до…]])</f>
        <v>Резка профиля до 200х200 прямаяАлюминий3</v>
      </c>
      <c r="F220" s="33" t="s">
        <v>8</v>
      </c>
      <c r="G220" s="53">
        <f>IFERROR(VLOOKUP(F220,$AK$3:$AL$8,2,0),"")</f>
        <v>1750</v>
      </c>
      <c r="H220" s="14">
        <f>IFERROR(CEILING((G220/3600)*I220,0.5),"")</f>
        <v>136.5</v>
      </c>
      <c r="I220" s="68">
        <v>280</v>
      </c>
    </row>
    <row r="221" spans="1:9" ht="20.100000000000001" customHeight="1" x14ac:dyDescent="0.25">
      <c r="A221" s="26">
        <v>219</v>
      </c>
      <c r="B221" s="13" t="s">
        <v>65</v>
      </c>
      <c r="C221" s="13" t="s">
        <v>18</v>
      </c>
      <c r="D221" s="34">
        <v>6</v>
      </c>
      <c r="E221" s="34" t="str">
        <f>CONCATENATE(Таблица22[[#This Row],[Операция]],Таблица22[[#This Row],[Материал]],Таблица22[[#This Row],[Толщина до…]])</f>
        <v>Резка профиля до 200х200 прямаяАлюминий6</v>
      </c>
      <c r="F221" s="33" t="s">
        <v>8</v>
      </c>
      <c r="G221" s="53">
        <f t="shared" si="49"/>
        <v>1750</v>
      </c>
      <c r="H221" s="14">
        <f t="shared" si="48"/>
        <v>146</v>
      </c>
      <c r="I221" s="68">
        <v>300</v>
      </c>
    </row>
    <row r="222" spans="1:9" ht="20.100000000000001" customHeight="1" x14ac:dyDescent="0.25">
      <c r="A222" s="26">
        <v>220</v>
      </c>
      <c r="B222" s="13" t="s">
        <v>66</v>
      </c>
      <c r="C222" s="13" t="s">
        <v>18</v>
      </c>
      <c r="D222" s="34">
        <v>3</v>
      </c>
      <c r="E222" s="34" t="str">
        <f>CONCATENATE(Таблица22[[#This Row],[Операция]],Таблица22[[#This Row],[Материал]],Таблица22[[#This Row],[Толщина до…]])</f>
        <v>Резка профиля до 40х40 под угломАлюминий3</v>
      </c>
      <c r="F222" s="33" t="s">
        <v>8</v>
      </c>
      <c r="G222" s="53">
        <f>IFERROR(VLOOKUP(F222,$AK$3:$AL$8,2,0),"")</f>
        <v>1750</v>
      </c>
      <c r="H222" s="14">
        <f>IFERROR(CEILING((G222/3600)*I222,0.5),"")</f>
        <v>39</v>
      </c>
      <c r="I222" s="68">
        <v>80</v>
      </c>
    </row>
    <row r="223" spans="1:9" ht="20.100000000000001" customHeight="1" x14ac:dyDescent="0.25">
      <c r="A223" s="26">
        <v>221</v>
      </c>
      <c r="B223" s="13" t="s">
        <v>66</v>
      </c>
      <c r="C223" s="13" t="s">
        <v>18</v>
      </c>
      <c r="D223" s="34">
        <v>6</v>
      </c>
      <c r="E223" s="34" t="str">
        <f>CONCATENATE(Таблица22[[#This Row],[Операция]],Таблица22[[#This Row],[Материал]],Таблица22[[#This Row],[Толщина до…]])</f>
        <v>Резка профиля до 40х40 под угломАлюминий6</v>
      </c>
      <c r="F223" s="33" t="s">
        <v>8</v>
      </c>
      <c r="G223" s="53">
        <f t="shared" si="49"/>
        <v>1750</v>
      </c>
      <c r="H223" s="14">
        <f t="shared" si="48"/>
        <v>44</v>
      </c>
      <c r="I223" s="68">
        <v>90</v>
      </c>
    </row>
    <row r="224" spans="1:9" ht="20.100000000000001" customHeight="1" x14ac:dyDescent="0.25">
      <c r="A224" s="26">
        <v>222</v>
      </c>
      <c r="B224" s="13" t="s">
        <v>67</v>
      </c>
      <c r="C224" s="13" t="s">
        <v>18</v>
      </c>
      <c r="D224" s="34">
        <v>3</v>
      </c>
      <c r="E224" s="34" t="str">
        <f>CONCATENATE(Таблица22[[#This Row],[Операция]],Таблица22[[#This Row],[Материал]],Таблица22[[#This Row],[Толщина до…]])</f>
        <v>Резка профиля до 80х80 под угломАлюминий3</v>
      </c>
      <c r="F224" s="33" t="s">
        <v>8</v>
      </c>
      <c r="G224" s="53">
        <f>IFERROR(VLOOKUP(F224,$AK$3:$AL$8,2,0),"")</f>
        <v>1750</v>
      </c>
      <c r="H224" s="14">
        <f>IFERROR(CEILING((G224/3600)*I224,0.5),"")</f>
        <v>68.5</v>
      </c>
      <c r="I224" s="68">
        <v>140</v>
      </c>
    </row>
    <row r="225" spans="1:9" ht="20.100000000000001" customHeight="1" x14ac:dyDescent="0.25">
      <c r="A225" s="26">
        <v>223</v>
      </c>
      <c r="B225" s="13" t="s">
        <v>67</v>
      </c>
      <c r="C225" s="13" t="s">
        <v>18</v>
      </c>
      <c r="D225" s="34">
        <v>6</v>
      </c>
      <c r="E225" s="34" t="str">
        <f>CONCATENATE(Таблица22[[#This Row],[Операция]],Таблица22[[#This Row],[Материал]],Таблица22[[#This Row],[Толщина до…]])</f>
        <v>Резка профиля до 80х80 под угломАлюминий6</v>
      </c>
      <c r="F225" s="33" t="s">
        <v>8</v>
      </c>
      <c r="G225" s="53">
        <f t="shared" si="49"/>
        <v>1750</v>
      </c>
      <c r="H225" s="14">
        <f t="shared" si="48"/>
        <v>73</v>
      </c>
      <c r="I225" s="68">
        <v>150</v>
      </c>
    </row>
    <row r="226" spans="1:9" ht="20.100000000000001" customHeight="1" x14ac:dyDescent="0.25">
      <c r="A226" s="26">
        <v>224</v>
      </c>
      <c r="B226" s="13" t="s">
        <v>68</v>
      </c>
      <c r="C226" s="13" t="s">
        <v>18</v>
      </c>
      <c r="D226" s="34">
        <v>3</v>
      </c>
      <c r="E226" s="34" t="str">
        <f>CONCATENATE(Таблица22[[#This Row],[Операция]],Таблица22[[#This Row],[Материал]],Таблица22[[#This Row],[Толщина до…]])</f>
        <v>Резка профиля до 120х120 под угломАлюминий3</v>
      </c>
      <c r="F226" s="33" t="s">
        <v>8</v>
      </c>
      <c r="G226" s="53">
        <f>IFERROR(VLOOKUP(F226,$AK$3:$AL$8,2,0),"")</f>
        <v>1750</v>
      </c>
      <c r="H226" s="14">
        <f>IFERROR(CEILING((G226/3600)*I226,0.5),"")</f>
        <v>92.5</v>
      </c>
      <c r="I226" s="68">
        <v>190</v>
      </c>
    </row>
    <row r="227" spans="1:9" ht="20.100000000000001" customHeight="1" x14ac:dyDescent="0.25">
      <c r="A227" s="26">
        <v>225</v>
      </c>
      <c r="B227" s="13" t="s">
        <v>68</v>
      </c>
      <c r="C227" s="13" t="s">
        <v>18</v>
      </c>
      <c r="D227" s="34">
        <v>6</v>
      </c>
      <c r="E227" s="34" t="str">
        <f>CONCATENATE(Таблица22[[#This Row],[Операция]],Таблица22[[#This Row],[Материал]],Таблица22[[#This Row],[Толщина до…]])</f>
        <v>Резка профиля до 120х120 под угломАлюминий6</v>
      </c>
      <c r="F227" s="33" t="s">
        <v>8</v>
      </c>
      <c r="G227" s="53">
        <f t="shared" si="49"/>
        <v>1750</v>
      </c>
      <c r="H227" s="14">
        <f t="shared" si="48"/>
        <v>102.5</v>
      </c>
      <c r="I227" s="68">
        <v>210</v>
      </c>
    </row>
    <row r="228" spans="1:9" ht="20.100000000000001" customHeight="1" x14ac:dyDescent="0.25">
      <c r="A228" s="26">
        <v>226</v>
      </c>
      <c r="B228" s="13" t="s">
        <v>69</v>
      </c>
      <c r="C228" s="13" t="s">
        <v>18</v>
      </c>
      <c r="D228" s="34">
        <v>3</v>
      </c>
      <c r="E228" s="34" t="str">
        <f>CONCATENATE(Таблица22[[#This Row],[Операция]],Таблица22[[#This Row],[Материал]],Таблица22[[#This Row],[Толщина до…]])</f>
        <v>Резка профиля до 160х160 под угломАлюминий3</v>
      </c>
      <c r="F228" s="33" t="s">
        <v>8</v>
      </c>
      <c r="G228" s="53">
        <f>IFERROR(VLOOKUP(F228,$AK$3:$AL$8,2,0),"")</f>
        <v>1750</v>
      </c>
      <c r="H228" s="14">
        <f>IFERROR(CEILING((G228/3600)*I228,0.5),"")</f>
        <v>122</v>
      </c>
      <c r="I228" s="68">
        <v>250</v>
      </c>
    </row>
    <row r="229" spans="1:9" ht="20.100000000000001" customHeight="1" x14ac:dyDescent="0.25">
      <c r="A229" s="26">
        <v>227</v>
      </c>
      <c r="B229" s="13" t="s">
        <v>69</v>
      </c>
      <c r="C229" s="13" t="s">
        <v>18</v>
      </c>
      <c r="D229" s="34">
        <v>6</v>
      </c>
      <c r="E229" s="34" t="str">
        <f>CONCATENATE(Таблица22[[#This Row],[Операция]],Таблица22[[#This Row],[Материал]],Таблица22[[#This Row],[Толщина до…]])</f>
        <v>Резка профиля до 160х160 под угломАлюминий6</v>
      </c>
      <c r="F229" s="33" t="s">
        <v>8</v>
      </c>
      <c r="G229" s="53">
        <f t="shared" si="49"/>
        <v>1750</v>
      </c>
      <c r="H229" s="14">
        <f t="shared" si="48"/>
        <v>131.5</v>
      </c>
      <c r="I229" s="68">
        <v>270</v>
      </c>
    </row>
    <row r="230" spans="1:9" ht="20.100000000000001" customHeight="1" x14ac:dyDescent="0.25">
      <c r="A230" s="26">
        <v>228</v>
      </c>
      <c r="B230" s="13" t="s">
        <v>70</v>
      </c>
      <c r="C230" s="13" t="s">
        <v>18</v>
      </c>
      <c r="D230" s="34">
        <v>3</v>
      </c>
      <c r="E230" s="34" t="str">
        <f>CONCATENATE(Таблица22[[#This Row],[Операция]],Таблица22[[#This Row],[Материал]],Таблица22[[#This Row],[Толщина до…]])</f>
        <v>Резка профиля до 200х200 под угломАлюминий3</v>
      </c>
      <c r="F230" s="33" t="s">
        <v>8</v>
      </c>
      <c r="G230" s="53">
        <f>IFERROR(VLOOKUP(F230,$AK$3:$AL$8,2,0),"")</f>
        <v>1750</v>
      </c>
      <c r="H230" s="14">
        <f>IFERROR(CEILING((G230/3600)*I230,0.5),"")</f>
        <v>146</v>
      </c>
      <c r="I230" s="68">
        <v>300</v>
      </c>
    </row>
    <row r="231" spans="1:9" ht="20.100000000000001" customHeight="1" x14ac:dyDescent="0.25">
      <c r="A231" s="26">
        <v>229</v>
      </c>
      <c r="B231" s="13" t="s">
        <v>70</v>
      </c>
      <c r="C231" s="13" t="s">
        <v>18</v>
      </c>
      <c r="D231" s="34">
        <v>6</v>
      </c>
      <c r="E231" s="34" t="str">
        <f>CONCATENATE(Таблица22[[#This Row],[Операция]],Таблица22[[#This Row],[Материал]],Таблица22[[#This Row],[Толщина до…]])</f>
        <v>Резка профиля до 200х200 под угломАлюминий6</v>
      </c>
      <c r="F231" s="33" t="s">
        <v>8</v>
      </c>
      <c r="G231" s="53">
        <f t="shared" si="49"/>
        <v>1750</v>
      </c>
      <c r="H231" s="14">
        <f t="shared" si="48"/>
        <v>160.5</v>
      </c>
      <c r="I231" s="68">
        <v>330</v>
      </c>
    </row>
    <row r="232" spans="1:9" ht="20.100000000000001" customHeight="1" x14ac:dyDescent="0.25">
      <c r="A232" s="26"/>
      <c r="B232" s="13"/>
      <c r="C232" s="32"/>
      <c r="D232" s="52"/>
      <c r="E232" s="52" t="str">
        <f>CONCATENATE(Таблица22[[#This Row],[Операция]],Таблица22[[#This Row],[Материал]],Таблица22[[#This Row],[Толщина до…]])</f>
        <v/>
      </c>
      <c r="F232" s="33"/>
      <c r="G232" s="53" t="str">
        <f t="shared" si="49"/>
        <v/>
      </c>
      <c r="H232" s="14" t="str">
        <f t="shared" si="48"/>
        <v/>
      </c>
      <c r="I232" s="15"/>
    </row>
    <row r="233" spans="1:9" ht="20.100000000000001" customHeight="1" x14ac:dyDescent="0.25">
      <c r="A233" s="26"/>
      <c r="B233" s="13"/>
      <c r="C233" s="13"/>
      <c r="D233" s="34"/>
      <c r="E233" s="34" t="str">
        <f>CONCATENATE(Таблица22[[#This Row],[Операция]],Таблица22[[#This Row],[Материал]],Таблица22[[#This Row],[Толщина до…]])</f>
        <v/>
      </c>
      <c r="F233" s="33"/>
      <c r="G233" s="35" t="str">
        <f t="shared" si="49"/>
        <v/>
      </c>
      <c r="H233" s="14" t="str">
        <f t="shared" si="48"/>
        <v/>
      </c>
      <c r="I233" s="15"/>
    </row>
    <row r="235" spans="1:9" x14ac:dyDescent="0.25">
      <c r="F235" s="25"/>
      <c r="G235" s="25"/>
      <c r="H235" s="25"/>
    </row>
    <row r="236" spans="1:9" x14ac:dyDescent="0.25">
      <c r="E236"/>
    </row>
    <row r="237" spans="1:9" x14ac:dyDescent="0.25">
      <c r="E237"/>
    </row>
    <row r="238" spans="1:9" x14ac:dyDescent="0.25">
      <c r="E238"/>
    </row>
    <row r="239" spans="1:9" x14ac:dyDescent="0.25">
      <c r="E239"/>
    </row>
    <row r="240" spans="1:9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</sheetData>
  <mergeCells count="8">
    <mergeCell ref="AV1:AY1"/>
    <mergeCell ref="N2:P2"/>
    <mergeCell ref="R1:T1"/>
    <mergeCell ref="A1:I1"/>
    <mergeCell ref="AK1:AL1"/>
    <mergeCell ref="AN1:AP1"/>
    <mergeCell ref="AR1:AT1"/>
    <mergeCell ref="K1:P1"/>
  </mergeCells>
  <conditionalFormatting sqref="T4">
    <cfRule type="expression" dxfId="32" priority="3">
      <formula>V4="NO"</formula>
    </cfRule>
  </conditionalFormatting>
  <conditionalFormatting sqref="T5:T22">
    <cfRule type="expression" dxfId="31" priority="2">
      <formula>V5="NO"</formula>
    </cfRule>
  </conditionalFormatting>
  <conditionalFormatting sqref="T3">
    <cfRule type="expression" dxfId="0" priority="1">
      <formula>V3="NO"</formula>
    </cfRule>
  </conditionalFormatting>
  <dataValidations count="4">
    <dataValidation type="list" allowBlank="1" showInputMessage="1" showErrorMessage="1" sqref="F233 F3:F231" xr:uid="{00000000-0002-0000-0200-000000000000}">
      <formula1>$AK$3:$AK$8</formula1>
    </dataValidation>
    <dataValidation type="list" allowBlank="1" showInputMessage="1" showErrorMessage="1" sqref="T3:T22" xr:uid="{00000000-0002-0000-0200-000001000000}">
      <formula1>$T$26:$T$32</formula1>
    </dataValidation>
    <dataValidation type="list" allowBlank="1" showInputMessage="1" showErrorMessage="1" sqref="R3:R22" xr:uid="{00000000-0002-0000-0200-000002000000}">
      <formula1>$R$26:$R$55</formula1>
    </dataValidation>
    <dataValidation type="list" allowBlank="1" showInputMessage="1" showErrorMessage="1" sqref="S3:S22" xr:uid="{00000000-0002-0000-0200-000003000000}">
      <formula1>$S$26:$S$29</formula1>
    </dataValidation>
  </dataValidations>
  <pageMargins left="0.7" right="0.7" top="0.75" bottom="0.75" header="0.3" footer="0.3"/>
  <pageSetup paperSize="9" scale="18" fitToHeight="0" orientation="landscape" r:id="rId4"/>
  <legacyDrawing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Структура изделия</vt:lpstr>
      <vt:lpstr>Инструкция</vt:lpstr>
      <vt:lpstr>Калькулятор</vt:lpstr>
      <vt:lpstr>№</vt:lpstr>
      <vt:lpstr>Инструкция!Область_печати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2021-06-01T12:36:53Z</dcterms:modified>
</cp:coreProperties>
</file>